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scott/Desktop/Gov-50/nba-team-business-models/data-files/"/>
    </mc:Choice>
  </mc:AlternateContent>
  <xr:revisionPtr revIDLastSave="0" documentId="13_ncr:1_{6727104E-1E56-9448-BFFB-ACB36CD42DDF}" xr6:coauthVersionLast="45" xr6:coauthVersionMax="45" xr10:uidLastSave="{00000000-0000-0000-0000-000000000000}"/>
  <bookViews>
    <workbookView xWindow="0" yWindow="500" windowWidth="28800" windowHeight="17500" xr2:uid="{3F5261B9-1956-8049-B8B9-1A4A9453D587}"/>
  </bookViews>
  <sheets>
    <sheet name="ATL" sheetId="1" r:id="rId1"/>
    <sheet name="BOS" sheetId="2" r:id="rId2"/>
    <sheet name="BKN" sheetId="3" r:id="rId3"/>
    <sheet name="CHA" sheetId="4" r:id="rId4"/>
    <sheet name="CHI" sheetId="30" r:id="rId5"/>
    <sheet name="CLE" sheetId="5" r:id="rId6"/>
    <sheet name="DAL" sheetId="6" r:id="rId7"/>
    <sheet name="DEN" sheetId="7" r:id="rId8"/>
    <sheet name="DET" sheetId="8" r:id="rId9"/>
    <sheet name="GSW" sheetId="9" r:id="rId10"/>
    <sheet name="HOU" sheetId="10" r:id="rId11"/>
    <sheet name="IND" sheetId="11" r:id="rId12"/>
    <sheet name="LAC" sheetId="12" r:id="rId13"/>
    <sheet name="LAL" sheetId="13" r:id="rId14"/>
    <sheet name="MEM" sheetId="14" r:id="rId15"/>
    <sheet name="MIA" sheetId="15" r:id="rId16"/>
    <sheet name="MIL" sheetId="16" r:id="rId17"/>
    <sheet name="MIN" sheetId="17" r:id="rId18"/>
    <sheet name="NOP" sheetId="18" r:id="rId19"/>
    <sheet name="NYK" sheetId="19" r:id="rId20"/>
    <sheet name="OKC" sheetId="20" r:id="rId21"/>
    <sheet name="ORL" sheetId="21" r:id="rId22"/>
    <sheet name="PHI" sheetId="22" r:id="rId23"/>
    <sheet name="PHX" sheetId="23" r:id="rId24"/>
    <sheet name="POR" sheetId="24" r:id="rId25"/>
    <sheet name="SAC" sheetId="25" r:id="rId26"/>
    <sheet name="SAS" sheetId="26" r:id="rId27"/>
    <sheet name="TOR" sheetId="27" r:id="rId28"/>
    <sheet name="UTA" sheetId="28" r:id="rId29"/>
    <sheet name="WSH" sheetId="29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9" l="1"/>
  <c r="J30" i="29"/>
  <c r="P27" i="28"/>
  <c r="P28" i="28"/>
  <c r="P31" i="29"/>
  <c r="P30" i="29"/>
  <c r="AC16" i="27"/>
  <c r="Z16" i="27"/>
  <c r="AC15" i="27"/>
  <c r="Z15" i="27"/>
  <c r="P30" i="3"/>
  <c r="P31" i="3"/>
  <c r="AC15" i="3"/>
  <c r="Z15" i="3"/>
  <c r="R16" i="13" l="1"/>
  <c r="Q16" i="13"/>
  <c r="P16" i="13"/>
  <c r="P31" i="27"/>
  <c r="P30" i="27"/>
  <c r="AC16" i="6"/>
  <c r="Z16" i="6"/>
  <c r="C34" i="27"/>
  <c r="AD11" i="27"/>
  <c r="AA11" i="27"/>
  <c r="Q31" i="16"/>
  <c r="P30" i="21"/>
  <c r="C31" i="21"/>
  <c r="AC11" i="21"/>
  <c r="Z11" i="21"/>
  <c r="C31" i="16"/>
  <c r="AC16" i="11"/>
  <c r="Z16" i="11"/>
  <c r="P29" i="30"/>
  <c r="P28" i="30"/>
  <c r="AC16" i="30"/>
  <c r="Z16" i="30"/>
  <c r="J24" i="23"/>
  <c r="J23" i="23"/>
  <c r="P26" i="23"/>
  <c r="C30" i="23"/>
  <c r="AC14" i="23"/>
  <c r="Z14" i="23"/>
  <c r="P23" i="26"/>
  <c r="J22" i="26"/>
  <c r="J23" i="26"/>
  <c r="P24" i="25"/>
  <c r="AC13" i="25"/>
  <c r="Z13" i="25"/>
  <c r="J24" i="25"/>
  <c r="J23" i="25"/>
  <c r="AD15" i="25"/>
  <c r="AA15" i="25"/>
  <c r="AA11" i="25"/>
  <c r="AD11" i="25"/>
  <c r="AA12" i="25"/>
  <c r="AD12" i="25"/>
  <c r="P25" i="25"/>
  <c r="AC26" i="27"/>
  <c r="Z26" i="27"/>
  <c r="R3" i="3" l="1"/>
  <c r="Q3" i="3"/>
  <c r="P3" i="3"/>
  <c r="P29" i="1"/>
  <c r="P28" i="1"/>
  <c r="P31" i="2"/>
  <c r="P33" i="1"/>
  <c r="J25" i="9"/>
  <c r="J24" i="9"/>
  <c r="G24" i="9"/>
  <c r="H18" i="9" s="1"/>
  <c r="P27" i="12"/>
  <c r="AC16" i="12"/>
  <c r="Z16" i="12"/>
  <c r="H2" i="9" l="1"/>
  <c r="H20" i="9"/>
  <c r="H14" i="9"/>
  <c r="H10" i="9"/>
  <c r="H22" i="9"/>
  <c r="H17" i="9"/>
  <c r="H13" i="9"/>
  <c r="H9" i="9"/>
  <c r="H5" i="9"/>
  <c r="H19" i="9"/>
  <c r="H6" i="9"/>
  <c r="H16" i="9"/>
  <c r="H12" i="9"/>
  <c r="H8" i="9"/>
  <c r="H4" i="9"/>
  <c r="H15" i="9"/>
  <c r="H11" i="9"/>
  <c r="H7" i="9"/>
  <c r="H3" i="9"/>
  <c r="J25" i="21"/>
  <c r="J26" i="21"/>
  <c r="R10" i="21"/>
  <c r="AC10" i="21"/>
  <c r="Z10" i="21"/>
  <c r="P17" i="8"/>
  <c r="AC15" i="8"/>
  <c r="Z15" i="8"/>
  <c r="AC24" i="20"/>
  <c r="Z24" i="20"/>
  <c r="C28" i="26"/>
  <c r="C29" i="26"/>
  <c r="AC19" i="27"/>
  <c r="Z19" i="27"/>
  <c r="AC15" i="22"/>
  <c r="Z15" i="22"/>
  <c r="AD18" i="28"/>
  <c r="AA18" i="28"/>
  <c r="S15" i="20"/>
  <c r="J21" i="18"/>
  <c r="J20" i="18"/>
  <c r="AC3" i="18"/>
  <c r="Z3" i="18"/>
  <c r="P7" i="7"/>
  <c r="C32" i="7" s="1"/>
  <c r="S8" i="15"/>
  <c r="T8" i="15" s="1"/>
  <c r="U8" i="15" s="1"/>
  <c r="R8" i="15"/>
  <c r="Q8" i="15"/>
  <c r="H25" i="9" l="1"/>
  <c r="H24" i="9"/>
  <c r="Q7" i="7"/>
  <c r="AC21" i="23"/>
  <c r="Z21" i="23"/>
  <c r="AC19" i="19" l="1"/>
  <c r="Z19" i="19"/>
  <c r="S17" i="14"/>
  <c r="AC5" i="3"/>
  <c r="Z5" i="3"/>
  <c r="T5" i="3"/>
  <c r="C32" i="14"/>
  <c r="T14" i="14"/>
  <c r="AC14" i="14"/>
  <c r="Z14" i="14"/>
  <c r="AC6" i="1"/>
  <c r="Z6" i="1"/>
  <c r="R6" i="1"/>
  <c r="Q6" i="24"/>
  <c r="P7" i="15"/>
  <c r="P10" i="15"/>
  <c r="R15" i="21"/>
  <c r="AC15" i="21"/>
  <c r="Z15" i="21"/>
  <c r="S2" i="18"/>
  <c r="P31" i="14" l="1"/>
  <c r="P32" i="14"/>
  <c r="J26" i="14"/>
  <c r="J27" i="14"/>
  <c r="J24" i="13"/>
  <c r="J25" i="11"/>
  <c r="J24" i="11"/>
  <c r="C30" i="11"/>
  <c r="P29" i="11"/>
  <c r="P30" i="11"/>
  <c r="C31" i="9"/>
  <c r="C33" i="9"/>
  <c r="C34" i="8"/>
  <c r="AC17" i="21"/>
  <c r="Z17" i="21"/>
  <c r="J23" i="5"/>
  <c r="J22" i="5"/>
  <c r="J25" i="4"/>
  <c r="J24" i="4"/>
  <c r="C30" i="4"/>
  <c r="AC14" i="3"/>
  <c r="Z14" i="3"/>
  <c r="J23" i="2"/>
  <c r="P26" i="4"/>
  <c r="AD18" i="2"/>
  <c r="AA18" i="2"/>
  <c r="AC21" i="20"/>
  <c r="Z21" i="20"/>
  <c r="AC13" i="18"/>
  <c r="Z13" i="18"/>
  <c r="AD17" i="2"/>
  <c r="AA17" i="2"/>
  <c r="AC14" i="5" l="1"/>
  <c r="Z14" i="5"/>
  <c r="J28" i="6"/>
  <c r="J27" i="6"/>
  <c r="C33" i="6"/>
  <c r="C35" i="29"/>
  <c r="P21" i="14"/>
  <c r="P26" i="13"/>
  <c r="Q30" i="13" s="1"/>
  <c r="AC12" i="13"/>
  <c r="Z12" i="13"/>
  <c r="AC13" i="5"/>
  <c r="Z13" i="5"/>
  <c r="J27" i="1"/>
  <c r="J26" i="1"/>
  <c r="AC15" i="1"/>
  <c r="Z15" i="1"/>
  <c r="S6" i="23"/>
  <c r="AC6" i="23"/>
  <c r="Z6" i="23"/>
  <c r="AC13" i="27"/>
  <c r="Z13" i="27"/>
  <c r="J23" i="24"/>
  <c r="J22" i="24"/>
  <c r="C28" i="24"/>
  <c r="C29" i="24"/>
  <c r="C31" i="24"/>
  <c r="C33" i="30"/>
  <c r="C34" i="30"/>
  <c r="AC19" i="30"/>
  <c r="Z19" i="30"/>
  <c r="C31" i="28"/>
  <c r="C32" i="28"/>
  <c r="C36" i="29"/>
  <c r="P28" i="14" l="1"/>
  <c r="P29" i="14"/>
  <c r="Q9" i="6"/>
  <c r="AC12" i="8"/>
  <c r="Z12" i="8"/>
  <c r="H22" i="13"/>
  <c r="AC10" i="13"/>
  <c r="Z10" i="13"/>
  <c r="P25" i="5"/>
  <c r="P24" i="5"/>
  <c r="AC11" i="13"/>
  <c r="Z11" i="13"/>
  <c r="AC10" i="5"/>
  <c r="Z10" i="5"/>
  <c r="Q10" i="5"/>
  <c r="AC18" i="26"/>
  <c r="Z18" i="26"/>
  <c r="AC19" i="8"/>
  <c r="Z19" i="8"/>
  <c r="R17" i="8"/>
  <c r="Q17" i="8"/>
  <c r="R6" i="27"/>
  <c r="AC6" i="27"/>
  <c r="Z6" i="27"/>
  <c r="R7" i="27"/>
  <c r="AC7" i="27"/>
  <c r="Z7" i="27"/>
  <c r="AC15" i="11"/>
  <c r="Z15" i="11"/>
  <c r="AC7" i="20"/>
  <c r="Z7" i="20"/>
  <c r="C29" i="17"/>
  <c r="C30" i="17"/>
  <c r="AC15" i="19"/>
  <c r="Z15" i="19"/>
  <c r="R15" i="19"/>
  <c r="AC14" i="19"/>
  <c r="Z14" i="19"/>
  <c r="R14" i="19"/>
  <c r="AC9" i="17"/>
  <c r="Z9" i="17"/>
  <c r="Q9" i="17"/>
  <c r="S12" i="19"/>
  <c r="S8" i="19"/>
  <c r="AC12" i="19"/>
  <c r="Z12" i="19"/>
  <c r="P9" i="7" l="1"/>
  <c r="Q9" i="7" s="1"/>
  <c r="R9" i="7" s="1"/>
  <c r="AC9" i="22"/>
  <c r="Z9" i="22"/>
  <c r="Q9" i="22"/>
  <c r="C26" i="18"/>
  <c r="C27" i="18"/>
  <c r="P38" i="20"/>
  <c r="AC15" i="20"/>
  <c r="Z15" i="20"/>
  <c r="AC15" i="23"/>
  <c r="Z15" i="23"/>
  <c r="AC10" i="4"/>
  <c r="Z10" i="4"/>
  <c r="P2" i="18"/>
  <c r="AC14" i="18"/>
  <c r="Z14" i="18"/>
  <c r="R9" i="6"/>
  <c r="AC9" i="6"/>
  <c r="Z9" i="6"/>
  <c r="S7" i="17"/>
  <c r="AC7" i="17"/>
  <c r="Z7" i="17"/>
  <c r="AC17" i="26"/>
  <c r="Z17" i="26"/>
  <c r="AC18" i="19"/>
  <c r="Z18" i="19"/>
  <c r="AD13" i="9"/>
  <c r="AA13" i="9"/>
  <c r="AD14" i="24"/>
  <c r="AA14" i="24"/>
  <c r="T3" i="1"/>
  <c r="AD3" i="1"/>
  <c r="AA3" i="1"/>
  <c r="AC13" i="23"/>
  <c r="Z13" i="23"/>
  <c r="R9" i="28"/>
  <c r="S9" i="28" s="1"/>
  <c r="T9" i="28" s="1"/>
  <c r="U9" i="28" s="1"/>
  <c r="Q9" i="28"/>
  <c r="Q5" i="2"/>
  <c r="R5" i="2" s="1"/>
  <c r="S5" i="2" s="1"/>
  <c r="T5" i="2" s="1"/>
  <c r="U5" i="2" s="1"/>
  <c r="AC11" i="10"/>
  <c r="Z11" i="10"/>
  <c r="AC11" i="16"/>
  <c r="Z11" i="16"/>
  <c r="AC13" i="16"/>
  <c r="Z13" i="16"/>
  <c r="C33" i="7" l="1"/>
  <c r="AC14" i="11"/>
  <c r="Z14" i="11"/>
  <c r="J29" i="8"/>
  <c r="J28" i="8"/>
  <c r="AC14" i="8"/>
  <c r="Z14" i="8"/>
  <c r="P33" i="8"/>
  <c r="P32" i="8"/>
  <c r="P29" i="10"/>
  <c r="AC14" i="29"/>
  <c r="Z14" i="29"/>
  <c r="P6" i="12"/>
  <c r="Q6" i="12" s="1"/>
  <c r="R6" i="12" s="1"/>
  <c r="AC6" i="12"/>
  <c r="Z6" i="12"/>
  <c r="S10" i="23"/>
  <c r="AC10" i="23"/>
  <c r="Z10" i="23"/>
  <c r="AC18" i="29"/>
  <c r="Z18" i="29"/>
  <c r="Q7" i="19"/>
  <c r="Q5" i="19"/>
  <c r="AC7" i="19"/>
  <c r="Z7" i="19"/>
  <c r="AD14" i="2"/>
  <c r="AA14" i="2"/>
  <c r="AC14" i="6"/>
  <c r="Z14" i="6"/>
  <c r="C31" i="13"/>
  <c r="C30" i="13"/>
  <c r="AC5" i="13"/>
  <c r="Z5" i="13"/>
  <c r="P9" i="9"/>
  <c r="AC9" i="9"/>
  <c r="Z9" i="9"/>
  <c r="P6" i="2"/>
  <c r="C29" i="2" s="1"/>
  <c r="AD6" i="2"/>
  <c r="AA6" i="2"/>
  <c r="P27" i="9" l="1"/>
  <c r="P28" i="9"/>
  <c r="Q9" i="9"/>
  <c r="C32" i="9"/>
  <c r="C31" i="12"/>
  <c r="P28" i="12"/>
  <c r="Q6" i="2"/>
  <c r="R6" i="2" s="1"/>
  <c r="AC5" i="20"/>
  <c r="Z5" i="20"/>
  <c r="Q5" i="20"/>
  <c r="AC4" i="20"/>
  <c r="Z4" i="20"/>
  <c r="R4" i="20"/>
  <c r="C28" i="15"/>
  <c r="C29" i="15"/>
  <c r="AC13" i="24"/>
  <c r="Z13" i="24"/>
  <c r="P9" i="19"/>
  <c r="AC9" i="19"/>
  <c r="Z9" i="19"/>
  <c r="Q6" i="7"/>
  <c r="AC6" i="7"/>
  <c r="Z6" i="7"/>
  <c r="S8" i="16"/>
  <c r="P27" i="4"/>
  <c r="AC21" i="4"/>
  <c r="Z21" i="4"/>
  <c r="R16" i="4"/>
  <c r="Q16" i="4"/>
  <c r="P16" i="4"/>
  <c r="S6" i="16"/>
  <c r="R4" i="27"/>
  <c r="T4" i="27" s="1"/>
  <c r="P4" i="27"/>
  <c r="P5" i="23"/>
  <c r="P25" i="23" s="1"/>
  <c r="AC5" i="23"/>
  <c r="Z5" i="23"/>
  <c r="Q7" i="15"/>
  <c r="R7" i="15" s="1"/>
  <c r="AD7" i="15"/>
  <c r="AA7" i="15"/>
  <c r="T2" i="4"/>
  <c r="AC2" i="4"/>
  <c r="Z2" i="4"/>
  <c r="AC4" i="27"/>
  <c r="Z4" i="27"/>
  <c r="AC6" i="16"/>
  <c r="Z6" i="16"/>
  <c r="P9" i="16"/>
  <c r="AC9" i="16"/>
  <c r="Z9" i="16"/>
  <c r="P10" i="1"/>
  <c r="C32" i="1" s="1"/>
  <c r="AC10" i="1"/>
  <c r="Z10" i="1"/>
  <c r="Q10" i="15"/>
  <c r="AD10" i="15"/>
  <c r="AA10" i="15"/>
  <c r="T6" i="14"/>
  <c r="AC6" i="14"/>
  <c r="Z6" i="14"/>
  <c r="Q5" i="23" l="1"/>
  <c r="R5" i="23" s="1"/>
  <c r="S5" i="23" s="1"/>
  <c r="C29" i="23"/>
  <c r="Q10" i="1"/>
  <c r="R10" i="1" s="1"/>
  <c r="Q9" i="19"/>
  <c r="C30" i="19"/>
  <c r="Q9" i="16"/>
  <c r="R9" i="16" s="1"/>
  <c r="C32" i="16"/>
  <c r="C32" i="21"/>
  <c r="S7" i="26"/>
  <c r="AC7" i="26"/>
  <c r="Z7" i="26"/>
  <c r="T17" i="8"/>
  <c r="S17" i="8"/>
  <c r="P30" i="8"/>
  <c r="P9" i="11"/>
  <c r="AC9" i="11"/>
  <c r="Z9" i="11"/>
  <c r="AC12" i="30"/>
  <c r="Z12" i="30"/>
  <c r="AC8" i="16"/>
  <c r="Z8" i="16"/>
  <c r="R6" i="24"/>
  <c r="R7" i="7"/>
  <c r="AC7" i="7"/>
  <c r="Z7" i="7"/>
  <c r="AC2" i="18"/>
  <c r="Z2" i="18"/>
  <c r="AC6" i="6"/>
  <c r="Z6" i="6"/>
  <c r="R6" i="6"/>
  <c r="AC6" i="20"/>
  <c r="Z6" i="20"/>
  <c r="Q6" i="20"/>
  <c r="AC3" i="20"/>
  <c r="Z3" i="20"/>
  <c r="Q3" i="20"/>
  <c r="AC4" i="6"/>
  <c r="Z4" i="6"/>
  <c r="Q4" i="6"/>
  <c r="AC4" i="8"/>
  <c r="Z4" i="8"/>
  <c r="R4" i="8"/>
  <c r="T4" i="12"/>
  <c r="AC4" i="12"/>
  <c r="Z4" i="12"/>
  <c r="Q11" i="30"/>
  <c r="AC11" i="30"/>
  <c r="Z11" i="30"/>
  <c r="P34" i="3"/>
  <c r="P33" i="3"/>
  <c r="AC26" i="8"/>
  <c r="Z26" i="8"/>
  <c r="AC25" i="8"/>
  <c r="Z25" i="8"/>
  <c r="Q7" i="24"/>
  <c r="R7" i="24" s="1"/>
  <c r="AC7" i="24"/>
  <c r="Z7" i="24"/>
  <c r="AC5" i="19"/>
  <c r="Z5" i="19"/>
  <c r="S5" i="10"/>
  <c r="AC5" i="10"/>
  <c r="Z5" i="10"/>
  <c r="S5" i="8"/>
  <c r="S3" i="8"/>
  <c r="AC3" i="8"/>
  <c r="Z3" i="8"/>
  <c r="U4" i="29"/>
  <c r="AC4" i="29"/>
  <c r="Z4" i="29"/>
  <c r="D62" i="6"/>
  <c r="C62" i="6"/>
  <c r="C38" i="6"/>
  <c r="AC3" i="13"/>
  <c r="Z3" i="13"/>
  <c r="Q6" i="13"/>
  <c r="R6" i="13" s="1"/>
  <c r="AC6" i="13"/>
  <c r="Z6" i="13"/>
  <c r="T5" i="28"/>
  <c r="S12" i="6"/>
  <c r="AC12" i="6"/>
  <c r="Z12" i="6"/>
  <c r="T5" i="17"/>
  <c r="AC5" i="17"/>
  <c r="Z5" i="17"/>
  <c r="AC14" i="22"/>
  <c r="Z14" i="22"/>
  <c r="AC6" i="24"/>
  <c r="Z6" i="24"/>
  <c r="S2" i="1"/>
  <c r="AC2" i="1"/>
  <c r="Z2" i="1"/>
  <c r="Q7" i="28"/>
  <c r="R7" i="28" s="1"/>
  <c r="S7" i="28" s="1"/>
  <c r="AD7" i="28"/>
  <c r="AA7" i="28"/>
  <c r="AC16" i="21"/>
  <c r="Z16" i="21"/>
  <c r="AD5" i="28"/>
  <c r="AA5" i="28"/>
  <c r="Q6" i="25"/>
  <c r="R6" i="25" s="1"/>
  <c r="S6" i="25" s="1"/>
  <c r="T6" i="25" s="1"/>
  <c r="U6" i="25" s="1"/>
  <c r="AC12" i="12"/>
  <c r="Z12" i="12"/>
  <c r="AC15" i="26"/>
  <c r="Z15" i="26"/>
  <c r="AC5" i="8"/>
  <c r="Z5" i="8"/>
  <c r="AD14" i="15"/>
  <c r="AA14" i="15"/>
  <c r="Q7" i="13"/>
  <c r="AC7" i="13"/>
  <c r="Z7" i="13"/>
  <c r="Q3" i="15"/>
  <c r="R3" i="15" s="1"/>
  <c r="S11" i="15"/>
  <c r="T11" i="15" s="1"/>
  <c r="Q6" i="15"/>
  <c r="R6" i="15" s="1"/>
  <c r="AD6" i="15"/>
  <c r="AA6" i="15"/>
  <c r="AD3" i="15"/>
  <c r="AA3" i="15"/>
  <c r="AC9" i="24"/>
  <c r="Z9" i="24"/>
  <c r="Q9" i="24"/>
  <c r="AC15" i="14"/>
  <c r="Z15" i="14"/>
  <c r="S7" i="9"/>
  <c r="T7" i="9" s="1"/>
  <c r="AC24" i="22"/>
  <c r="Z24" i="22"/>
  <c r="Q9" i="11" l="1"/>
  <c r="R9" i="11" s="1"/>
  <c r="P26" i="11"/>
  <c r="P27" i="11"/>
  <c r="E62" i="6"/>
  <c r="T9" i="29"/>
  <c r="T10" i="28"/>
  <c r="T12" i="27"/>
  <c r="T11" i="22"/>
  <c r="AC23" i="22"/>
  <c r="Z23" i="22"/>
  <c r="S10" i="18"/>
  <c r="T10" i="18" s="1"/>
  <c r="P29" i="17"/>
  <c r="P28" i="17"/>
  <c r="S6" i="17"/>
  <c r="T6" i="17" s="1"/>
  <c r="P31" i="12"/>
  <c r="P30" i="12"/>
  <c r="S11" i="7"/>
  <c r="T11" i="7" s="1"/>
  <c r="S10" i="7"/>
  <c r="T10" i="7" s="1"/>
  <c r="S8" i="5"/>
  <c r="T8" i="5" s="1"/>
  <c r="C33" i="2"/>
  <c r="AC18" i="20"/>
  <c r="Z18" i="20"/>
  <c r="P28" i="25"/>
  <c r="P27" i="25"/>
  <c r="T10" i="25"/>
  <c r="P32" i="6"/>
  <c r="P31" i="6"/>
  <c r="T13" i="6"/>
  <c r="T16" i="14"/>
  <c r="T8" i="23"/>
  <c r="P29" i="23"/>
  <c r="P28" i="23"/>
  <c r="AC19" i="23"/>
  <c r="Z19" i="23"/>
  <c r="P30" i="10"/>
  <c r="P33" i="10"/>
  <c r="P32" i="10"/>
  <c r="T13" i="19"/>
  <c r="T8" i="19"/>
  <c r="P29" i="19"/>
  <c r="P28" i="19"/>
  <c r="P22" i="19"/>
  <c r="P20" i="19"/>
  <c r="P26" i="19" s="1"/>
  <c r="AC22" i="19"/>
  <c r="Z22" i="19"/>
  <c r="P30" i="16"/>
  <c r="P29" i="16"/>
  <c r="P21" i="16"/>
  <c r="AC21" i="16"/>
  <c r="Z21" i="16"/>
  <c r="AC6" i="9"/>
  <c r="Z6" i="9"/>
  <c r="Q6" i="9"/>
  <c r="P37" i="20"/>
  <c r="P36" i="20"/>
  <c r="T9" i="20"/>
  <c r="P30" i="2"/>
  <c r="P29" i="2"/>
  <c r="AC10" i="20"/>
  <c r="Z10" i="20"/>
  <c r="Q10" i="20"/>
  <c r="P29" i="13"/>
  <c r="P28" i="13"/>
  <c r="P18" i="13"/>
  <c r="AC18" i="13"/>
  <c r="Z18" i="13"/>
  <c r="P29" i="21"/>
  <c r="P28" i="21"/>
  <c r="T10" i="8"/>
  <c r="S9" i="8"/>
  <c r="T9" i="8" s="1"/>
  <c r="S7" i="8"/>
  <c r="T7" i="8" s="1"/>
  <c r="P19" i="1"/>
  <c r="AC23" i="1"/>
  <c r="Z23" i="1"/>
  <c r="AC5" i="1"/>
  <c r="Z5" i="1"/>
  <c r="Q5" i="1"/>
  <c r="S7" i="30" l="1"/>
  <c r="T7" i="30" s="1"/>
  <c r="S5" i="4"/>
  <c r="T5" i="4" s="1"/>
  <c r="T11" i="2"/>
  <c r="S9" i="2"/>
  <c r="T9" i="2" s="1"/>
  <c r="S9" i="1"/>
  <c r="T9" i="1" s="1"/>
  <c r="AC6" i="22" l="1"/>
  <c r="Z6" i="22"/>
  <c r="S6" i="22"/>
  <c r="AC10" i="3"/>
  <c r="Z10" i="3"/>
  <c r="R10" i="3"/>
  <c r="AC9" i="12"/>
  <c r="Z9" i="12"/>
  <c r="Q9" i="12"/>
  <c r="AC4" i="17"/>
  <c r="Z4" i="17"/>
  <c r="R4" i="17"/>
  <c r="AD14" i="25"/>
  <c r="AA14" i="25"/>
  <c r="AC10" i="16"/>
  <c r="Z10" i="16"/>
  <c r="AC7" i="16"/>
  <c r="Z7" i="16"/>
  <c r="Q7" i="16"/>
  <c r="AC8" i="22"/>
  <c r="Z8" i="22"/>
  <c r="Q8" i="22"/>
  <c r="AC5" i="22"/>
  <c r="Z5" i="22"/>
  <c r="Q5" i="22"/>
  <c r="AC2" i="20"/>
  <c r="Z2" i="20"/>
  <c r="S2" i="20"/>
  <c r="AC29" i="20"/>
  <c r="Z29" i="20"/>
  <c r="P28" i="15" l="1"/>
  <c r="P27" i="15"/>
  <c r="P27" i="24"/>
  <c r="P26" i="24"/>
  <c r="P28" i="5"/>
  <c r="P27" i="5"/>
  <c r="Q2" i="24"/>
  <c r="T2" i="24" s="1"/>
  <c r="AC12" i="16"/>
  <c r="Z12" i="16"/>
  <c r="AC4" i="18"/>
  <c r="Z4" i="18"/>
  <c r="S4" i="18"/>
  <c r="AC4" i="16"/>
  <c r="Z4" i="16"/>
  <c r="R4" i="16"/>
  <c r="AC5" i="24"/>
  <c r="Z5" i="24"/>
  <c r="R5" i="24"/>
  <c r="P32" i="7"/>
  <c r="P31" i="7"/>
  <c r="R13" i="21"/>
  <c r="S13" i="21" s="1"/>
  <c r="T13" i="21" s="1"/>
  <c r="Q13" i="21"/>
  <c r="P13" i="21"/>
  <c r="P26" i="21" s="1"/>
  <c r="P31" i="28"/>
  <c r="P30" i="28"/>
  <c r="P34" i="27"/>
  <c r="P33" i="27"/>
  <c r="P27" i="26"/>
  <c r="P26" i="26"/>
  <c r="AC12" i="23"/>
  <c r="Z12" i="23"/>
  <c r="AC12" i="20"/>
  <c r="Z12" i="20"/>
  <c r="AC2" i="23"/>
  <c r="Z2" i="23"/>
  <c r="AC13" i="3"/>
  <c r="Z13" i="3"/>
  <c r="AC11" i="8"/>
  <c r="Z11" i="8"/>
  <c r="R2" i="24" l="1"/>
  <c r="S2" i="24"/>
  <c r="P30" i="4"/>
  <c r="P29" i="4"/>
  <c r="P32" i="30"/>
  <c r="P31" i="30"/>
  <c r="P34" i="29" l="1"/>
  <c r="P33" i="29"/>
  <c r="P32" i="22"/>
  <c r="P31" i="22"/>
  <c r="P3" i="22" s="1"/>
  <c r="P25" i="18"/>
  <c r="P24" i="18"/>
  <c r="P3" i="18" s="1"/>
  <c r="P21" i="18" s="1"/>
  <c r="P31" i="9"/>
  <c r="P30" i="9"/>
  <c r="P32" i="1"/>
  <c r="P31" i="1"/>
  <c r="AC4" i="13"/>
  <c r="Z4" i="13"/>
  <c r="Q4" i="13"/>
  <c r="P28" i="22" l="1"/>
  <c r="P29" i="22"/>
  <c r="Q3" i="18"/>
  <c r="R3" i="18" s="1"/>
  <c r="S3" i="18" s="1"/>
  <c r="T3" i="18" s="1"/>
  <c r="P22" i="18"/>
  <c r="AC3" i="22"/>
  <c r="Z3" i="22"/>
  <c r="Q3" i="22"/>
  <c r="R3" i="22" s="1"/>
  <c r="S3" i="22" s="1"/>
  <c r="T3" i="22" s="1"/>
  <c r="P3" i="7" l="1"/>
  <c r="P3" i="27"/>
  <c r="Q3" i="27" l="1"/>
  <c r="R3" i="27" s="1"/>
  <c r="S3" i="27" s="1"/>
  <c r="Q3" i="7"/>
  <c r="R3" i="7" s="1"/>
  <c r="S3" i="7" s="1"/>
  <c r="T3" i="7" s="1"/>
  <c r="Q4" i="7"/>
  <c r="P4" i="7"/>
  <c r="P27" i="7" l="1"/>
  <c r="P26" i="7"/>
  <c r="C37" i="26" l="1"/>
  <c r="C34" i="26"/>
  <c r="C44" i="29"/>
  <c r="C41" i="29"/>
  <c r="C39" i="24" l="1"/>
  <c r="C36" i="24"/>
  <c r="D65" i="27"/>
  <c r="C65" i="27"/>
  <c r="C42" i="27"/>
  <c r="C39" i="27"/>
  <c r="J29" i="27"/>
  <c r="J28" i="27"/>
  <c r="AC25" i="27"/>
  <c r="Z25" i="27"/>
  <c r="AC24" i="27"/>
  <c r="Z24" i="27"/>
  <c r="AC23" i="27"/>
  <c r="Z23" i="27"/>
  <c r="AC18" i="27"/>
  <c r="Z18" i="27"/>
  <c r="AC17" i="27"/>
  <c r="Z17" i="27"/>
  <c r="AC10" i="27"/>
  <c r="Z10" i="27"/>
  <c r="Q10" i="27"/>
  <c r="AC9" i="27"/>
  <c r="Z9" i="27"/>
  <c r="Q9" i="27"/>
  <c r="AC8" i="27"/>
  <c r="Z8" i="27"/>
  <c r="Q8" i="27"/>
  <c r="AC5" i="27"/>
  <c r="Z5" i="27"/>
  <c r="R5" i="27"/>
  <c r="AC3" i="27"/>
  <c r="Z3" i="27"/>
  <c r="AC2" i="27"/>
  <c r="Z2" i="27"/>
  <c r="E65" i="27" l="1"/>
  <c r="C38" i="23"/>
  <c r="C35" i="23"/>
  <c r="AC20" i="23"/>
  <c r="Z20" i="23"/>
  <c r="AC9" i="23"/>
  <c r="Z9" i="23"/>
  <c r="AC7" i="23"/>
  <c r="Z7" i="23"/>
  <c r="R7" i="23"/>
  <c r="AC4" i="23"/>
  <c r="Z4" i="23"/>
  <c r="R4" i="23"/>
  <c r="AC3" i="23"/>
  <c r="Z3" i="23"/>
  <c r="C47" i="20"/>
  <c r="C44" i="20"/>
  <c r="C38" i="19"/>
  <c r="C35" i="19"/>
  <c r="J25" i="19"/>
  <c r="J24" i="19"/>
  <c r="AC17" i="19"/>
  <c r="Z17" i="19"/>
  <c r="AC16" i="19"/>
  <c r="Z16" i="19"/>
  <c r="AC11" i="19"/>
  <c r="Z11" i="19"/>
  <c r="Q11" i="19"/>
  <c r="AC10" i="19"/>
  <c r="Z10" i="19"/>
  <c r="AC6" i="19"/>
  <c r="Z6" i="19"/>
  <c r="AC4" i="19"/>
  <c r="Z4" i="19"/>
  <c r="Q4" i="19"/>
  <c r="AC3" i="19"/>
  <c r="Z3" i="19"/>
  <c r="AC2" i="19"/>
  <c r="Z2" i="19"/>
  <c r="R2" i="19"/>
  <c r="C32" i="18"/>
  <c r="AC12" i="18"/>
  <c r="Z12" i="18"/>
  <c r="AC11" i="18"/>
  <c r="Z11" i="18"/>
  <c r="Q11" i="18"/>
  <c r="AC9" i="18"/>
  <c r="Z9" i="18"/>
  <c r="Q9" i="18"/>
  <c r="AC8" i="18"/>
  <c r="Z8" i="18"/>
  <c r="S8" i="18"/>
  <c r="AC7" i="18"/>
  <c r="Z7" i="18"/>
  <c r="S7" i="18"/>
  <c r="AC6" i="18"/>
  <c r="Z6" i="18"/>
  <c r="Q6" i="18"/>
  <c r="AC5" i="18"/>
  <c r="Z5" i="18"/>
  <c r="Q5" i="18"/>
  <c r="Q19" i="16"/>
  <c r="P19" i="16"/>
  <c r="C40" i="16"/>
  <c r="C37" i="16"/>
  <c r="J26" i="16"/>
  <c r="J25" i="16"/>
  <c r="AC23" i="16"/>
  <c r="Z23" i="16"/>
  <c r="AC22" i="16"/>
  <c r="Z22" i="16"/>
  <c r="AC5" i="16"/>
  <c r="Z5" i="16"/>
  <c r="S5" i="16"/>
  <c r="AC3" i="16"/>
  <c r="Z3" i="16"/>
  <c r="AC2" i="16"/>
  <c r="Z2" i="16"/>
  <c r="C40" i="21"/>
  <c r="C37" i="21"/>
  <c r="AC23" i="21"/>
  <c r="Z23" i="21"/>
  <c r="AC22" i="21"/>
  <c r="Z22" i="21"/>
  <c r="AC21" i="21"/>
  <c r="Z21" i="21"/>
  <c r="AC14" i="21"/>
  <c r="Z14" i="21"/>
  <c r="Q14" i="21"/>
  <c r="AC9" i="21"/>
  <c r="Z9" i="21"/>
  <c r="R9" i="21"/>
  <c r="AC8" i="21"/>
  <c r="Z8" i="21"/>
  <c r="Q8" i="21"/>
  <c r="AC7" i="21"/>
  <c r="Z7" i="21"/>
  <c r="R7" i="21"/>
  <c r="AC6" i="21"/>
  <c r="Z6" i="21"/>
  <c r="Q6" i="21"/>
  <c r="AC5" i="21"/>
  <c r="Z5" i="21"/>
  <c r="S5" i="21"/>
  <c r="AC4" i="21"/>
  <c r="Z4" i="21"/>
  <c r="Q4" i="21"/>
  <c r="AC3" i="21"/>
  <c r="Z3" i="21"/>
  <c r="R3" i="21"/>
  <c r="AC2" i="21"/>
  <c r="Z2" i="21"/>
  <c r="S2" i="21"/>
  <c r="C36" i="25"/>
  <c r="C40" i="28"/>
  <c r="C37" i="28"/>
  <c r="J26" i="28"/>
  <c r="J25" i="28"/>
  <c r="AD23" i="28"/>
  <c r="AA23" i="28"/>
  <c r="AD22" i="28"/>
  <c r="AA22" i="28"/>
  <c r="AD15" i="28"/>
  <c r="AA15" i="28"/>
  <c r="AD14" i="28"/>
  <c r="AA14" i="28"/>
  <c r="AD13" i="28"/>
  <c r="AA13" i="28"/>
  <c r="AD12" i="28"/>
  <c r="AA12" i="28"/>
  <c r="AD11" i="28"/>
  <c r="AA11" i="28"/>
  <c r="AD9" i="28"/>
  <c r="AA9" i="28"/>
  <c r="AD8" i="28"/>
  <c r="AA8" i="28"/>
  <c r="T8" i="28"/>
  <c r="AD6" i="28"/>
  <c r="AA6" i="28"/>
  <c r="R6" i="28"/>
  <c r="AD4" i="28"/>
  <c r="AA4" i="28"/>
  <c r="S4" i="28"/>
  <c r="AD3" i="28"/>
  <c r="AA3" i="28"/>
  <c r="AD2" i="28"/>
  <c r="AA2" i="28"/>
  <c r="P27" i="16" l="1"/>
  <c r="J24" i="17"/>
  <c r="J23" i="17"/>
  <c r="AC21" i="17"/>
  <c r="AC20" i="17"/>
  <c r="Z20" i="17"/>
  <c r="P17" i="17"/>
  <c r="P26" i="17" s="1"/>
  <c r="AC15" i="17"/>
  <c r="Z15" i="17"/>
  <c r="AC14" i="17"/>
  <c r="Z14" i="17"/>
  <c r="AC13" i="17"/>
  <c r="Z13" i="17"/>
  <c r="AC11" i="17"/>
  <c r="Z11" i="17"/>
  <c r="AC10" i="17"/>
  <c r="Z10" i="17"/>
  <c r="R10" i="17"/>
  <c r="AC8" i="17"/>
  <c r="S8" i="17"/>
  <c r="AC3" i="17"/>
  <c r="Z3" i="17"/>
  <c r="AC2" i="17"/>
  <c r="Z2" i="17"/>
  <c r="P25" i="17" l="1"/>
  <c r="C35" i="15"/>
  <c r="J23" i="15"/>
  <c r="J22" i="15"/>
  <c r="Q18" i="15"/>
  <c r="P18" i="15"/>
  <c r="P24" i="15" s="1"/>
  <c r="AD16" i="15"/>
  <c r="AA16" i="15"/>
  <c r="AD15" i="15"/>
  <c r="AA15" i="15"/>
  <c r="AD13" i="15"/>
  <c r="AA13" i="15"/>
  <c r="AD12" i="15"/>
  <c r="AA12" i="15"/>
  <c r="AD9" i="15"/>
  <c r="AA9" i="15"/>
  <c r="S9" i="15"/>
  <c r="AD8" i="15"/>
  <c r="AA8" i="15"/>
  <c r="AD5" i="15"/>
  <c r="AA5" i="15"/>
  <c r="Q5" i="15"/>
  <c r="AD4" i="15"/>
  <c r="AA4" i="15"/>
  <c r="R4" i="15"/>
  <c r="AD2" i="15"/>
  <c r="AA2" i="15"/>
  <c r="C38" i="14"/>
  <c r="AC24" i="14"/>
  <c r="Z24" i="14"/>
  <c r="AC13" i="14"/>
  <c r="Z13" i="14"/>
  <c r="R13" i="14"/>
  <c r="AC12" i="14"/>
  <c r="Z12" i="14"/>
  <c r="S12" i="14"/>
  <c r="AC11" i="14"/>
  <c r="Z11" i="14"/>
  <c r="Q11" i="14"/>
  <c r="AC10" i="14"/>
  <c r="Z10" i="14"/>
  <c r="R10" i="14"/>
  <c r="AC9" i="14"/>
  <c r="Z9" i="14"/>
  <c r="R9" i="14"/>
  <c r="AC8" i="14"/>
  <c r="Z8" i="14"/>
  <c r="S8" i="14"/>
  <c r="AC7" i="14"/>
  <c r="Z7" i="14"/>
  <c r="R7" i="14"/>
  <c r="AC5" i="14"/>
  <c r="Z5" i="14"/>
  <c r="S5" i="14"/>
  <c r="AC4" i="14"/>
  <c r="Z4" i="14"/>
  <c r="R4" i="14"/>
  <c r="AC3" i="14"/>
  <c r="Z3" i="14"/>
  <c r="R3" i="14"/>
  <c r="AC2" i="14"/>
  <c r="Z2" i="14"/>
  <c r="Q2" i="14"/>
  <c r="C36" i="13"/>
  <c r="J25" i="13"/>
  <c r="AC19" i="13"/>
  <c r="Z19" i="13"/>
  <c r="AC9" i="13"/>
  <c r="Z9" i="13"/>
  <c r="Q9" i="13"/>
  <c r="AC8" i="13"/>
  <c r="Z8" i="13"/>
  <c r="Q8" i="13"/>
  <c r="AC2" i="13"/>
  <c r="Z2" i="13"/>
  <c r="C37" i="22"/>
  <c r="J27" i="22"/>
  <c r="J26" i="22"/>
  <c r="AC22" i="22"/>
  <c r="Z22" i="22"/>
  <c r="AC21" i="22"/>
  <c r="Z21" i="22"/>
  <c r="AC13" i="22"/>
  <c r="Z13" i="22"/>
  <c r="AC12" i="22"/>
  <c r="Z12" i="22"/>
  <c r="AC10" i="22"/>
  <c r="Z10" i="22"/>
  <c r="S10" i="22"/>
  <c r="AC7" i="22"/>
  <c r="Z7" i="22"/>
  <c r="Q7" i="22"/>
  <c r="AC4" i="22"/>
  <c r="Z4" i="22"/>
  <c r="AC2" i="22"/>
  <c r="Z2" i="22"/>
  <c r="C38" i="12"/>
  <c r="J26" i="12"/>
  <c r="J25" i="12"/>
  <c r="AC22" i="12"/>
  <c r="Z22" i="12"/>
  <c r="AC21" i="12"/>
  <c r="Z21" i="12"/>
  <c r="AC14" i="12"/>
  <c r="Z14" i="12"/>
  <c r="AC13" i="12"/>
  <c r="Z13" i="12"/>
  <c r="AC11" i="12"/>
  <c r="Z11" i="12"/>
  <c r="S11" i="12"/>
  <c r="AC8" i="12"/>
  <c r="Z8" i="12"/>
  <c r="S8" i="12"/>
  <c r="AC7" i="12"/>
  <c r="Z7" i="12"/>
  <c r="Q7" i="12"/>
  <c r="AC5" i="12"/>
  <c r="Z5" i="12"/>
  <c r="R5" i="12"/>
  <c r="AC3" i="12"/>
  <c r="Z3" i="12"/>
  <c r="AC2" i="12"/>
  <c r="Z2" i="12"/>
  <c r="C35" i="11"/>
  <c r="AC13" i="11"/>
  <c r="Z13" i="11"/>
  <c r="AC12" i="11"/>
  <c r="Z12" i="11"/>
  <c r="AC11" i="11"/>
  <c r="Z11" i="11"/>
  <c r="AC10" i="11"/>
  <c r="Z10" i="11"/>
  <c r="Q10" i="11"/>
  <c r="AC8" i="11"/>
  <c r="Z8" i="11"/>
  <c r="Q8" i="11"/>
  <c r="AC7" i="11"/>
  <c r="Z7" i="11"/>
  <c r="R7" i="11"/>
  <c r="AC6" i="11"/>
  <c r="Z6" i="11"/>
  <c r="R6" i="11"/>
  <c r="AC5" i="11"/>
  <c r="Z5" i="11"/>
  <c r="S5" i="11"/>
  <c r="AC4" i="11"/>
  <c r="Z4" i="11"/>
  <c r="AC3" i="11"/>
  <c r="Z3" i="11"/>
  <c r="S3" i="11"/>
  <c r="AC2" i="11"/>
  <c r="Z2" i="11"/>
  <c r="Q2" i="11"/>
  <c r="C40" i="10"/>
  <c r="J28" i="10"/>
  <c r="J27" i="10"/>
  <c r="AC24" i="10"/>
  <c r="Z24" i="10"/>
  <c r="AC22" i="10"/>
  <c r="Z22" i="10"/>
  <c r="AC21" i="10"/>
  <c r="Z21" i="10"/>
  <c r="AC20" i="10"/>
  <c r="Z20" i="10"/>
  <c r="AC19" i="10"/>
  <c r="Z19" i="10"/>
  <c r="AC12" i="10"/>
  <c r="Z12" i="10"/>
  <c r="AC9" i="10"/>
  <c r="Z9" i="10"/>
  <c r="AC8" i="10"/>
  <c r="Z8" i="10"/>
  <c r="AC7" i="10"/>
  <c r="Z7" i="10"/>
  <c r="R7" i="10"/>
  <c r="AC6" i="10"/>
  <c r="Z6" i="10"/>
  <c r="Q6" i="10"/>
  <c r="AC4" i="10"/>
  <c r="Z4" i="10"/>
  <c r="T4" i="10"/>
  <c r="AC3" i="10"/>
  <c r="Z3" i="10"/>
  <c r="AC2" i="10"/>
  <c r="Z2" i="10"/>
  <c r="AC24" i="8"/>
  <c r="Z24" i="8"/>
  <c r="AC23" i="8"/>
  <c r="Z23" i="8"/>
  <c r="AC22" i="8"/>
  <c r="Z22" i="8"/>
  <c r="AC21" i="8"/>
  <c r="Z21" i="8"/>
  <c r="AC20" i="8"/>
  <c r="Z20" i="8"/>
  <c r="AC13" i="8"/>
  <c r="Z13" i="8"/>
  <c r="AC8" i="8"/>
  <c r="Z8" i="8"/>
  <c r="AC6" i="8"/>
  <c r="Z6" i="8"/>
  <c r="Q6" i="8"/>
  <c r="AC2" i="8"/>
  <c r="Z2" i="8"/>
  <c r="J25" i="7"/>
  <c r="AC20" i="5"/>
  <c r="Z20" i="5"/>
  <c r="AC15" i="5"/>
  <c r="Z15" i="5"/>
  <c r="AC12" i="5"/>
  <c r="Z12" i="5"/>
  <c r="S12" i="5"/>
  <c r="AC11" i="5"/>
  <c r="Z11" i="5"/>
  <c r="AC9" i="5"/>
  <c r="Z9" i="5"/>
  <c r="R9" i="5"/>
  <c r="AC7" i="5"/>
  <c r="Z7" i="5"/>
  <c r="S7" i="5"/>
  <c r="AC6" i="5"/>
  <c r="Z6" i="5"/>
  <c r="T6" i="5"/>
  <c r="AC5" i="5"/>
  <c r="Z5" i="5"/>
  <c r="Q5" i="5"/>
  <c r="AC4" i="5"/>
  <c r="Z4" i="5"/>
  <c r="S4" i="5"/>
  <c r="AC3" i="5"/>
  <c r="Z3" i="5"/>
  <c r="AC2" i="5"/>
  <c r="Z2" i="5"/>
  <c r="S2" i="5"/>
  <c r="P25" i="15" l="1"/>
  <c r="D60" i="4"/>
  <c r="C60" i="4"/>
  <c r="C35" i="4"/>
  <c r="D67" i="3"/>
  <c r="C67" i="3"/>
  <c r="C42" i="3"/>
  <c r="C39" i="3"/>
  <c r="J29" i="3"/>
  <c r="D62" i="2"/>
  <c r="C62" i="2"/>
  <c r="C40" i="2"/>
  <c r="C37" i="2"/>
  <c r="J24" i="2"/>
  <c r="D69" i="1"/>
  <c r="C69" i="1"/>
  <c r="C40" i="1"/>
  <c r="C37" i="1"/>
  <c r="Z22" i="3"/>
  <c r="AC22" i="3"/>
  <c r="AC24" i="6"/>
  <c r="Z24" i="6"/>
  <c r="AC23" i="6"/>
  <c r="Z23" i="6"/>
  <c r="AC22" i="6"/>
  <c r="Z22" i="6"/>
  <c r="AC15" i="6"/>
  <c r="Z15" i="6"/>
  <c r="AC11" i="6"/>
  <c r="Z11" i="6"/>
  <c r="Q11" i="6"/>
  <c r="AC10" i="6"/>
  <c r="Z10" i="6"/>
  <c r="R10" i="6"/>
  <c r="AC8" i="6"/>
  <c r="Z8" i="6"/>
  <c r="R8" i="6"/>
  <c r="AC7" i="6"/>
  <c r="Z7" i="6"/>
  <c r="R7" i="6"/>
  <c r="S7" i="6" s="1"/>
  <c r="Q7" i="6"/>
  <c r="P7" i="6"/>
  <c r="P29" i="6" s="1"/>
  <c r="AC5" i="6"/>
  <c r="Z5" i="6"/>
  <c r="S5" i="6"/>
  <c r="AC3" i="6"/>
  <c r="Z3" i="6"/>
  <c r="Q3" i="6"/>
  <c r="AC2" i="6"/>
  <c r="Z2" i="6"/>
  <c r="E69" i="1" l="1"/>
  <c r="E62" i="2"/>
  <c r="Q29" i="15"/>
  <c r="E60" i="4"/>
  <c r="E67" i="3"/>
  <c r="C38" i="7"/>
  <c r="J24" i="7"/>
  <c r="AC21" i="7"/>
  <c r="Z21" i="7"/>
  <c r="AC16" i="7"/>
  <c r="Z16" i="7"/>
  <c r="AC14" i="7"/>
  <c r="Z14" i="7"/>
  <c r="AC13" i="7"/>
  <c r="Z13" i="7"/>
  <c r="AC8" i="7"/>
  <c r="Z8" i="7"/>
  <c r="R8" i="7"/>
  <c r="AC5" i="7"/>
  <c r="Z5" i="7"/>
  <c r="R5" i="7"/>
  <c r="AC4" i="7"/>
  <c r="Z4" i="7"/>
  <c r="R4" i="7"/>
  <c r="AC3" i="7"/>
  <c r="Z3" i="7"/>
  <c r="AC2" i="7"/>
  <c r="Z2" i="7"/>
  <c r="Q4" i="24"/>
  <c r="R4" i="24" s="1"/>
  <c r="P4" i="24"/>
  <c r="AC4" i="24"/>
  <c r="Z4" i="24"/>
  <c r="AC20" i="24"/>
  <c r="Z20" i="24"/>
  <c r="AC19" i="24"/>
  <c r="Z19" i="24"/>
  <c r="P17" i="24"/>
  <c r="AC12" i="24"/>
  <c r="Z12" i="24"/>
  <c r="AC11" i="24"/>
  <c r="Z11" i="24"/>
  <c r="S11" i="24"/>
  <c r="AC10" i="24"/>
  <c r="Z10" i="24"/>
  <c r="R10" i="24"/>
  <c r="AC8" i="24"/>
  <c r="Z8" i="24"/>
  <c r="Q8" i="24"/>
  <c r="AC3" i="24"/>
  <c r="Z3" i="24"/>
  <c r="AC2" i="24"/>
  <c r="Z2" i="24"/>
  <c r="P24" i="24" l="1"/>
  <c r="Q19" i="26"/>
  <c r="P19" i="26"/>
  <c r="AC14" i="26"/>
  <c r="Z14" i="26"/>
  <c r="S14" i="26"/>
  <c r="AC12" i="26"/>
  <c r="Z12" i="26"/>
  <c r="S12" i="26"/>
  <c r="AC11" i="26"/>
  <c r="Z11" i="26"/>
  <c r="R11" i="26"/>
  <c r="AC10" i="26"/>
  <c r="Z10" i="26"/>
  <c r="Q10" i="26"/>
  <c r="AC8" i="26"/>
  <c r="Z8" i="26"/>
  <c r="Q8" i="26"/>
  <c r="AC6" i="26"/>
  <c r="Z6" i="26"/>
  <c r="Q6" i="26"/>
  <c r="AC5" i="26"/>
  <c r="Z5" i="26"/>
  <c r="T5" i="26"/>
  <c r="AC4" i="26"/>
  <c r="Z4" i="26"/>
  <c r="Q4" i="26"/>
  <c r="AC3" i="26"/>
  <c r="Z3" i="26"/>
  <c r="Q3" i="26"/>
  <c r="AC2" i="26"/>
  <c r="Z2" i="26"/>
  <c r="AC25" i="29"/>
  <c r="Z25" i="29"/>
  <c r="AC24" i="29"/>
  <c r="Z24" i="29"/>
  <c r="AC23" i="29"/>
  <c r="Z23" i="29"/>
  <c r="AC22" i="29"/>
  <c r="Z22" i="29"/>
  <c r="AC15" i="29"/>
  <c r="Z15" i="29"/>
  <c r="AC13" i="29"/>
  <c r="Z13" i="29"/>
  <c r="AC12" i="29"/>
  <c r="Z12" i="29"/>
  <c r="R12" i="29"/>
  <c r="AC11" i="29"/>
  <c r="Z11" i="29"/>
  <c r="R11" i="29"/>
  <c r="AC10" i="29"/>
  <c r="Z10" i="29"/>
  <c r="R10" i="29"/>
  <c r="AC8" i="29"/>
  <c r="Z8" i="29"/>
  <c r="S8" i="29"/>
  <c r="AC7" i="29"/>
  <c r="Z7" i="29"/>
  <c r="Q7" i="29"/>
  <c r="AC5" i="29"/>
  <c r="Z5" i="29"/>
  <c r="R5" i="29"/>
  <c r="AC3" i="29"/>
  <c r="Z3" i="29"/>
  <c r="AC2" i="29"/>
  <c r="Z2" i="29"/>
  <c r="J28" i="3"/>
  <c r="AC23" i="3"/>
  <c r="Z23" i="3"/>
  <c r="AC21" i="3"/>
  <c r="Z21" i="3"/>
  <c r="AC17" i="3"/>
  <c r="Z17" i="3"/>
  <c r="AC16" i="3"/>
  <c r="Z16" i="3"/>
  <c r="AC12" i="3"/>
  <c r="Z12" i="3"/>
  <c r="AC11" i="3"/>
  <c r="Z11" i="3"/>
  <c r="AC9" i="3"/>
  <c r="Z9" i="3"/>
  <c r="Q9" i="3"/>
  <c r="AC8" i="3"/>
  <c r="Z8" i="3"/>
  <c r="S8" i="3"/>
  <c r="AC7" i="3"/>
  <c r="Z7" i="3"/>
  <c r="R7" i="3"/>
  <c r="AC6" i="3"/>
  <c r="Z6" i="3"/>
  <c r="R6" i="3"/>
  <c r="AC4" i="3"/>
  <c r="Z4" i="3"/>
  <c r="S4" i="3"/>
  <c r="AC3" i="3"/>
  <c r="Z3" i="3"/>
  <c r="AC2" i="3"/>
  <c r="Z2" i="3"/>
  <c r="S19" i="2"/>
  <c r="R19" i="2"/>
  <c r="Q19" i="2"/>
  <c r="P19" i="2"/>
  <c r="P25" i="2" s="1"/>
  <c r="AD16" i="2"/>
  <c r="AA16" i="2"/>
  <c r="AD15" i="2"/>
  <c r="AA15" i="2"/>
  <c r="AD13" i="2"/>
  <c r="AA13" i="2"/>
  <c r="AD12" i="2"/>
  <c r="AA12" i="2"/>
  <c r="R12" i="2"/>
  <c r="AD10" i="2"/>
  <c r="AA10" i="2"/>
  <c r="S10" i="2"/>
  <c r="AD8" i="2"/>
  <c r="AA8" i="2"/>
  <c r="S8" i="2"/>
  <c r="AD7" i="2"/>
  <c r="AA7" i="2"/>
  <c r="Q7" i="2"/>
  <c r="AD5" i="2"/>
  <c r="AA5" i="2"/>
  <c r="AD4" i="2"/>
  <c r="AA4" i="2"/>
  <c r="R4" i="2"/>
  <c r="AD3" i="2"/>
  <c r="AA3" i="2"/>
  <c r="AD2" i="2"/>
  <c r="AA2" i="2"/>
  <c r="P24" i="26" l="1"/>
  <c r="P26" i="2"/>
  <c r="AC17" i="9"/>
  <c r="Z17" i="9"/>
  <c r="AC16" i="9"/>
  <c r="Z16" i="9"/>
  <c r="AC15" i="9"/>
  <c r="Z15" i="9"/>
  <c r="AC14" i="9"/>
  <c r="Z14" i="9"/>
  <c r="AC12" i="9"/>
  <c r="Z12" i="9"/>
  <c r="AC11" i="9"/>
  <c r="Z11" i="9"/>
  <c r="AC10" i="9"/>
  <c r="Z10" i="9"/>
  <c r="AC8" i="9"/>
  <c r="Z8" i="9"/>
  <c r="R8" i="9"/>
  <c r="AC5" i="9"/>
  <c r="Z5" i="9"/>
  <c r="T5" i="9"/>
  <c r="AC4" i="9"/>
  <c r="Z4" i="9"/>
  <c r="AC3" i="9"/>
  <c r="Z3" i="9"/>
  <c r="AC2" i="9"/>
  <c r="Z2" i="9"/>
  <c r="J34" i="20"/>
  <c r="J33" i="20"/>
  <c r="AC31" i="20"/>
  <c r="Z31" i="20"/>
  <c r="AC30" i="20"/>
  <c r="Z30" i="20"/>
  <c r="AC28" i="20"/>
  <c r="Z28" i="20"/>
  <c r="R23" i="20"/>
  <c r="Q23" i="20"/>
  <c r="P23" i="20"/>
  <c r="P34" i="20" s="1"/>
  <c r="AC19" i="20"/>
  <c r="Z19" i="20"/>
  <c r="AC17" i="20"/>
  <c r="Z17" i="20"/>
  <c r="AC14" i="20"/>
  <c r="Z14" i="20"/>
  <c r="AC13" i="20"/>
  <c r="Z13" i="20"/>
  <c r="AC11" i="20"/>
  <c r="Z11" i="20"/>
  <c r="S11" i="20"/>
  <c r="AC8" i="20"/>
  <c r="Z8" i="20"/>
  <c r="R8" i="20"/>
  <c r="AD21" i="25"/>
  <c r="AA21" i="25"/>
  <c r="AD16" i="25"/>
  <c r="AA16" i="25"/>
  <c r="AD9" i="25"/>
  <c r="AA9" i="25"/>
  <c r="Q9" i="25"/>
  <c r="AD8" i="25"/>
  <c r="AA8" i="25"/>
  <c r="Q8" i="25"/>
  <c r="AD7" i="25"/>
  <c r="AA7" i="25"/>
  <c r="Q7" i="25"/>
  <c r="AD6" i="25"/>
  <c r="AA6" i="25"/>
  <c r="AD5" i="25"/>
  <c r="AA5" i="25"/>
  <c r="R5" i="25"/>
  <c r="AD4" i="25"/>
  <c r="AA4" i="25"/>
  <c r="R4" i="25"/>
  <c r="AD3" i="25"/>
  <c r="AA3" i="25"/>
  <c r="S3" i="25"/>
  <c r="AD2" i="25"/>
  <c r="AA2" i="25"/>
  <c r="T2" i="25"/>
  <c r="J28" i="30" l="1"/>
  <c r="J27" i="30"/>
  <c r="G27" i="30"/>
  <c r="H18" i="30" s="1"/>
  <c r="AC25" i="30"/>
  <c r="Z25" i="30"/>
  <c r="AC24" i="30"/>
  <c r="Z24" i="30"/>
  <c r="AC17" i="30"/>
  <c r="Z17" i="30"/>
  <c r="AC15" i="30"/>
  <c r="Z15" i="30"/>
  <c r="Q15" i="30"/>
  <c r="AC14" i="30"/>
  <c r="Z14" i="30"/>
  <c r="R14" i="30"/>
  <c r="AC13" i="30"/>
  <c r="Z13" i="30"/>
  <c r="R13" i="30"/>
  <c r="AC10" i="30"/>
  <c r="Z10" i="30"/>
  <c r="R10" i="30"/>
  <c r="AC9" i="30"/>
  <c r="Z9" i="30"/>
  <c r="S9" i="30"/>
  <c r="AC8" i="30"/>
  <c r="Z8" i="30"/>
  <c r="Q8" i="30"/>
  <c r="AC6" i="30"/>
  <c r="Z6" i="30"/>
  <c r="Q6" i="30"/>
  <c r="AC5" i="30"/>
  <c r="Z5" i="30"/>
  <c r="R5" i="30"/>
  <c r="AC4" i="30"/>
  <c r="Z4" i="30"/>
  <c r="R4" i="30"/>
  <c r="AC3" i="30"/>
  <c r="Z3" i="30"/>
  <c r="R3" i="30"/>
  <c r="AC2" i="30"/>
  <c r="Z2" i="30"/>
  <c r="H19" i="30" l="1"/>
  <c r="H16" i="30"/>
  <c r="H12" i="30"/>
  <c r="H20" i="30"/>
  <c r="H7" i="30"/>
  <c r="H11" i="30"/>
  <c r="H22" i="30"/>
  <c r="H2" i="30"/>
  <c r="H6" i="30"/>
  <c r="H25" i="30"/>
  <c r="H17" i="30"/>
  <c r="H10" i="30"/>
  <c r="H5" i="30"/>
  <c r="H15" i="30"/>
  <c r="H9" i="30"/>
  <c r="H4" i="30"/>
  <c r="H13" i="30"/>
  <c r="H24" i="30"/>
  <c r="H14" i="30"/>
  <c r="H8" i="30"/>
  <c r="H3" i="30"/>
  <c r="AC13" i="4"/>
  <c r="Z13" i="4"/>
  <c r="AC12" i="4"/>
  <c r="Z12" i="4"/>
  <c r="AC11" i="4"/>
  <c r="Z11" i="4"/>
  <c r="AC9" i="4"/>
  <c r="Z9" i="4"/>
  <c r="AC8" i="4"/>
  <c r="Z8" i="4"/>
  <c r="AC7" i="4"/>
  <c r="Z7" i="4"/>
  <c r="AC6" i="4"/>
  <c r="Z6" i="4"/>
  <c r="AC4" i="4"/>
  <c r="Z4" i="4"/>
  <c r="Q4" i="4"/>
  <c r="AC3" i="4"/>
  <c r="Z3" i="4"/>
  <c r="R3" i="4"/>
  <c r="H27" i="30" l="1"/>
  <c r="H28" i="30"/>
  <c r="P21" i="1"/>
  <c r="AC24" i="1"/>
  <c r="Z24" i="1"/>
  <c r="AC22" i="1"/>
  <c r="Z22" i="1"/>
  <c r="AC21" i="1"/>
  <c r="Z21" i="1"/>
  <c r="AC16" i="1"/>
  <c r="Z16" i="1"/>
  <c r="AC14" i="1"/>
  <c r="Z14" i="1"/>
  <c r="AC13" i="1"/>
  <c r="Z13" i="1"/>
  <c r="R13" i="1"/>
  <c r="AC12" i="1"/>
  <c r="Z12" i="1"/>
  <c r="Q12" i="1"/>
  <c r="AC11" i="1"/>
  <c r="Z11" i="1"/>
  <c r="S11" i="1"/>
  <c r="AC8" i="1"/>
  <c r="Z8" i="1"/>
  <c r="R8" i="1"/>
  <c r="AC7" i="1"/>
  <c r="Z7" i="1"/>
  <c r="S7" i="1"/>
  <c r="AC4" i="1"/>
  <c r="Z4" i="1"/>
  <c r="S4" i="1"/>
  <c r="C62" i="28" l="1"/>
  <c r="D62" i="28"/>
  <c r="C39" i="25"/>
  <c r="C40" i="22"/>
  <c r="C35" i="18"/>
  <c r="C38" i="17"/>
  <c r="C35" i="17"/>
  <c r="C38" i="15"/>
  <c r="C41" i="14"/>
  <c r="C68" i="14"/>
  <c r="D68" i="14"/>
  <c r="C39" i="13"/>
  <c r="C64" i="13"/>
  <c r="D64" i="13"/>
  <c r="C43" i="10"/>
  <c r="C41" i="9"/>
  <c r="C38" i="9"/>
  <c r="C42" i="8"/>
  <c r="C39" i="8"/>
  <c r="C41" i="7"/>
  <c r="C38" i="5"/>
  <c r="C35" i="5"/>
  <c r="C42" i="30"/>
  <c r="C39" i="30"/>
  <c r="D72" i="12"/>
  <c r="C72" i="12"/>
  <c r="G24" i="11"/>
  <c r="G27" i="10"/>
  <c r="H16" i="10" s="1"/>
  <c r="H17" i="11" l="1"/>
  <c r="H16" i="11"/>
  <c r="H10" i="10"/>
  <c r="H14" i="10"/>
  <c r="H14" i="11"/>
  <c r="H15" i="11"/>
  <c r="H11" i="10"/>
  <c r="H13" i="10"/>
  <c r="H9" i="11"/>
  <c r="H5" i="10"/>
  <c r="H15" i="10"/>
  <c r="H19" i="11"/>
  <c r="E62" i="28"/>
  <c r="E68" i="14"/>
  <c r="E64" i="13"/>
  <c r="E72" i="12"/>
  <c r="H22" i="11"/>
  <c r="H21" i="11"/>
  <c r="H12" i="11"/>
  <c r="H13" i="11"/>
  <c r="H11" i="11"/>
  <c r="H10" i="11"/>
  <c r="H4" i="11"/>
  <c r="H6" i="11"/>
  <c r="H7" i="11"/>
  <c r="H8" i="11"/>
  <c r="H5" i="11"/>
  <c r="H2" i="11"/>
  <c r="H3" i="11"/>
  <c r="H25" i="10"/>
  <c r="H23" i="10"/>
  <c r="H22" i="10"/>
  <c r="H24" i="10"/>
  <c r="H19" i="10"/>
  <c r="H20" i="10"/>
  <c r="H21" i="10"/>
  <c r="H9" i="10"/>
  <c r="H12" i="10"/>
  <c r="H3" i="10"/>
  <c r="H7" i="10"/>
  <c r="H6" i="10"/>
  <c r="H4" i="10"/>
  <c r="H2" i="10"/>
  <c r="H8" i="10"/>
  <c r="C69" i="9"/>
  <c r="D69" i="9"/>
  <c r="C70" i="9"/>
  <c r="D70" i="9"/>
  <c r="C71" i="9"/>
  <c r="D71" i="9"/>
  <c r="C63" i="7"/>
  <c r="D63" i="7"/>
  <c r="D68" i="5"/>
  <c r="C68" i="5"/>
  <c r="D67" i="5"/>
  <c r="C67" i="5"/>
  <c r="D66" i="5"/>
  <c r="C66" i="5"/>
  <c r="C63" i="30"/>
  <c r="D63" i="30"/>
  <c r="H24" i="11" l="1"/>
  <c r="H25" i="11"/>
  <c r="H28" i="10"/>
  <c r="H27" i="10"/>
  <c r="E70" i="9"/>
  <c r="E68" i="5"/>
  <c r="E71" i="9"/>
  <c r="E63" i="7"/>
  <c r="E69" i="9"/>
  <c r="E67" i="5"/>
  <c r="E63" i="30"/>
  <c r="E66" i="5"/>
  <c r="D67" i="29"/>
  <c r="C67" i="29"/>
  <c r="G29" i="29"/>
  <c r="H16" i="29" l="1"/>
  <c r="H17" i="29"/>
  <c r="H18" i="29"/>
  <c r="H14" i="29"/>
  <c r="H4" i="29"/>
  <c r="H20" i="29"/>
  <c r="H9" i="29"/>
  <c r="E67" i="29"/>
  <c r="H26" i="29"/>
  <c r="H27" i="29"/>
  <c r="H25" i="29"/>
  <c r="H23" i="29"/>
  <c r="H24" i="29"/>
  <c r="H22" i="29"/>
  <c r="H13" i="29"/>
  <c r="H15" i="29"/>
  <c r="H5" i="29"/>
  <c r="H10" i="29"/>
  <c r="H8" i="29"/>
  <c r="H11" i="29"/>
  <c r="H7" i="29"/>
  <c r="H12" i="29"/>
  <c r="H2" i="29"/>
  <c r="H3" i="29"/>
  <c r="G25" i="28"/>
  <c r="H17" i="28" s="1"/>
  <c r="D64" i="27"/>
  <c r="C64" i="27"/>
  <c r="G28" i="27"/>
  <c r="D56" i="26"/>
  <c r="C56" i="26"/>
  <c r="G22" i="26"/>
  <c r="D61" i="25"/>
  <c r="C61" i="25"/>
  <c r="G23" i="25"/>
  <c r="D62" i="24"/>
  <c r="C62" i="24"/>
  <c r="G22" i="24"/>
  <c r="H16" i="24" s="1"/>
  <c r="D59" i="23"/>
  <c r="C59" i="23"/>
  <c r="G23" i="23"/>
  <c r="D64" i="22"/>
  <c r="C64" i="22"/>
  <c r="G26" i="22"/>
  <c r="D61" i="21"/>
  <c r="C61" i="21"/>
  <c r="G25" i="21"/>
  <c r="H11" i="21" s="1"/>
  <c r="D85" i="20"/>
  <c r="C85" i="20"/>
  <c r="G33" i="20"/>
  <c r="H24" i="20" s="1"/>
  <c r="D63" i="19"/>
  <c r="C63" i="19"/>
  <c r="G24" i="19"/>
  <c r="H19" i="19" s="1"/>
  <c r="D65" i="18"/>
  <c r="C65" i="18"/>
  <c r="G20" i="18"/>
  <c r="D60" i="17"/>
  <c r="C60" i="17"/>
  <c r="G23" i="17"/>
  <c r="D68" i="16"/>
  <c r="C68" i="16"/>
  <c r="G25" i="16"/>
  <c r="H14" i="16" s="1"/>
  <c r="D65" i="15"/>
  <c r="C65" i="15"/>
  <c r="G22" i="15"/>
  <c r="H7" i="15" s="1"/>
  <c r="G24" i="13"/>
  <c r="H15" i="13" s="1"/>
  <c r="G25" i="12"/>
  <c r="C70" i="8"/>
  <c r="G28" i="8"/>
  <c r="G24" i="7"/>
  <c r="G27" i="6"/>
  <c r="H16" i="6" s="1"/>
  <c r="H16" i="27" l="1"/>
  <c r="H14" i="27"/>
  <c r="H30" i="29"/>
  <c r="H29" i="29"/>
  <c r="H20" i="27"/>
  <c r="H15" i="27"/>
  <c r="H11" i="27"/>
  <c r="H14" i="22"/>
  <c r="H16" i="22"/>
  <c r="H3" i="18"/>
  <c r="H16" i="18"/>
  <c r="H21" i="23"/>
  <c r="H14" i="23"/>
  <c r="H18" i="26"/>
  <c r="H16" i="26"/>
  <c r="H15" i="25"/>
  <c r="H13" i="25"/>
  <c r="H11" i="25"/>
  <c r="H12" i="25"/>
  <c r="H19" i="27"/>
  <c r="H26" i="27"/>
  <c r="H16" i="12"/>
  <c r="H23" i="12"/>
  <c r="H19" i="28"/>
  <c r="H16" i="28"/>
  <c r="H18" i="21"/>
  <c r="H17" i="21"/>
  <c r="H10" i="21"/>
  <c r="H12" i="8"/>
  <c r="H15" i="8"/>
  <c r="H9" i="22"/>
  <c r="H15" i="22"/>
  <c r="H18" i="28"/>
  <c r="H15" i="7"/>
  <c r="H12" i="7"/>
  <c r="H13" i="18"/>
  <c r="H17" i="18"/>
  <c r="H15" i="21"/>
  <c r="H6" i="12"/>
  <c r="H17" i="12"/>
  <c r="H17" i="6"/>
  <c r="H19" i="6"/>
  <c r="H6" i="23"/>
  <c r="H7" i="20"/>
  <c r="H21" i="20"/>
  <c r="H14" i="18"/>
  <c r="H15" i="18"/>
  <c r="H4" i="6"/>
  <c r="H18" i="6"/>
  <c r="H11" i="13"/>
  <c r="H12" i="13"/>
  <c r="H6" i="27"/>
  <c r="H13" i="27"/>
  <c r="H14" i="24"/>
  <c r="H15" i="24"/>
  <c r="H5" i="13"/>
  <c r="H10" i="13"/>
  <c r="H19" i="8"/>
  <c r="H4" i="27"/>
  <c r="H7" i="27"/>
  <c r="H14" i="19"/>
  <c r="H15" i="19"/>
  <c r="H7" i="17"/>
  <c r="H9" i="17"/>
  <c r="H12" i="19"/>
  <c r="H18" i="7"/>
  <c r="H9" i="7"/>
  <c r="H16" i="20"/>
  <c r="H15" i="20"/>
  <c r="H20" i="20"/>
  <c r="H13" i="23"/>
  <c r="H15" i="23"/>
  <c r="H14" i="6"/>
  <c r="H9" i="6"/>
  <c r="H17" i="26"/>
  <c r="H7" i="19"/>
  <c r="H18" i="19"/>
  <c r="H10" i="23"/>
  <c r="H11" i="23"/>
  <c r="H13" i="16"/>
  <c r="H11" i="16"/>
  <c r="H4" i="8"/>
  <c r="H14" i="8"/>
  <c r="H17" i="16"/>
  <c r="H18" i="16"/>
  <c r="H4" i="12"/>
  <c r="H4" i="20"/>
  <c r="H5" i="20"/>
  <c r="H7" i="24"/>
  <c r="H13" i="24"/>
  <c r="H5" i="19"/>
  <c r="H9" i="19"/>
  <c r="H7" i="7"/>
  <c r="H6" i="7"/>
  <c r="H16" i="16"/>
  <c r="H15" i="16"/>
  <c r="H8" i="23"/>
  <c r="H5" i="23"/>
  <c r="H9" i="16"/>
  <c r="H6" i="16"/>
  <c r="H8" i="16"/>
  <c r="H17" i="15"/>
  <c r="H10" i="15"/>
  <c r="H7" i="26"/>
  <c r="H5" i="17"/>
  <c r="H16" i="17"/>
  <c r="H3" i="20"/>
  <c r="H6" i="20"/>
  <c r="H10" i="18"/>
  <c r="H2" i="18"/>
  <c r="H12" i="6"/>
  <c r="H6" i="6"/>
  <c r="H25" i="8"/>
  <c r="H26" i="8"/>
  <c r="H3" i="8"/>
  <c r="H6" i="13"/>
  <c r="H3" i="13"/>
  <c r="H9" i="24"/>
  <c r="H6" i="24"/>
  <c r="H7" i="28"/>
  <c r="H16" i="21"/>
  <c r="H10" i="28"/>
  <c r="H5" i="28"/>
  <c r="H15" i="12"/>
  <c r="H12" i="12"/>
  <c r="H15" i="26"/>
  <c r="H16" i="8"/>
  <c r="H5" i="8"/>
  <c r="H12" i="21"/>
  <c r="H11" i="15"/>
  <c r="H14" i="15"/>
  <c r="H18" i="13"/>
  <c r="H7" i="13"/>
  <c r="H3" i="15"/>
  <c r="H6" i="15"/>
  <c r="E65" i="15"/>
  <c r="H11" i="22"/>
  <c r="H24" i="22"/>
  <c r="H12" i="27"/>
  <c r="H20" i="26"/>
  <c r="H9" i="26"/>
  <c r="H19" i="22"/>
  <c r="H23" i="22"/>
  <c r="H6" i="17"/>
  <c r="H12" i="17"/>
  <c r="H10" i="7"/>
  <c r="H11" i="7"/>
  <c r="H9" i="20"/>
  <c r="H18" i="20"/>
  <c r="H10" i="25"/>
  <c r="H13" i="6"/>
  <c r="H19" i="23"/>
  <c r="H13" i="19"/>
  <c r="H8" i="19"/>
  <c r="H22" i="19"/>
  <c r="H10" i="16"/>
  <c r="H21" i="16"/>
  <c r="H7" i="16"/>
  <c r="H22" i="20"/>
  <c r="H10" i="20"/>
  <c r="H9" i="8"/>
  <c r="H10" i="8"/>
  <c r="H7" i="8"/>
  <c r="H17" i="7"/>
  <c r="H18" i="25"/>
  <c r="H19" i="12"/>
  <c r="H6" i="22"/>
  <c r="H18" i="22"/>
  <c r="H19" i="25"/>
  <c r="H25" i="20"/>
  <c r="H26" i="20"/>
  <c r="H4" i="17"/>
  <c r="H18" i="17"/>
  <c r="H22" i="12"/>
  <c r="H9" i="12"/>
  <c r="H14" i="25"/>
  <c r="H11" i="8"/>
  <c r="H5" i="22"/>
  <c r="H8" i="22"/>
  <c r="H29" i="20"/>
  <c r="H2" i="20"/>
  <c r="E63" i="19"/>
  <c r="H13" i="21"/>
  <c r="H4" i="16"/>
  <c r="H12" i="16"/>
  <c r="H4" i="18"/>
  <c r="H4" i="24"/>
  <c r="H5" i="24"/>
  <c r="H12" i="20"/>
  <c r="H2" i="23"/>
  <c r="H12" i="23"/>
  <c r="H14" i="13"/>
  <c r="H4" i="13"/>
  <c r="H3" i="22"/>
  <c r="E64" i="27"/>
  <c r="H25" i="27"/>
  <c r="H24" i="27"/>
  <c r="H23" i="27"/>
  <c r="H10" i="27"/>
  <c r="H17" i="27"/>
  <c r="H18" i="27"/>
  <c r="H8" i="27"/>
  <c r="H9" i="27"/>
  <c r="H3" i="27"/>
  <c r="H5" i="27"/>
  <c r="H2" i="27"/>
  <c r="H3" i="23"/>
  <c r="H20" i="23"/>
  <c r="H9" i="23"/>
  <c r="H7" i="23"/>
  <c r="H4" i="23"/>
  <c r="E59" i="23"/>
  <c r="H17" i="19"/>
  <c r="H16" i="19"/>
  <c r="H6" i="19"/>
  <c r="H4" i="19"/>
  <c r="H10" i="19"/>
  <c r="H11" i="19"/>
  <c r="H3" i="19"/>
  <c r="H2" i="19"/>
  <c r="H11" i="18"/>
  <c r="H12" i="18"/>
  <c r="H8" i="18"/>
  <c r="H9" i="18"/>
  <c r="H6" i="18"/>
  <c r="H7" i="18"/>
  <c r="H5" i="18"/>
  <c r="H23" i="16"/>
  <c r="H22" i="16"/>
  <c r="H3" i="16"/>
  <c r="H2" i="16"/>
  <c r="H5" i="16"/>
  <c r="H22" i="21"/>
  <c r="H23" i="21"/>
  <c r="H21" i="21"/>
  <c r="H14" i="21"/>
  <c r="H9" i="21"/>
  <c r="H8" i="21"/>
  <c r="H5" i="21"/>
  <c r="H6" i="21"/>
  <c r="H7" i="21"/>
  <c r="H4" i="21"/>
  <c r="H3" i="21"/>
  <c r="H2" i="21"/>
  <c r="E61" i="25"/>
  <c r="H22" i="28"/>
  <c r="H23" i="28"/>
  <c r="H11" i="28"/>
  <c r="H13" i="28"/>
  <c r="H12" i="28"/>
  <c r="H14" i="28"/>
  <c r="H15" i="28"/>
  <c r="H9" i="28"/>
  <c r="H6" i="28"/>
  <c r="H8" i="28"/>
  <c r="H3" i="28"/>
  <c r="H2" i="28"/>
  <c r="H4" i="28"/>
  <c r="H21" i="17"/>
  <c r="H20" i="17"/>
  <c r="H13" i="17"/>
  <c r="H11" i="17"/>
  <c r="H14" i="17"/>
  <c r="H15" i="17"/>
  <c r="H10" i="17"/>
  <c r="H8" i="17"/>
  <c r="H2" i="17"/>
  <c r="H3" i="17"/>
  <c r="H20" i="15"/>
  <c r="H13" i="15"/>
  <c r="H12" i="15"/>
  <c r="H15" i="15"/>
  <c r="H16" i="15"/>
  <c r="H8" i="15"/>
  <c r="H9" i="15"/>
  <c r="H4" i="15"/>
  <c r="H5" i="15"/>
  <c r="H2" i="15"/>
  <c r="H21" i="13"/>
  <c r="H20" i="13"/>
  <c r="H19" i="13"/>
  <c r="H13" i="13"/>
  <c r="H8" i="13"/>
  <c r="H9" i="13"/>
  <c r="H2" i="13"/>
  <c r="E64" i="22"/>
  <c r="H22" i="22"/>
  <c r="H21" i="22"/>
  <c r="H12" i="22"/>
  <c r="H13" i="22"/>
  <c r="H7" i="22"/>
  <c r="H10" i="22"/>
  <c r="H2" i="22"/>
  <c r="H4" i="22"/>
  <c r="H21" i="12"/>
  <c r="H13" i="12"/>
  <c r="H14" i="12"/>
  <c r="H10" i="12"/>
  <c r="H11" i="12"/>
  <c r="H8" i="12"/>
  <c r="H5" i="12"/>
  <c r="H7" i="12"/>
  <c r="H2" i="12"/>
  <c r="H3" i="12"/>
  <c r="H24" i="8"/>
  <c r="H22" i="8"/>
  <c r="H23" i="8"/>
  <c r="H20" i="8"/>
  <c r="H21" i="8"/>
  <c r="H13" i="8"/>
  <c r="H8" i="8"/>
  <c r="H6" i="8"/>
  <c r="H2" i="8"/>
  <c r="H25" i="6"/>
  <c r="H23" i="6"/>
  <c r="H24" i="6"/>
  <c r="H22" i="6"/>
  <c r="H15" i="6"/>
  <c r="H10" i="6"/>
  <c r="H11" i="6"/>
  <c r="H5" i="6"/>
  <c r="H8" i="6"/>
  <c r="H7" i="6"/>
  <c r="H3" i="6"/>
  <c r="H2" i="6"/>
  <c r="H21" i="7"/>
  <c r="H22" i="7"/>
  <c r="H14" i="7"/>
  <c r="H16" i="7"/>
  <c r="H8" i="7"/>
  <c r="H13" i="7"/>
  <c r="H5" i="7"/>
  <c r="H3" i="7"/>
  <c r="H4" i="7"/>
  <c r="H2" i="7"/>
  <c r="E68" i="16"/>
  <c r="H20" i="24"/>
  <c r="H19" i="24"/>
  <c r="H12" i="24"/>
  <c r="H8" i="24"/>
  <c r="H10" i="24"/>
  <c r="H11" i="24"/>
  <c r="H2" i="24"/>
  <c r="H3" i="24"/>
  <c r="E56" i="26"/>
  <c r="H14" i="26"/>
  <c r="H12" i="26"/>
  <c r="H13" i="26"/>
  <c r="H10" i="26"/>
  <c r="H11" i="26"/>
  <c r="H6" i="26"/>
  <c r="H8" i="26"/>
  <c r="H4" i="26"/>
  <c r="H5" i="26"/>
  <c r="H2" i="26"/>
  <c r="H3" i="26"/>
  <c r="E61" i="21"/>
  <c r="E62" i="24"/>
  <c r="E85" i="20"/>
  <c r="H30" i="20"/>
  <c r="H31" i="20"/>
  <c r="H28" i="20"/>
  <c r="H17" i="20"/>
  <c r="H19" i="20"/>
  <c r="H14" i="20"/>
  <c r="H13" i="20"/>
  <c r="H8" i="20"/>
  <c r="H11" i="20"/>
  <c r="H21" i="25"/>
  <c r="H16" i="25"/>
  <c r="H9" i="25"/>
  <c r="H7" i="25"/>
  <c r="H8" i="25"/>
  <c r="H5" i="25"/>
  <c r="H6" i="25"/>
  <c r="H3" i="25"/>
  <c r="H4" i="25"/>
  <c r="H2" i="25"/>
  <c r="E65" i="18"/>
  <c r="E60" i="17"/>
  <c r="H28" i="27" l="1"/>
  <c r="H24" i="23"/>
  <c r="H23" i="23"/>
  <c r="H23" i="26"/>
  <c r="H22" i="26"/>
  <c r="H24" i="25"/>
  <c r="H23" i="25"/>
  <c r="H25" i="21"/>
  <c r="H26" i="21"/>
  <c r="H21" i="18"/>
  <c r="H20" i="18"/>
  <c r="H24" i="13"/>
  <c r="H25" i="12"/>
  <c r="H28" i="8"/>
  <c r="H29" i="8"/>
  <c r="H28" i="6"/>
  <c r="H27" i="6"/>
  <c r="H22" i="15"/>
  <c r="H22" i="24"/>
  <c r="H23" i="24"/>
  <c r="H29" i="27"/>
  <c r="H24" i="19"/>
  <c r="H25" i="19"/>
  <c r="H26" i="16"/>
  <c r="H25" i="16"/>
  <c r="H26" i="28"/>
  <c r="H25" i="28"/>
  <c r="H23" i="17"/>
  <c r="H24" i="17"/>
  <c r="H23" i="15"/>
  <c r="H25" i="13"/>
  <c r="H26" i="22"/>
  <c r="H27" i="22"/>
  <c r="H26" i="12"/>
  <c r="H25" i="7"/>
  <c r="H24" i="7"/>
  <c r="H34" i="20"/>
  <c r="H33" i="20"/>
  <c r="G22" i="5"/>
  <c r="H14" i="5" s="1"/>
  <c r="G24" i="4"/>
  <c r="G28" i="3"/>
  <c r="H15" i="3" s="1"/>
  <c r="G23" i="2"/>
  <c r="G26" i="1"/>
  <c r="H6" i="1" l="1"/>
  <c r="H17" i="1"/>
  <c r="H14" i="3"/>
  <c r="H5" i="3"/>
  <c r="H15" i="1"/>
  <c r="H18" i="1"/>
  <c r="H17" i="2"/>
  <c r="H18" i="2"/>
  <c r="H10" i="5"/>
  <c r="H13" i="5"/>
  <c r="H21" i="4"/>
  <c r="H10" i="4"/>
  <c r="H3" i="1"/>
  <c r="H6" i="2"/>
  <c r="H14" i="2"/>
  <c r="H5" i="4"/>
  <c r="H2" i="4"/>
  <c r="H2" i="1"/>
  <c r="H10" i="1"/>
  <c r="H16" i="5"/>
  <c r="H8" i="5"/>
  <c r="H19" i="3"/>
  <c r="H5" i="1"/>
  <c r="H23" i="1"/>
  <c r="H9" i="2"/>
  <c r="H11" i="2"/>
  <c r="H9" i="1"/>
  <c r="H19" i="4"/>
  <c r="H15" i="4"/>
  <c r="H17" i="4"/>
  <c r="H18" i="4"/>
  <c r="H20" i="2"/>
  <c r="H13" i="3"/>
  <c r="H10" i="3"/>
  <c r="H14" i="4"/>
  <c r="H20" i="5"/>
  <c r="H17" i="5"/>
  <c r="H15" i="5"/>
  <c r="H12" i="5"/>
  <c r="H11" i="5"/>
  <c r="H6" i="5"/>
  <c r="H9" i="5"/>
  <c r="H7" i="5"/>
  <c r="H4" i="5"/>
  <c r="H5" i="5"/>
  <c r="H2" i="5"/>
  <c r="H3" i="5"/>
  <c r="H22" i="3"/>
  <c r="H21" i="3"/>
  <c r="H24" i="3"/>
  <c r="H25" i="3"/>
  <c r="H23" i="3"/>
  <c r="H26" i="3"/>
  <c r="H16" i="3"/>
  <c r="H17" i="3"/>
  <c r="H11" i="3"/>
  <c r="H12" i="3"/>
  <c r="H9" i="3"/>
  <c r="H7" i="3"/>
  <c r="H8" i="3"/>
  <c r="H4" i="3"/>
  <c r="H6" i="3"/>
  <c r="H2" i="3"/>
  <c r="H3" i="3"/>
  <c r="H13" i="2"/>
  <c r="H16" i="2"/>
  <c r="H15" i="2"/>
  <c r="H8" i="2"/>
  <c r="H10" i="2"/>
  <c r="H12" i="2"/>
  <c r="H7" i="2"/>
  <c r="H3" i="2"/>
  <c r="H4" i="2"/>
  <c r="H5" i="2"/>
  <c r="H2" i="2"/>
  <c r="H22" i="4"/>
  <c r="H11" i="4"/>
  <c r="H13" i="4"/>
  <c r="H12" i="4"/>
  <c r="H9" i="4"/>
  <c r="H6" i="4"/>
  <c r="H7" i="4"/>
  <c r="H4" i="4"/>
  <c r="H8" i="4"/>
  <c r="H3" i="4"/>
  <c r="H22" i="1"/>
  <c r="H24" i="1"/>
  <c r="H21" i="1"/>
  <c r="H14" i="1"/>
  <c r="H16" i="1"/>
  <c r="H4" i="1"/>
  <c r="H11" i="1"/>
  <c r="H7" i="1"/>
  <c r="H13" i="1"/>
  <c r="H12" i="1"/>
  <c r="H8" i="1"/>
  <c r="G26" i="14"/>
  <c r="H26" i="1" l="1"/>
  <c r="H19" i="14"/>
  <c r="H14" i="14"/>
  <c r="H23" i="5"/>
  <c r="H22" i="5"/>
  <c r="H24" i="4"/>
  <c r="H25" i="4"/>
  <c r="H27" i="1"/>
  <c r="H17" i="14"/>
  <c r="H15" i="14"/>
  <c r="H6" i="14"/>
  <c r="H16" i="14"/>
  <c r="H22" i="14"/>
  <c r="H18" i="14"/>
  <c r="H24" i="14"/>
  <c r="H9" i="14"/>
  <c r="H11" i="14"/>
  <c r="H12" i="14"/>
  <c r="H13" i="14"/>
  <c r="H10" i="14"/>
  <c r="H5" i="14"/>
  <c r="H7" i="14"/>
  <c r="H8" i="14"/>
  <c r="H2" i="14"/>
  <c r="H4" i="14"/>
  <c r="H3" i="14"/>
  <c r="H29" i="3"/>
  <c r="H24" i="2"/>
  <c r="H28" i="3"/>
  <c r="H23" i="2"/>
  <c r="D65" i="11"/>
  <c r="C65" i="11"/>
  <c r="H26" i="14" l="1"/>
  <c r="H27" i="14"/>
  <c r="E65" i="11"/>
  <c r="D72" i="10"/>
  <c r="C72" i="10"/>
  <c r="D70" i="8"/>
  <c r="E70" i="8" l="1"/>
  <c r="E7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tc={83AC30F7-A5CC-7645-BD18-E3842A4B3295}</author>
    <author>tc={684C72BC-DAC8-9E48-95A0-C4D130C46034}</author>
    <author>tc={12D8C9AC-A47E-DB45-A2C9-AB8D9792EC58}</author>
    <author>tc={7CEBEE6A-2503-874E-8F5F-542FCCB3D36C}</author>
    <author>tc={738FA7B7-9150-A343-BFA0-13FC10409101}</author>
    <author>tc={200521D7-4C6F-0340-86AB-13D9C0E515E4}</author>
    <author>tc={ADE7EADC-A68A-224A-9193-64C34E123864}</author>
    <author>tc={FCD90F56-60CE-7646-A524-C84F27816DFB}</author>
    <author>tc={817184E2-6BA3-2B46-8E06-2A1E36D2F714}</author>
    <author>tc={A1892863-A7AA-1C45-B9C1-E72B710A5F79}</author>
    <author>tc={1027C725-BEF7-5840-AA81-42BC238CDE25}</author>
    <author>tc={1CBEB0BA-E1CC-5C46-A417-C6496AD6BBD6}</author>
    <author>tc={846931DA-7CCF-8845-B0F3-71F108297283}</author>
    <author>tc={D79694B4-3CD4-2542-83ED-BE020A162395}</author>
    <author>tc={C5DC5632-8AD8-0D42-BD62-97166F85848C}</author>
    <author>tc={361FCD07-7228-7E44-BE87-AD152F5ED803}</author>
    <author>tc={8B65A4FD-53FF-E140-85EA-C4B0E558D9FC}</author>
    <author>tc={51F43C3D-26BF-0C4C-8324-0A4C62D4E3A0}</author>
    <author>tc={C26D2D2A-CDD7-6548-8F1E-AD3608FB1D8B}</author>
    <author>tc={47BEEBFA-D7CB-AF44-957F-AB43E2EA597E}</author>
  </authors>
  <commentList>
    <comment ref="W1" authorId="0" shapeId="0" xr:uid="{83AC30F7-A5CC-7645-BD18-E3842A4B329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2" authorId="1" shapeId="0" xr:uid="{684C72BC-DAC8-9E48-95A0-C4D130C46034}">
      <text>
        <t>[Threaded comment]
Your version of Excel allows you to read this threaded comment; however, any edits to it will get removed if the file is opened in a newer version of Excel. Learn more: https://go.microsoft.com/fwlink/?linkid=870924
Comment:
    $5,000,000 gt, fully gt 6/29/22</t>
      </text>
    </comment>
    <comment ref="S4" authorId="2" shapeId="0" xr:uid="{12D8C9AC-A47E-DB45-A2C9-AB8D9792EC5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3" shapeId="0" xr:uid="{7CEBEE6A-2503-874E-8F5F-542FCCB3D36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7" authorId="4" shapeId="0" xr:uid="{738FA7B7-9150-A343-BFA0-13FC10409101}">
      <text>
        <t>[Threaded comment]
Your version of Excel allows you to read this threaded comment; however, any edits to it will get removed if the file is opened in a newer version of Excel. Learn more: https://go.microsoft.com/fwlink/?linkid=870924
Comment:
    $12,973,527 QO</t>
      </text>
    </comment>
    <comment ref="R8" authorId="5" shapeId="0" xr:uid="{200521D7-4C6F-0340-86AB-13D9C0E515E4}">
      <text>
        <t>[Threaded comment]
Your version of Excel allows you to read this threaded comment; however, any edits to it will get removed if the file is opened in a newer version of Excel. Learn more: https://go.microsoft.com/fwlink/?linkid=870924
Comment:
    $11,040,900 QO</t>
      </text>
    </comment>
    <comment ref="Q10" authorId="6" shapeId="0" xr:uid="{ADE7EADC-A68A-224A-9193-64C34E123864}">
      <text>
        <t>[Threaded comment]
Your version of Excel allows you to read this threaded comment; however, any edits to it will get removed if the file is opened in a newer version of Excel. Learn more: https://go.microsoft.com/fwlink/?linkid=870924
Comment:
    $5,720,400 cap hold
Non Bird Rights</t>
      </text>
    </comment>
    <comment ref="R10" authorId="7" shapeId="0" xr:uid="{FCD90F56-60CE-7646-A524-C84F27816DFB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 Rights</t>
      </text>
    </comment>
    <comment ref="S11" authorId="8" shapeId="0" xr:uid="{817184E2-6BA3-2B46-8E06-2A1E36D2F714}">
      <text>
        <t>[Threaded comment]
Your version of Excel allows you to read this threaded comment; however, any edits to it will get removed if the file is opened in a newer version of Excel. Learn more: https://go.microsoft.com/fwlink/?linkid=870924
Comment:
    $8,109,966 QO</t>
      </text>
    </comment>
    <comment ref="P12" authorId="9" shapeId="0" xr:uid="{A1892863-A7AA-1C45-B9C1-E72B710A5F79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12/21/20 extension deadline</t>
      </text>
    </comment>
    <comment ref="Q12" authorId="10" shapeId="0" xr:uid="{1027C725-BEF7-5840-AA81-42BC238CDE25}">
      <text>
        <t>[Threaded comment]
Your version of Excel allows you to read this threaded comment; however, any edits to it will get removed if the file is opened in a newer version of Excel. Learn more: https://go.microsoft.com/fwlink/?linkid=870924
Comment:
    $5,899,793 QO</t>
      </text>
    </comment>
    <comment ref="R13" authorId="11" shapeId="0" xr:uid="{1CBEB0BA-E1CC-5C46-A417-C6496AD6BBD6}">
      <text>
        <t>[Threaded comment]
Your version of Excel allows you to read this threaded comment; however, any edits to it will get removed if the file is opened in a newer version of Excel. Learn more: https://go.microsoft.com/fwlink/?linkid=870924
Comment:
    $6,065,287 QO</t>
      </text>
    </comment>
    <comment ref="P14" authorId="12" shapeId="0" xr:uid="{846931DA-7CCF-8845-B0F3-71F108297283}">
      <text>
        <t>[Threaded comment]
Your version of Excel allows you to read this threaded comment; however, any edits to it will get removed if the file is opened in a newer version of Excel. Learn more: https://go.microsoft.com/fwlink/?linkid=870924
Comment:
    $100,000 gt, fully gt on 11/29/20
Non Bird RFA if waived</t>
      </text>
    </comment>
    <comment ref="Q14" authorId="13" shapeId="0" xr:uid="{D79694B4-3CD4-2542-83ED-BE020A162395}">
      <text>
        <t>[Threaded comment]
Your version of Excel allows you to read this threaded comment; however, any edits to it will get removed if the file is opened in a newer version of Excel. Learn more: https://go.microsoft.com/fwlink/?linkid=870924
Comment:
    $2,126,991 QO
Early Bird</t>
      </text>
    </comment>
    <comment ref="R16" authorId="14" shapeId="0" xr:uid="{C5DC5632-8AD8-0D42-BD62-97166F85848C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19" authorId="15" shapeId="0" xr:uid="{361FCD07-7228-7E44-BE87-AD152F5ED803}">
      <text>
        <t>[Threaded comment]
Your version of Excel allows you to read this threaded comment; however, any edits to it will get removed if the file is opened in a newer version of Excel. Learn more: https://go.microsoft.com/fwlink/?linkid=870924
Comment:
    Khyri Thomas</t>
      </text>
    </comment>
    <comment ref="P21" authorId="16" shapeId="0" xr:uid="{8B65A4FD-53FF-E140-85EA-C4B0E558D9FC}">
      <text>
        <t>[Threaded comment]
Your version of Excel allows you to read this threaded comment; however, any edits to it will get removed if the file is opened in a newer version of Excel. Learn more: https://go.microsoft.com/fwlink/?linkid=870924
Comment:
    $3,484,882 QO
NEW: 10/17/20 deadline
Bird</t>
      </text>
    </comment>
    <comment ref="P22" authorId="17" shapeId="0" xr:uid="{51F43C3D-26BF-0C4C-8324-0A4C62D4E3A0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P23" authorId="18" shapeId="0" xr:uid="{C26D2D2A-CDD7-6548-8F1E-AD3608FB1D8B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$744,684 gt, fully gt on “7/6/20” (probably now 11/23/20)
If waived, Early Bird RFA
Min Cap Hold</t>
      </text>
    </comment>
    <comment ref="P24" authorId="19" shapeId="0" xr:uid="{47BEEBFA-D7CB-AF44-957F-AB43E2EA597E}">
      <text>
        <t>[Threaded comment]
Your version of Excel allows you to read this threaded comment; however, any edits to it will get removed if the file is opened in a newer version of Excel. Learn more: https://go.microsoft.com/fwlink/?linkid=870924
Comment:
    2W QO
Non Bird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tc={02FB291E-9EAB-4942-AA8C-D4CDBCA282C4}</author>
    <author>tc={0E318B28-7E4C-6D4B-8253-945F5E870885}</author>
    <author>tc={E3B650DE-8361-BD48-896B-831D90D38498}</author>
    <author>tc={2F7721B0-8D2D-CE4B-84C0-6F0084DBB134}</author>
    <author>tc={F8264E16-02B2-1C41-97AF-F9C8A28950CA}</author>
    <author>tc={A51DAB1C-6DD0-C34A-BBE6-45F070A118B1}</author>
    <author>tc={7011E515-E8DB-0C43-B04D-9F4027EABF23}</author>
    <author>tc={43B862B0-F986-EE44-8C88-FAD006BAD262}</author>
    <author>tc={2F4945D5-1096-594E-9C21-FADCDD0A9449}</author>
    <author>tc={8B8FE588-40A5-124E-8F17-2E1B8CC12ABC}</author>
    <author>tc={A83BACE0-9267-8143-A265-1145F4B8F1AC}</author>
    <author>tc={E3B7F25E-0454-E348-89CD-6680B5F8A922}</author>
    <author>tc={5C755212-9936-BF48-91FE-324AD201E145}</author>
    <author>tc={8D29C66E-D426-0A43-B4DA-14367D75B1F2}</author>
    <author>tc={4DE049A2-D371-A44D-9903-AF2FCEF3EF51}</author>
    <author>tc={AE06BE22-1A33-9F4D-A7D7-A1A4F004AA2E}</author>
    <author>tc={39E9C62F-CE43-B746-AD49-E4D2F7CB323A}</author>
    <author>tc={34A06F82-81E1-3F42-A123-0C3F6C49A7D7}</author>
    <author>tc={54BBD8F8-4039-BE4F-975A-D00F1C54ECE3}</author>
    <author>tc={440DF42E-6501-C74E-8636-7337C01D454D}</author>
    <author>tc={A539006E-D2A5-0749-8F37-93C8EBC13685}</author>
    <author>tc={22B6A68C-4224-674D-8AEA-24B7EA337909}</author>
    <author>tc={F153CC65-FA2A-1648-ADB9-1817AA77E49C}</author>
    <author>tc={3746CE50-EC61-F64C-8936-330847F232A2}</author>
    <author>tc={1D5420E8-8E28-EF4C-AA82-ED5DA8B749B7}</author>
    <author>tc={50677B47-D3AC-DB4F-B1A5-04D16EC891D0}</author>
    <author>tc={048AA527-7C15-F84C-847C-FAFEE6AA2261}</author>
    <author>tc={354D7D84-6729-4D47-8946-B623A2355EF3}</author>
    <author>tc={F43A0F0C-583B-4147-BB94-5FD62CFDDAF8}</author>
    <author>tc={D41F7658-3828-BC43-97F6-BA5AA064C7BC}</author>
    <author>tc={BC803020-8B2B-9541-AA45-0D2566959EF5}</author>
  </authors>
  <commentList>
    <comment ref="C1" authorId="0" shapeId="0" xr:uid="{02FB291E-9EAB-4942-AA8C-D4CDBCA282C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0E318B28-7E4C-6D4B-8253-945F5E87088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2" authorId="2" shapeId="0" xr:uid="{E3B650DE-8361-BD48-896B-831D90D3849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T3" authorId="3" shapeId="0" xr:uid="{2F7721B0-8D2D-CE4B-84C0-6F0084DBB13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Y3" authorId="4" shapeId="0" xr:uid="{F8264E16-02B2-1C41-97AF-F9C8A28950CA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2018-2019 stats</t>
      </text>
    </comment>
    <comment ref="S4" authorId="5" shapeId="0" xr:uid="{A51DAB1C-6DD0-C34A-BBE6-45F070A118B1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5" authorId="6" shapeId="0" xr:uid="{7011E515-E8DB-0C43-B04D-9F4027EABF23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6/29/23 deadline
$38,709,702 cap hold
Bird</t>
      </text>
    </comment>
    <comment ref="T5" authorId="7" shapeId="0" xr:uid="{43B862B0-F986-EE44-8C88-FAD006BAD262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8" authorId="8" shapeId="0" xr:uid="{2F4945D5-1096-594E-9C21-FADCDD0A9449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6/29/21 deadline
$9,160,715 cap hold
Bird</t>
      </text>
    </comment>
    <comment ref="R8" authorId="9" shapeId="0" xr:uid="{8B8FE588-40A5-124E-8F17-2E1B8CC1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9" authorId="10" shapeId="0" xr:uid="{A83BACE0-9267-8143-A265-1145F4B8F1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Q10" authorId="11" shapeId="0" xr:uid="{E3B7F25E-0454-E348-89CD-6680B5F8A92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R10" authorId="12" shapeId="0" xr:uid="{5C755212-9936-BF48-91FE-324AD201E145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10/31/21 deadline</t>
      </text>
    </comment>
    <comment ref="S10" authorId="13" shapeId="0" xr:uid="{8D29C66E-D426-0A43-B4DA-14367D75B1F2}">
      <text>
        <t>[Threaded comment]
Your version of Excel allows you to read this threaded comment; however, any edits to it will get removed if the file is opened in a newer version of Excel. Learn more: https://go.microsoft.com/fwlink/?linkid=870924
Comment:
    $5,813,085 QO
6/29/23 deadline
Bird</t>
      </text>
    </comment>
    <comment ref="P11" authorId="14" shapeId="0" xr:uid="{4DE049A2-D371-A44D-9903-AF2FCEF3EF51}">
      <text>
        <t>[Threaded comment]
Your version of Excel allows you to read this threaded comment; however, any edits to it will get removed if the file is opened in a newer version of Excel. Learn more: https://go.microsoft.com/fwlink/?linkid=870924
Comment:
    $800,000 gt, fully gt on 11/28/20
If waived, Non Bird UFA</t>
      </text>
    </comment>
    <comment ref="Q11" authorId="15" shapeId="0" xr:uid="{AE06BE22-1A33-9F4D-A7D7-A1A4F004AA2E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P12" authorId="16" shapeId="0" xr:uid="{39E9C62F-CE43-B746-AD49-E4D2F7CB323A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$600,000 gt, fully gt on 2/27/21
If waived, Early Bird UFA</t>
      </text>
    </comment>
    <comment ref="Q12" authorId="17" shapeId="0" xr:uid="{34A06F82-81E1-3F42-A123-0C3F6C49A7D7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1/10/22
If waived, Bird UFA</t>
      </text>
    </comment>
    <comment ref="R12" authorId="18" shapeId="0" xr:uid="{54BBD8F8-4039-BE4F-975A-D00F1C54ECE3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14" authorId="19" shapeId="0" xr:uid="{440DF42E-6501-C74E-8636-7337C01D454D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$2,228,287 QO
6/29/22 deadline
Bird</t>
      </text>
    </comment>
    <comment ref="Q15" authorId="20" shapeId="0" xr:uid="{A539006E-D2A5-0749-8F37-93C8EBC13685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7/6/21
If waived, Early Bird RFA</t>
      </text>
    </comment>
    <comment ref="R15" authorId="21" shapeId="0" xr:uid="{22B6A68C-4224-674D-8AEA-24B7EA337909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7/6/22
If waived, Bird RFA</t>
      </text>
    </comment>
    <comment ref="S15" authorId="22" shapeId="0" xr:uid="{F153CC65-FA2A-1648-ADB9-1817AA77E49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6" authorId="23" shapeId="0" xr:uid="{3746CE50-EC61-F64C-8936-330847F232A2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2/27/21</t>
      </text>
    </comment>
    <comment ref="Q16" authorId="24" shapeId="0" xr:uid="{1D5420E8-8E28-EF4C-AA82-ED5DA8B749B7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$200,000 gt on 7/15/21, fully gt on 1/10/22</t>
      </text>
    </comment>
    <comment ref="R16" authorId="25" shapeId="0" xr:uid="{50677B47-D3AC-DB4F-B1A5-04D16EC891D0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6/29/22 deadline
Bird</t>
      </text>
    </comment>
    <comment ref="P17" authorId="26" shapeId="0" xr:uid="{048AA527-7C15-F84C-847C-FAFEE6AA2261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$200,000 gt if on opening night roster, fully gt on 2/27/21</t>
      </text>
    </comment>
    <comment ref="Q17" authorId="27" shapeId="0" xr:uid="{354D7D84-6729-4D47-8946-B623A2355EF3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1/10/22</t>
      </text>
    </comment>
    <comment ref="R17" authorId="28" shapeId="0" xr:uid="{F43A0F0C-583B-4147-BB94-5FD62CFDDAF8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6/29/22 deadline
Bird</t>
      </text>
    </comment>
    <comment ref="P21" authorId="29" shapeId="0" xr:uid="{D41F7658-3828-BC43-97F6-BA5AA064C7BC}">
      <text>
        <t>[Threaded comment]
Your version of Excel allows you to read this threaded comment; however, any edits to it will get removed if the file is opened in a newer version of Excel. Learn more: https://go.microsoft.com/fwlink/?linkid=870924
Comment:
    Shaun Livingston</t>
      </text>
    </comment>
    <comment ref="Q21" authorId="30" shapeId="0" xr:uid="{BC803020-8B2B-9541-AA45-0D2566959EF5}">
      <text>
        <t>[Threaded comment]
Your version of Excel allows you to read this threaded comment; however, any edits to it will get removed if the file is opened in a newer version of Excel. Learn more: https://go.microsoft.com/fwlink/?linkid=870924
Comment:
    Shaun Livingston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tc={FED1453F-B68D-0844-9B54-1BED35D68A1F}</author>
    <author>tc={C5535982-C7E2-E045-8CCF-FAD9360D5DEB}</author>
    <author>tc={9B4324CB-E5E3-9E47-952B-A0AE988F14CF}</author>
    <author>tc={1A48D798-8F09-0245-8F5B-7A9864004FA9}</author>
    <author>tc={7AB4CC19-F8BF-0641-9A7F-E4F497F74259}</author>
    <author>tc={040C9A67-7ECD-6B45-9446-4D7206FB987B}</author>
    <author>tc={E6DCACD3-64A8-2642-A9F4-CD2FEA8C42AE}</author>
    <author>tc={FE149828-F270-A14D-8955-DB6A02D00459}</author>
    <author>tc={42F9A341-EAB4-F548-B093-B90C3DCCE0F3}</author>
    <author>tc={B8811FBB-2359-E849-9D11-788DD9BCA4E6}</author>
    <author>tc={7D0F3433-42E4-2246-9E94-B4FDD2EF21F6}</author>
    <author>tc={E3953CD9-F8D0-5B48-8B06-49230FAA5296}</author>
  </authors>
  <commentList>
    <comment ref="C1" authorId="0" shapeId="0" xr:uid="{FED1453F-B68D-0844-9B54-1BED35D68A1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C5535982-C7E2-E045-8CCF-FAD9360D5DE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9" authorId="2" shapeId="0" xr:uid="{9B4324CB-E5E3-9E47-952B-A0AE988F14CF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P12" authorId="3" shapeId="0" xr:uid="{1A48D798-8F09-0245-8F5B-7A9864004FA9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1/10/21</t>
      </text>
    </comment>
    <comment ref="P17" authorId="4" shapeId="0" xr:uid="{7AB4CC19-F8BF-0641-9A7F-E4F497F7425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Troy Williams</t>
      </text>
    </comment>
    <comment ref="Q17" authorId="5" shapeId="0" xr:uid="{040C9A67-7ECD-6B45-9446-4D7206FB987B}">
      <text>
        <t>[Threaded comment]
Your version of Excel allows you to read this threaded comment; however, any edits to it will get removed if the file is opened in a newer version of Excel. Learn more: https://go.microsoft.com/fwlink/?linkid=870924
Comment:
    Troy Williams</t>
      </text>
    </comment>
    <comment ref="R17" authorId="6" shapeId="0" xr:uid="{E6DCACD3-64A8-2642-A9F4-CD2FEA8C42AE}">
      <text>
        <t>[Threaded comment]
Your version of Excel allows you to read this threaded comment; however, any edits to it will get removed if the file is opened in a newer version of Excel. Learn more: https://go.microsoft.com/fwlink/?linkid=870924
Comment:
    Troy Williams</t>
      </text>
    </comment>
    <comment ref="P19" authorId="7" shapeId="0" xr:uid="{FE149828-F270-A14D-8955-DB6A02D00459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P20" authorId="8" shapeId="0" xr:uid="{42F9A341-EAB4-F548-B093-B90C3DCCE0F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1" authorId="9" shapeId="0" xr:uid="{B8811FBB-2359-E849-9D11-788DD9BCA4E6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2" authorId="10" shapeId="0" xr:uid="{7D0F3433-42E4-2246-9E94-B4FDD2EF21F6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3" authorId="11" shapeId="0" xr:uid="{E3953CD9-F8D0-5B48-8B06-49230FAA52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Rights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tc={E82BE58F-46B1-C74B-8F59-6C67FF0C2E47}</author>
    <author>tc={823FC625-011F-4345-8F46-719211390324}</author>
    <author>tc={8160C0C5-307F-4444-B335-B626A9FEF62F}</author>
    <author>tc={B50EC20D-4B44-8B40-89D8-9E81972D748A}</author>
    <author>tc={75C56C36-496A-9845-BDB5-E0959D803DAD}</author>
    <author>tc={2FBA8BD2-9B0C-EC43-B006-32DD2430AC25}</author>
    <author>tc={D0490095-E76A-7B49-BF66-8E8A2779DC18}</author>
    <author>tc={67F81795-7859-6346-BD02-813E0C47860E}</author>
    <author>tc={B64E9DCE-1613-2D4B-9AAF-BACAE994C81E}</author>
    <author>tc={A9ABF657-3C05-3443-89F2-7FDEDD05050F}</author>
    <author>tc={553A6F9C-76D6-FC41-ADF7-5AE67AC466C5}</author>
    <author>tc={EB27DFB7-4405-394D-9C40-A7EBDDCE7538}</author>
    <author>tc={5F37FAC8-6947-744F-B004-FCECA6DE19DA}</author>
    <author>tc={B0ED55A1-D5CE-4E44-89D2-FF384AB88761}</author>
    <author>tc={345C4DDD-1296-4D41-AD08-FCA4D929165E}</author>
    <author>tc={D05588E5-04C1-694B-9F8D-DDAFA167445A}</author>
    <author>tc={228C2EBE-979B-4440-B67B-598345BED5D0}</author>
    <author>tc={BCF6DAB2-39FF-C242-A20A-ED9FE8CB1F8F}</author>
    <author>tc={C8785706-3291-3341-B0EB-711714DB639F}</author>
  </authors>
  <commentList>
    <comment ref="C1" authorId="0" shapeId="0" xr:uid="{E82BE58F-46B1-C74B-8F59-6C67FF0C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823FC625-011F-4345-8F46-71921139032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2" authorId="2" shapeId="0" xr:uid="{8160C0C5-307F-4444-B335-B626A9FEF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3" authorId="3" shapeId="0" xr:uid="{B50EC20D-4B44-8B40-89D8-9E81972D748A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T4" authorId="4" shapeId="0" xr:uid="{75C56C36-496A-9845-BDB5-E0959D803DAD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5" authorId="5" shapeId="0" xr:uid="{2FBA8BD2-9B0C-EC43-B006-32DD2430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6" authorId="6" shapeId="0" xr:uid="{D0490095-E76A-7B49-BF66-8E8A2779DC1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7" authorId="7" shapeId="0" xr:uid="{67F81795-7859-6346-BD02-813E0C47860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8" authorId="8" shapeId="0" xr:uid="{B64E9DCE-1613-2D4B-9AAF-BACAE994C81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10" authorId="9" shapeId="0" xr:uid="{A9ABF657-3C05-3443-89F2-7FDEDD05050F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1" authorId="10" shapeId="0" xr:uid="{553A6F9C-76D6-FC41-ADF7-5AE67AC466C5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10/31/20 deadline (revised date TBD)</t>
      </text>
    </comment>
    <comment ref="R11" authorId="11" shapeId="0" xr:uid="{EB27DFB7-4405-394D-9C40-A7EBDDCE753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10/31/21 deadline</t>
      </text>
    </comment>
    <comment ref="S11" authorId="12" shapeId="0" xr:uid="{5F37FAC8-6947-744F-B004-FCECA6DE19DA}">
      <text>
        <t>[Threaded comment]
Your version of Excel allows you to read this threaded comment; however, any edits to it will get removed if the file is opened in a newer version of Excel. Learn more: https://go.microsoft.com/fwlink/?linkid=870924
Comment:
    $6,762,016 QO
6/29/23 deadline
Bird RFA</t>
      </text>
    </comment>
    <comment ref="Q12" authorId="13" shapeId="0" xr:uid="{B0ED55A1-D5CE-4E44-89D2-FF384AB88761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10/31/20 deadline (revised date TBD)</t>
      </text>
    </comment>
    <comment ref="R12" authorId="14" shapeId="0" xr:uid="{345C4DDD-1296-4D41-AD08-FCA4D929165E}">
      <text>
        <t>[Threaded comment]
Your version of Excel allows you to read this threaded comment; however, any edits to it will get removed if the file is opened in a newer version of Excel. Learn more: https://go.microsoft.com/fwlink/?linkid=870924
Comment:
    $5,791,702 QO
6/29/22 deadline
Bird RFA</t>
      </text>
    </comment>
    <comment ref="Q13" authorId="15" shapeId="0" xr:uid="{D05588E5-04C1-694B-9F8D-DDAFA167445A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6/29/21 deadline
If declined, Bird RFA</t>
      </text>
    </comment>
    <comment ref="R13" authorId="16" shapeId="0" xr:uid="{228C2EBE-979B-4440-B67B-598345BED5D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8" authorId="17" shapeId="0" xr:uid="{BCF6DAB2-39FF-C242-A20A-ED9FE8CB1F8F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Monta Ellis</t>
      </text>
    </comment>
    <comment ref="Q18" authorId="18" shapeId="0" xr:uid="{C8785706-3291-3341-B0EB-711714DB639F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Monta Ellis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tc={8C3F6C3E-14E2-834D-87EA-BB0A6BF7B10E}</author>
    <author>tc={84E73B32-26B1-5A46-896F-48CF212A1A42}</author>
    <author>tc={32D5E715-167D-8E46-888A-156323DD8BF7}</author>
    <author>tc={ADD46325-64E7-A949-B5E5-439B526FEB4E}</author>
  </authors>
  <commentList>
    <comment ref="C1" authorId="0" shapeId="0" xr:uid="{8C3F6C3E-14E2-834D-87EA-BB0A6BF7B10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84E73B32-26B1-5A46-896F-48CF212A1A4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T4" authorId="2" shapeId="0" xr:uid="{32D5E715-167D-8E46-888A-156323DD8BF7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9" authorId="3" shapeId="0" xr:uid="{ADD46325-64E7-A949-B5E5-439B526FEB4E}">
      <text>
        <t>[Threaded comment]
Your version of Excel allows you to read this threaded comment; however, any edits to it will get removed if the file is opened in a newer version of Excel. Learn more: https://go.microsoft.com/fwlink/?linkid=870924
Comment:
    $7,256,785 QO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tc={6DC798E6-45A7-3041-9D9F-424B37134AA8}</author>
    <author>tc={EB61B890-D0A8-AC42-9196-F27BF7AE9F49}</author>
    <author>tc={E6CE6BAD-0808-CB45-826D-A64F7F51ACA6}</author>
    <author>tc={793411AF-2739-5A46-A9E8-0EC89C0C17C0}</author>
    <author>tc={E23EA61C-97EA-3843-9CB9-148C302E65B5}</author>
    <author>tc={C0A8A091-AEA5-994A-8B15-77D4D16C0A3F}</author>
    <author>tc={C5CE8CEC-A98D-6149-BDBB-E8AF0BC0E19B}</author>
    <author>tc={647CAE2D-1025-E948-88FB-CB39F3C7928E}</author>
    <author>tc={6FE1B5AD-5569-0D4E-AEE9-6200A2E974BE}</author>
    <author>tc={E2DD5A98-D57D-A54E-917D-E7BC56174032}</author>
    <author>tc={2DEF6372-9C9B-394E-B3D3-13A68613DBB1}</author>
    <author>tc={6F1F63A4-76E1-9341-B1F0-C9944A1CD47C}</author>
  </authors>
  <commentList>
    <comment ref="C1" authorId="0" shapeId="0" xr:uid="{6DC798E6-45A7-3041-9D9F-424B37134AA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B61B890-D0A8-AC42-9196-F27BF7AE9F4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4" authorId="2" shapeId="0" xr:uid="{E6CE6BAD-0808-CB45-826D-A64F7F51ACA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5" authorId="3" shapeId="0" xr:uid="{793411AF-2739-5A46-A9E8-0EC89C0C17C0}">
      <text>
        <t>[Threaded comment]
Your version of Excel allows you to read this threaded comment; however, any edits to it will get removed if the file is opened in a newer version of Excel. Learn more: https://go.microsoft.com/fwlink/?linkid=870924
Comment:
    $4,888,118 gt, fully gt on 6/28/22</t>
      </text>
    </comment>
    <comment ref="Q6" authorId="4" shapeId="0" xr:uid="{E23EA61C-97EA-3843-9CB9-148C302E65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“6/29/21” deadline
Non Bird
$11,109,600 cap hold</t>
      </text>
    </comment>
    <comment ref="R6" authorId="5" shapeId="0" xr:uid="{C0A8A091-AEA5-994A-8B15-77D4D16C0A3F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1" authorId="6" shapeId="0" xr:uid="{C5CE8CEC-A98D-6149-BDBB-E8AF0BC0E19B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1/10/22
If waived, Early Bird</t>
      </text>
    </comment>
    <comment ref="R11" authorId="7" shapeId="0" xr:uid="{647CAE2D-1025-E948-88FB-CB39F3C7928E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1/10/23
If waived, Bird</t>
      </text>
    </comment>
    <comment ref="S11" authorId="8" shapeId="0" xr:uid="{6FE1B5AD-5569-0D4E-AEE9-6200A2E974B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6" authorId="9" shapeId="0" xr:uid="{E2DD5A98-D57D-A54E-917D-E7BC56174032}">
      <text>
        <t>[Threaded comment]
Your version of Excel allows you to read this threaded comment; however, any edits to it will get removed if the file is opened in a newer version of Excel. Learn more: https://go.microsoft.com/fwlink/?linkid=870924
Comment:
    Luol Deng / Quinn Cook / Jordan Bell</t>
      </text>
    </comment>
    <comment ref="Q16" authorId="10" shapeId="0" xr:uid="{2DEF6372-9C9B-394E-B3D3-13A68613DBB1}">
      <text>
        <t>[Threaded comment]
Your version of Excel allows you to read this threaded comment; however, any edits to it will get removed if the file is opened in a newer version of Excel. Learn more: https://go.microsoft.com/fwlink/?linkid=870924
Comment:
    Luol Deng / Jordan Bell</t>
      </text>
    </comment>
    <comment ref="R16" authorId="11" shapeId="0" xr:uid="{6F1F63A4-76E1-9341-B1F0-C9944A1CD47C}">
      <text>
        <t>[Threaded comment]
Your version of Excel allows you to read this threaded comment; however, any edits to it will get removed if the file is opened in a newer version of Excel. Learn more: https://go.microsoft.com/fwlink/?linkid=870924
Comment:
    Jordan Bell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tc={457F1808-D622-0342-9531-FCF06577030A}</author>
    <author>tc={2A6399B8-0ADB-A94F-947B-2CEE5F447999}</author>
    <author>tc={2533CF9F-97EB-9445-BEEE-A16D9F1A4992}</author>
    <author>tc={308323EC-7059-6544-8615-8BD5B66C5978}</author>
    <author>tc={DE24EBE4-5DFB-6C44-8631-12DA1AB558A5}</author>
    <author>tc={A6628AF2-36AC-534B-AFF9-84BE483C8C02}</author>
    <author>tc={6C221DB2-3AB4-5D43-826F-F0F401FA115B}</author>
    <author>tc={8914C5E0-E7C6-6C41-A94D-B34D2F955D73}</author>
  </authors>
  <commentList>
    <comment ref="C1" authorId="0" shapeId="0" xr:uid="{457F1808-D622-0342-9531-FCF06577030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2A6399B8-0ADB-A94F-947B-2CEE5F44799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6" authorId="2" shapeId="0" xr:uid="{2533CF9F-97EB-9445-BEEE-A16D9F1A4992}">
      <text>
        <t>[Threaded comment]
Your version of Excel allows you to read this threaded comment; however, any edits to it will get removed if the file is opened in a newer version of Excel. Learn more: https://go.microsoft.com/fwlink/?linkid=870924
Comment:
    $1,500,000 gt, fully gt on 7/3/23</t>
      </text>
    </comment>
    <comment ref="R14" authorId="3" shapeId="0" xr:uid="{308323EC-7059-6544-8615-8BD5B66C5978}">
      <text>
        <t>[Threaded comment]
Your version of Excel allows you to read this threaded comment; however, any edits to it will get removed if the file is opened in a newer version of Excel. Learn more: https://go.microsoft.com/fwlink/?linkid=870924
Comment:
    $840,000 gt, fully gt on 7/3/22</t>
      </text>
    </comment>
    <comment ref="S14" authorId="4" shapeId="0" xr:uid="{DE24EBE4-5DFB-6C44-8631-12DA1AB5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7/3/23</t>
      </text>
    </comment>
    <comment ref="Q17" authorId="5" shapeId="0" xr:uid="{A6628AF2-36AC-534B-AFF9-84BE483C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$300,000 gt, fully gt on 7/20/21</t>
      </text>
    </comment>
    <comment ref="R17" authorId="6" shapeId="0" xr:uid="{6C221DB2-3AB4-5D43-826F-F0F401FA115B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goon 6/28/22</t>
      </text>
    </comment>
    <comment ref="Y24" authorId="7" shapeId="0" xr:uid="{8914C5E0-E7C6-6C41-A94D-B34D2F955D73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w/ MEM (also 33 games w/ POR, 9 games w/ SAC)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tc={68C1F394-ADF2-2A4F-BF52-38A88F7E1915}</author>
    <author>tc={CBB2831C-BF1F-9F48-B3FD-5EE47A60C2A6}</author>
    <author>tc={B7C20EA9-9A9C-DE4B-B73B-1EED7E4CC5E5}</author>
    <author>tc={778B2608-EDBE-EF41-8659-8068FE90BD99}</author>
    <author>tc={42CFF441-88E1-E34C-8C7B-18E002A85204}</author>
  </authors>
  <commentList>
    <comment ref="C1" authorId="0" shapeId="0" xr:uid="{68C1F394-ADF2-2A4F-BF52-38A88F7E19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X1" authorId="1" shapeId="0" xr:uid="{CBB2831C-BF1F-9F48-B3FD-5EE47A60C2A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P13" authorId="2" shapeId="0" xr:uid="{B7C20EA9-9A9C-DE4B-B73B-1EED7E4CC5E5}">
      <text>
        <t>[Threaded comment]
Your version of Excel allows you to read this threaded comment; however, any edits to it will get removed if the file is opened in a newer version of Excel. Learn more: https://go.microsoft.com/fwlink/?linkid=870924
Comment:
    $300,000 gt, fully gt on league-wide cutdown date (late Feb 2021?)</t>
      </text>
    </comment>
    <comment ref="P18" authorId="3" shapeId="0" xr:uid="{778B2608-EDBE-EF41-8659-8068FE90BD99}">
      <text>
        <t>[Threaded comment]
Your version of Excel allows you to read this threaded comment; however, any edits to it will get removed if the file is opened in a newer version of Excel. Learn more: https://go.microsoft.com/fwlink/?linkid=870924
Comment:
    Ryan Anderson / A.J. Hammons</t>
      </text>
    </comment>
    <comment ref="Q18" authorId="4" shapeId="0" xr:uid="{42CFF441-88E1-E34C-8C7B-18E002A85204}">
      <text>
        <t>[Threaded comment]
Your version of Excel allows you to read this threaded comment; however, any edits to it will get removed if the file is opened in a newer version of Excel. Learn more: https://go.microsoft.com/fwlink/?linkid=870924
Comment:
    Ryan Anderson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tc={E5CC1517-F5C8-C742-B0FD-48F15FAD9277}</author>
    <author>tc={E0A0D47D-0D76-C943-89B5-498619B12523}</author>
    <author>tc={75F99D64-7824-244D-86DA-52E2B047D3C0}</author>
    <author>tc={D23B683F-2C60-D042-AF97-86B8FCBAA409}</author>
    <author>tc={CA3721B4-4599-804D-B46D-633E54817317}</author>
    <author>tc={98F0D7F2-A833-FC41-B927-3CBD41FEC905}</author>
    <author>tc={7FCC952E-5173-6949-BAEB-A7DF592111F1}</author>
    <author>tc={8580BBD1-97A8-044F-8222-1B906BD42C74}</author>
    <author>tc={8D14889D-BB70-6D46-8509-520D71CED9E5}</author>
    <author>tc={B153BF6F-1C33-8C4F-AF63-DD2CE9AD46A0}</author>
    <author>tc={33959C28-4CC2-2F47-A941-D7B7B7F27686}</author>
    <author>tc={4C08A2AE-4F49-324C-8FBB-D94D7C8ED03C}</author>
    <author>tc={B6A402C0-79CF-9148-8EF9-00297934F7E1}</author>
    <author>tc={83B12865-B773-6A45-927A-CBF2AB8B314C}</author>
    <author>tc={6BB844AE-7F6F-0A41-981A-A29B47792C93}</author>
  </authors>
  <commentList>
    <comment ref="C1" authorId="0" shapeId="0" xr:uid="{E5CC1517-F5C8-C742-B0FD-48F15FAD927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0A0D47D-0D76-C943-89B5-498619B1252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T2" authorId="2" shapeId="0" xr:uid="{75F99D64-7824-244D-86DA-52E2B047D3C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3" authorId="3" shapeId="0" xr:uid="{D23B683F-2C60-D042-AF97-86B8FCBAA40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4" authorId="4" shapeId="0" xr:uid="{CA3721B4-4599-804D-B46D-633E54817317}">
      <text>
        <t>[Threaded comment]
Your version of Excel allows you to read this threaded comment; however, any edits to it will get removed if the file is opened in a newer version of Excel. Learn more: https://go.microsoft.com/fwlink/?linkid=870924
Comment:
    $29,187,778 for hard cap purposes</t>
      </text>
    </comment>
    <comment ref="Q4" authorId="5" shapeId="0" xr:uid="{98F0D7F2-A833-FC41-B927-3CBD41FEC905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6/29/21 deadline</t>
      </text>
    </comment>
    <comment ref="R4" authorId="6" shapeId="0" xr:uid="{7FCC952E-5173-6949-BAEB-A7DF592111F1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5" authorId="7" shapeId="0" xr:uid="{8580BBD1-97A8-044F-8222-1B906BD42C7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7" authorId="8" shapeId="0" xr:uid="{8D14889D-BB70-6D46-8509-520D71CED9E5}">
      <text>
        <t>[Threaded comment]
Your version of Excel allows you to read this threaded comment; however, any edits to it will get removed if the file is opened in a newer version of Excel. Learn more: https://go.microsoft.com/fwlink/?linkid=870924
Comment:
    $6,422,171 QO</t>
      </text>
    </comment>
    <comment ref="Q10" authorId="9" shapeId="0" xr:uid="{B153BF6F-1C33-8C4F-AF63-DD2CE9AD46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10/31/20 deadline (revised date TBD)</t>
      </text>
    </comment>
    <comment ref="R10" authorId="10" shapeId="0" xr:uid="{33959C28-4CC2-2F47-A941-D7B7B7F27686}">
      <text>
        <t>[Threaded comment]
Your version of Excel allows you to read this threaded comment; however, any edits to it will get removed if the file is opened in a newer version of Excel. Learn more: https://go.microsoft.com/fwlink/?linkid=870924
Comment:
    $6,602,272 QO</t>
      </text>
    </comment>
    <comment ref="Q12" authorId="11" shapeId="0" xr:uid="{4C08A2AE-4F49-324C-8FBB-D94D7C8ED03C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 (RFA)</t>
      </text>
    </comment>
    <comment ref="P19" authorId="12" shapeId="0" xr:uid="{B6A402C0-79CF-9148-8EF9-00297934F7E1}">
      <text>
        <t>[Threaded comment]
Your version of Excel allows you to read this threaded comment; however, any edits to it will get removed if the file is opened in a newer version of Excel. Learn more: https://go.microsoft.com/fwlink/?linkid=870924
Comment:
    Jon Leuer / Larry Sanders</t>
      </text>
    </comment>
    <comment ref="Q19" authorId="13" shapeId="0" xr:uid="{83B12865-B773-6A45-927A-CBF2AB8B314C}">
      <text>
        <t>[Threaded comment]
Your version of Excel allows you to read this threaded comment; however, any edits to it will get removed if the file is opened in a newer version of Excel. Learn more: https://go.microsoft.com/fwlink/?linkid=870924
Comment:
    Jon Leuer / Larry Sanders</t>
      </text>
    </comment>
    <comment ref="P22" authorId="14" shapeId="0" xr:uid="{6BB844AE-7F6F-0A41-981A-A29B47792C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tc={33CE36B9-F52C-0E42-AF7D-885503C30BE7}</author>
    <author>tc={EBDAF284-B106-4441-A5D2-DB0C8987A587}</author>
    <author>tc={9394A6EF-BB98-5F4C-BBF5-DE247C1D12BE}</author>
    <author>tc={6719A550-978D-8B46-9D1B-5AA4049AF982}</author>
    <author>tc={C38E58E2-8A19-E644-9925-CBC984E45232}</author>
    <author>tc={0F23E8FD-A3D2-BC46-BBE5-F1586C550EB7}</author>
  </authors>
  <commentList>
    <comment ref="C1" authorId="0" shapeId="0" xr:uid="{33CE36B9-F52C-0E42-AF7D-885503C3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BDAF284-B106-4441-A5D2-DB0C8987A58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P13" authorId="2" shapeId="0" xr:uid="{9394A6EF-BB98-5F4C-BBF5-DE247C1D12BE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11/28/20 gt date</t>
      </text>
    </comment>
    <comment ref="P14" authorId="3" shapeId="0" xr:uid="{6719A550-978D-8B46-9D1B-5AA4049AF982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2/27/21</t>
      </text>
    </comment>
    <comment ref="P15" authorId="4" shapeId="0" xr:uid="{C38E58E2-8A19-E644-9925-CBC984E45232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2/27/21</t>
      </text>
    </comment>
    <comment ref="P17" authorId="5" shapeId="0" xr:uid="{0F23E8FD-A3D2-BC46-BBE5-F1586C55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Cole Aldrich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tc={8BEF9D59-2F9E-BF40-8A3B-CF8C050EEA87}</author>
    <author>tc={38B2DAE1-8418-E144-82D5-A48518F63DC5}</author>
    <author>tc={2B7DA489-CEA5-FB45-AAA8-C22BC7AC3E3B}</author>
    <author>tc={3CDB83B6-06B1-D346-9D3F-A3F457EC78D2}</author>
    <author>tc={5F717BAC-452F-064A-B05C-15F73F466ACF}</author>
    <author>tc={BDD714F3-CD63-9C4A-88C8-752B03F7CFEA}</author>
    <author>tc={DB557544-803C-994F-9996-7287CB41DAED}</author>
    <author>tc={CD4C776B-4BE7-3C49-8C48-B685F53540F2}</author>
    <author>tc={BBA02FED-0F1C-264E-95C9-85CBB47E1F92}</author>
    <author>tc={F09032CF-87D5-6548-B97A-432D26743863}</author>
    <author>tc={B0DB536A-4B0D-C046-A662-4C2DC4AB3DC6}</author>
  </authors>
  <commentList>
    <comment ref="C1" authorId="0" shapeId="0" xr:uid="{8BEF9D59-2F9E-BF40-8A3B-CF8C050EEA8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38B2DAE1-8418-E144-82D5-A48518F63DC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4" authorId="2" shapeId="0" xr:uid="{2B7DA489-CEA5-FB45-AAA8-C22BC7AC3E3B}">
      <text>
        <t>[Threaded comment]
Your version of Excel allows you to read this threaded comment; however, any edits to it will get removed if the file is opened in a newer version of Excel. Learn more: https://go.microsoft.com/fwlink/?linkid=870924
Comment:
    $3,900,000 gt
6/29/22 gt date</t>
      </text>
    </comment>
    <comment ref="S4" authorId="3" shapeId="0" xr:uid="{3CDB83B6-06B1-D346-9D3F-A3F457EC78D2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4" shapeId="0" xr:uid="{5F717BAC-452F-064A-B05C-15F73F466AC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5" shapeId="0" xr:uid="{BDD714F3-CD63-9C4A-88C8-752B03F7CFEA}">
      <text>
        <t>[Threaded comment]
Your version of Excel allows you to read this threaded comment; however, any edits to it will get removed if the file is opened in a newer version of Excel. Learn more: https://go.microsoft.com/fwlink/?linkid=870924
Comment:
    $14,359,936 QO</t>
      </text>
    </comment>
    <comment ref="S7" authorId="6" shapeId="0" xr:uid="{DB557544-803C-994F-9996-7287CB41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$17,595,262 QO</t>
      </text>
    </comment>
    <comment ref="S8" authorId="7" shapeId="0" xr:uid="{CD4C776B-4BE7-3C49-8C48-B685F53540F2}">
      <text>
        <t>[Threaded comment]
Your version of Excel allows you to read this threaded comment; however, any edits to it will get removed if the file is opened in a newer version of Excel. Learn more: https://go.microsoft.com/fwlink/?linkid=870924
Comment:
    $9,170,460 QO</t>
      </text>
    </comment>
    <comment ref="Q9" authorId="8" shapeId="0" xr:uid="{BBA02FED-0F1C-264E-95C9-85CBB47E1F92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1" authorId="9" shapeId="0" xr:uid="{F09032CF-87D5-6548-B97A-432D26743863}">
      <text>
        <t>[Threaded comment]
Your version of Excel allows you to read this threaded comment; however, any edits to it will get removed if the file is opened in a newer version of Excel. Learn more: https://go.microsoft.com/fwlink/?linkid=870924
Comment:
    $5,236,739 QO</t>
      </text>
    </comment>
    <comment ref="S12" authorId="10" shapeId="0" xr:uid="{B0DB536A-4B0D-C046-A662-4C2DC4AB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$7,073,602 QO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tc={FDFC547E-7618-2A4B-92B3-4E0134463B32}</author>
    <author>tc={ED43EE05-0290-3D4F-A809-63ACB6A0BAE4}</author>
    <author>tc={F93E4740-D8E0-2C4E-AC47-05BAB848FA0D}</author>
    <author>tc={7B553168-DD85-D543-8260-A5FCE73193F5}</author>
    <author>tc={10824A58-CE24-FF42-98AF-719EFFD7CBAE}</author>
    <author>tc={4288DA2A-F74F-9548-B32D-BF0AD50FFC50}</author>
    <author>tc={E8571D8F-758F-6044-86DF-61048C9AD936}</author>
    <author>tc={74681AB0-D702-F840-90F1-7AB009D50EC7}</author>
    <author>tc={E9DC93BC-5C01-AC4F-B030-9D5B782DC44A}</author>
    <author>tc={786CA113-4D13-9749-826A-31BA31CEF0B8}</author>
    <author>tc={9BDFC207-1726-CB4C-BA6A-204C61D5B593}</author>
    <author>tc={BC4518D1-3BB3-8842-A467-77F3160E5FA6}</author>
    <author>tc={83B43F2F-0DA1-524F-9A13-3CDD2A2618E1}</author>
    <author>tc={5F6AE5FB-3D9E-A642-8E38-A75D8F26E16C}</author>
    <author>tc={2E03CE34-6B72-1C49-B9C8-185815D90A53}</author>
    <author>tc={F2B12187-C5BC-B24A-B5EE-FAA54A37A007}</author>
    <author>tc={35C05372-9AE4-FD49-A0DA-950592F079A7}</author>
    <author>tc={6FDF8B23-500F-0047-B592-3E35BDDF588E}</author>
  </authors>
  <commentList>
    <comment ref="X1" authorId="0" shapeId="0" xr:uid="{FDFC547E-7618-2A4B-92B3-4E0134463B3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2" authorId="1" shapeId="0" xr:uid="{ED43EE05-0290-3D4F-A809-63ACB6A0BAE4}">
      <text>
        <t>[Threaded comment]
Your version of Excel allows you to read this threaded comment; however, any edits to it will get removed if the file is opened in a newer version of Excel. Learn more: https://go.microsoft.com/fwlink/?linkid=870924
Comment:
    $48,234,375 cap hold
Bird</t>
      </text>
    </comment>
    <comment ref="S2" authorId="2" shapeId="0" xr:uid="{F93E4740-D8E0-2C4E-AC47-05BAB848FA0D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T3" authorId="3" shapeId="0" xr:uid="{7B553168-DD85-D543-8260-A5FCE73193F5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4" authorId="4" shapeId="0" xr:uid="{10824A58-CE24-FF42-98AF-719EFFD7CBA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7" authorId="5" shapeId="0" xr:uid="{4288DA2A-F74F-9548-B32D-BF0AD50FFC5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8" authorId="6" shapeId="0" xr:uid="{E8571D8F-758F-6044-86DF-61048C9AD936}">
      <text>
        <t>[Threaded comment]
Your version of Excel allows you to read this threaded comment; however, any edits to it will get removed if the file is opened in a newer version of Excel. Learn more: https://go.microsoft.com/fwlink/?linkid=870924
Comment:
    $7,837,251 QO</t>
      </text>
    </comment>
    <comment ref="S10" authorId="7" shapeId="0" xr:uid="{74681AB0-D702-F840-90F1-7AB009D50EC7}">
      <text>
        <t>[Threaded comment]
Your version of Excel allows you to read this threaded comment; however, any edits to it will get removed if the file is opened in a newer version of Excel. Learn more: https://go.microsoft.com/fwlink/?linkid=870924
Comment:
    $6,235,495 QO</t>
      </text>
    </comment>
    <comment ref="R12" authorId="8" shapeId="0" xr:uid="{E9DC93BC-5C01-AC4F-B030-9D5B782DC44A}">
      <text>
        <t>[Threaded comment]
Your version of Excel allows you to read this threaded comment; however, any edits to it will get removed if the file is opened in a newer version of Excel. Learn more: https://go.microsoft.com/fwlink/?linkid=870924
Comment:
    $5,430,710 QO</t>
      </text>
    </comment>
    <comment ref="Q13" authorId="9" shapeId="0" xr:uid="{786CA113-4D13-9749-826A-31BA31CEF0B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15" authorId="10" shapeId="0" xr:uid="{9BDFC207-1726-CB4C-BA6A-204C61D5B59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waived, Bird RFA
$2,228,276 QO</t>
      </text>
    </comment>
    <comment ref="S15" authorId="11" shapeId="0" xr:uid="{BC4518D1-3BB3-8842-A467-77F3160E5FA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6" authorId="12" shapeId="0" xr:uid="{83B43F2F-0DA1-524F-9A13-3CDD2A2618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fully NG, fully gt on 2/27/21
If waived, Non Bird RFA
$1,645,697 QO
</t>
      </text>
    </comment>
    <comment ref="Q16" authorId="13" shapeId="0" xr:uid="{5F6AE5FB-3D9E-A642-8E38-A75D8F26E16C}">
      <text>
        <t>[Threaded comment]
Your version of Excel allows you to read this threaded comment; however, any edits to it will get removed if the file is opened in a newer version of Excel. Learn more: https://go.microsoft.com/fwlink/?linkid=870924
Comment:
    $2,056,061 QO
Early Bird RFA</t>
      </text>
    </comment>
    <comment ref="P19" authorId="14" shapeId="0" xr:uid="{2E03CE34-6B72-1C49-B9C8-185815D90A53}">
      <text>
        <t>[Threaded comment]
Your version of Excel allows you to read this threaded comment; however, any edits to it will get removed if the file is opened in a newer version of Excel. Learn more: https://go.microsoft.com/fwlink/?linkid=870924
Comment:
    Guerschon Yabusele / Demetrius Jackson</t>
      </text>
    </comment>
    <comment ref="Q19" authorId="15" shapeId="0" xr:uid="{F2B12187-C5BC-B24A-B5EE-FAA54A37A00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Guerschon Yabusele / Demetrius Jackson</t>
      </text>
    </comment>
    <comment ref="R19" authorId="16" shapeId="0" xr:uid="{35C05372-9AE4-FD49-A0DA-950592F079A7}">
      <text>
        <t>[Threaded comment]
Your version of Excel allows you to read this threaded comment; however, any edits to it will get removed if the file is opened in a newer version of Excel. Learn more: https://go.microsoft.com/fwlink/?linkid=870924
Comment:
    Demetrius Jackson</t>
      </text>
    </comment>
    <comment ref="S19" authorId="17" shapeId="0" xr:uid="{6FDF8B23-500F-0047-B592-3E35BDDF588E}">
      <text>
        <t>[Threaded comment]
Your version of Excel allows you to read this threaded comment; however, any edits to it will get removed if the file is opened in a newer version of Excel. Learn more: https://go.microsoft.com/fwlink/?linkid=870924
Comment:
    Demetrius Jackson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tc={0B9E9A8B-18A5-F14A-A4E0-6909312F34FF}</author>
    <author>tc={396372AC-418B-A84E-9C38-14B8C401572F}</author>
    <author>tc={DCD5F0EB-C8EE-EE44-A19F-0ECE3FD801B5}</author>
    <author>tc={007FD88C-6485-CE44-B952-C9925B884518}</author>
    <author>tc={77A114B1-4380-F94E-98C7-7EAAE2F7DE4C}</author>
    <author>tc={1515BDFA-5E07-6448-A481-5C19FEE7FA55}</author>
    <author>tc={A5036FF6-20E0-E643-A44C-90A98D7C9BA0}</author>
    <author>tc={CA10DB3E-F8AA-7748-A552-6F2D6FC78FB8}</author>
    <author>tc={673C55D5-C105-6D4A-B0DC-B320DF65BD66}</author>
    <author>tc={47636362-05BB-0B44-ABF3-ECC1308D754C}</author>
    <author>tc={E66F2E93-BEAD-7945-BED8-C463449663FC}</author>
    <author>tc={B9E93F13-D488-414B-A5F8-54D07E39007E}</author>
    <author>tc={B5721187-72FD-5649-9812-A66142E43AB3}</author>
    <author>tc={C0A7C68E-6FB2-D442-A4D4-D64757EB6E61}</author>
  </authors>
  <commentList>
    <comment ref="C1" authorId="0" shapeId="0" xr:uid="{0B9E9A8B-18A5-F14A-A4E0-6909312F34F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396372AC-418B-A84E-9C38-14B8C401572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2" authorId="2" shapeId="0" xr:uid="{DCD5F0EB-C8EE-EE44-A19F-0ECE3FD801B5}">
      <text>
        <t>[Threaded comment]
Your version of Excel allows you to read this threaded comment; however, any edits to it will get removed if the file is opened in a newer version of Excel. Learn more: https://go.microsoft.com/fwlink/?linkid=870924
Comment:
    $4,000,000 gt
6/28/21 gt date</t>
      </text>
    </comment>
    <comment ref="R2" authorId="3" shapeId="0" xr:uid="{007FD88C-6485-CE44-B952-C9925B88451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3" authorId="4" shapeId="0" xr:uid="{77A114B1-4380-F94E-98C7-7EAAE2F7DE4C}">
      <text>
        <t>[Threaded comment]
Your version of Excel allows you to read this threaded comment; however, any edits to it will get removed if the file is opened in a newer version of Excel. Learn more: https://go.microsoft.com/fwlink/?linkid=870924
Comment:
    $14,301,633 QO</t>
      </text>
    </comment>
    <comment ref="Q4" authorId="5" shapeId="0" xr:uid="{1515BDFA-5E07-6448-A481-5C19FEE7FA55}">
      <text>
        <t>[Threaded comment]
Your version of Excel allows you to read this threaded comment; however, any edits to it will get removed if the file is opened in a newer version of Excel. Learn more: https://go.microsoft.com/fwlink/?linkid=870924
Comment:
    $8,326,027 QO</t>
      </text>
    </comment>
    <comment ref="Q6" authorId="6" shapeId="0" xr:uid="{A5036FF6-20E0-E643-A44C-90A98D7C9BA0}">
      <text>
        <t>[Threaded comment]
Your version of Excel allows you to read this threaded comment; however, any edits to it will get removed if the file is opened in a newer version of Excel. Learn more: https://go.microsoft.com/fwlink/?linkid=870924
Comment:
    $7,705,447 QO</t>
      </text>
    </comment>
    <comment ref="Q9" authorId="7" shapeId="0" xr:uid="{CA10DB3E-F8AA-7748-A552-6F2D6FC78FB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R10" authorId="8" shapeId="0" xr:uid="{673C55D5-C105-6D4A-B0DC-B320DF65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$7,921,300 QO</t>
      </text>
    </comment>
    <comment ref="Y18" authorId="9" shapeId="0" xr:uid="{47636362-05BB-0B44-ABF3-ECC1308D754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w/ BKN</t>
      </text>
    </comment>
    <comment ref="Y19" authorId="10" shapeId="0" xr:uid="{E66F2E93-BEAD-7945-BED8-C463449663F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w/ PHX</t>
      </text>
    </comment>
    <comment ref="P20" authorId="11" shapeId="0" xr:uid="{B9E93F13-D488-414B-A5F8-54D07E39007E}">
      <text>
        <t>[Threaded comment]
Your version of Excel allows you to read this threaded comment; however, any edits to it will get removed if the file is opened in a newer version of Excel. Learn more: https://go.microsoft.com/fwlink/?linkid=870924
Comment:
    Joakim Noah / Taj Gibson / Wayne Ellington / Elfrid Payton</t>
      </text>
    </comment>
    <comment ref="Q20" authorId="12" shapeId="0" xr:uid="{B5721187-72FD-5649-9812-A66142E43AB3}">
      <text>
        <t>[Threaded comment]
Your version of Excel allows you to read this threaded comment; however, any edits to it will get removed if the file is opened in a newer version of Excel. Learn more: https://go.microsoft.com/fwlink/?linkid=870924
Comment:
    Joakim Noah</t>
      </text>
    </comment>
    <comment ref="P22" authorId="13" shapeId="0" xr:uid="{C0A7C68E-6FB2-D442-A4D4-D64757EB6E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tc={C46650EA-450E-6242-8358-18D19259B9EE}</author>
    <author>tc={39D1B315-87B7-CB45-AA1C-A21BC0D8F0B3}</author>
    <author>tc={23AFE283-C5CA-1443-81FB-7FFF474A3625}</author>
    <author>tc={4694DDFA-268D-6C42-817B-E2FA00D4218B}</author>
    <author>tc={D4F9FEB1-07A2-624D-812E-57FF575255ED}</author>
    <author>tc={4DC7C7F6-C37E-304F-AA27-4077DF7DAEF6}</author>
    <author>tc={9EE05AF6-83B0-974F-A12B-40CE6055A193}</author>
    <author>tc={13F99E08-E38D-7E49-BE17-4A6A8FDC8CEF}</author>
    <author>tc={357D5EB6-800E-E847-B791-46C6C02E13A9}</author>
    <author>tc={4F357345-3872-9A4C-BA1A-07B9279CB240}</author>
    <author>tc={1E468843-0AA9-1646-9564-1C13E75CED96}</author>
    <author>tc={35988F30-A144-444F-85D1-CB6287F27B56}</author>
    <author>tc={B7097BD3-EC26-8144-9FAA-7AF674B762C2}</author>
    <author>tc={628055FA-D559-9441-B360-D59A76C4FC01}</author>
    <author>tc={E0D4E86B-C505-BB47-A08D-6470618E0A2D}</author>
    <author>tc={89CC3B1C-810B-2541-926F-FDFDBBA1F3C0}</author>
    <author>tc={4404BEA1-87B4-3D48-9F0E-768F3E1C1003}</author>
    <author>tc={F0BE8B6D-5FD5-B145-A60B-BA3350A89825}</author>
    <author>tc={58CE1506-7235-BB4A-994B-FC92E2435B9C}</author>
    <author>tc={59C420FD-32DF-5741-B159-5F12A097D3EB}</author>
    <author>tc={D94F704F-3537-074F-B903-7B8D7E2C33AC}</author>
    <author>tc={3DA9E164-2CB6-D44C-BB84-7AEB4B898977}</author>
    <author>tc={50831CD2-ABC2-0041-8667-9A1496C5D6AA}</author>
    <author>tc={95C6C7F2-D3FE-124A-A994-6F2204EB906D}</author>
    <author>tc={FC47211F-0A87-A448-8A8B-993C756F269F}</author>
    <author>tc={91834FC2-9F7C-284D-AEE7-F66A234825A8}</author>
    <author>tc={2EDC2AD4-72BE-5A4A-AF37-959BA6DCEF95}</author>
  </authors>
  <commentList>
    <comment ref="C1" authorId="0" shapeId="0" xr:uid="{C46650EA-450E-6242-8358-18D19259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39D1B315-87B7-CB45-AA1C-A21BC0D8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2" authorId="2" shapeId="0" xr:uid="{23AFE283-C5CA-1443-81FB-7FFF474A3625}">
      <text>
        <t>[Threaded comment]
Your version of Excel allows you to read this threaded comment; however, any edits to it will get removed if the file is opened in a newer version of Excel. Learn more: https://go.microsoft.com/fwlink/?linkid=870924
Comment:
    $14.5M gt</t>
      </text>
    </comment>
    <comment ref="Q3" authorId="3" shapeId="0" xr:uid="{4694DDFA-268D-6C42-817B-E2FA00D4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4" authorId="4" shapeId="0" xr:uid="{D4F9FEB1-07A2-624D-812E-57FF575255ED}">
      <text>
        <t>[Threaded comment]
Your version of Excel allows you to read this threaded comment; however, any edits to it will get removed if the file is opened in a newer version of Excel. Learn more: https://go.microsoft.com/fwlink/?linkid=870924
Comment:
    $1,275,491 gt
7/1/21 gt date</t>
      </text>
    </comment>
    <comment ref="Q5" authorId="5" shapeId="0" xr:uid="{4DC7C7F6-C37E-304F-AA27-4077DF7DAEF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6" shapeId="0" xr:uid="{9EE05AF6-83B0-974F-A12B-40CE6055A193}">
      <text>
        <t>[Threaded comment]
Your version of Excel allows you to read this threaded comment; however, any edits to it will get removed if the file is opened in a newer version of Excel. Learn more: https://go.microsoft.com/fwlink/?linkid=870924
Comment:
    $7,031,451 QO</t>
      </text>
    </comment>
    <comment ref="Q7" authorId="7" shapeId="0" xr:uid="{13F99E08-E38D-7E49-BE17-4A6A8FDC8CEF}">
      <text>
        <t>[Threaded comment]
Your version of Excel allows you to read this threaded comment; however, any edits to it will get removed if the file is opened in a newer version of Excel. Learn more: https://go.microsoft.com/fwlink/?linkid=870924
Comment:
    $6,139,765 QO
6/29/21 deadline
Bird RFA</t>
      </text>
    </comment>
    <comment ref="Q8" authorId="8" shapeId="0" xr:uid="{357D5EB6-800E-E847-B791-46C6C02E13A9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R8" authorId="9" shapeId="0" xr:uid="{4F357345-3872-9A4C-BA1A-07B9279CB240}">
      <text>
        <t>[Threaded comment]
Your version of Excel allows you to read this threaded comment; however, any edits to it will get removed if the file is opened in a newer version of Excel. Learn more: https://go.microsoft.com/fwlink/?linkid=870924
Comment:
    $7,523,383 QO
6/29/22 deadline
Bird</t>
      </text>
    </comment>
    <comment ref="Q10" authorId="10" shapeId="0" xr:uid="{1E468843-0AA9-1646-9564-1C13E75CED96}">
      <text>
        <t>[Threaded comment]
Your version of Excel allows you to read this threaded comment; however, any edits to it will get removed if the file is opened in a newer version of Excel. Learn more: https://go.microsoft.com/fwlink/?linkid=870924
Comment:
    $3,274,009 QO (*1.25)
Early Bird</t>
      </text>
    </comment>
    <comment ref="Q11" authorId="11" shapeId="0" xr:uid="{35988F30-A144-444F-85D1-CB6287F27B56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R11" authorId="12" shapeId="0" xr:uid="{B7097BD3-EC26-8144-9FAA-7AF674B762C2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10/31/20 deadline</t>
      </text>
    </comment>
    <comment ref="S11" authorId="13" shapeId="0" xr:uid="{628055FA-D559-9441-B360-D59A76C4FC01}">
      <text>
        <t>[Threaded comment]
Your version of Excel allows you to read this threaded comment; however, any edits to it will get removed if the file is opened in a newer version of Excel. Learn more: https://go.microsoft.com/fwlink/?linkid=870924
Comment:
    $6,205,035 QO
6/29/23 deadline
Bird</t>
      </text>
    </comment>
    <comment ref="Q13" authorId="14" shapeId="0" xr:uid="{E0D4E86B-C505-BB47-A08D-6470618E0A2D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4" authorId="15" shapeId="0" xr:uid="{89CC3B1C-810B-2541-926F-FDFDBBA1F3C0}">
      <text>
        <t>[Threaded comment]
Your version of Excel allows you to read this threaded comment; however, any edits to it will get removed if the file is opened in a newer version of Excel. Learn more: https://go.microsoft.com/fwlink/?linkid=870924
Comment:
    $2,122,822 QO
6/29/21 deadline
Bird</t>
      </text>
    </comment>
    <comment ref="Q17" authorId="16" shapeId="0" xr:uid="{4404BEA1-87B4-3D48-9F0E-768F3E1C1003}">
      <text>
        <t>[Threaded comment]
Your version of Excel allows you to read this threaded comment; however, any edits to it will get removed if the file is opened in a newer version of Excel. Learn more: https://go.microsoft.com/fwlink/?linkid=870924
Comment:
    $300k gt
If waived, Early Bird RFA</t>
      </text>
    </comment>
    <comment ref="R17" authorId="17" shapeId="0" xr:uid="{F0BE8B6D-5FD5-B145-A60B-BA3350A89825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6/29/20 deadline
$325,000 gt if team opts in
If declined, Bird RFA</t>
      </text>
    </comment>
    <comment ref="S17" authorId="18" shapeId="0" xr:uid="{58CE1506-7235-BB4A-994B-FC92E2435B9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19" authorId="19" shapeId="0" xr:uid="{59C420FD-32DF-5741-B159-5F12A097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7/3/21
If waived, Early Bird RFA</t>
      </text>
    </comment>
    <comment ref="R19" authorId="20" shapeId="0" xr:uid="{D94F704F-3537-074F-B903-7B8D7E2C33AC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6/29/22 deadline
If declined, Bird RFA</t>
      </text>
    </comment>
    <comment ref="S19" authorId="21" shapeId="0" xr:uid="{3DA9E164-2CB6-D44C-BB84-7AEB4B898977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23" authorId="22" shapeId="0" xr:uid="{50831CD2-ABC2-0041-8667-9A1496C5D6AA}">
      <text>
        <t>[Threaded comment]
Your version of Excel allows you to read this threaded comment; however, any edits to it will get removed if the file is opened in a newer version of Excel. Learn more: https://go.microsoft.com/fwlink/?linkid=870924
Comment:
    Kyle Singler / Patrick Patterson</t>
      </text>
    </comment>
    <comment ref="Q23" authorId="23" shapeId="0" xr:uid="{95C6C7F2-D3FE-124A-A994-6F2204EB906D}">
      <text>
        <t>[Threaded comment]
Your version of Excel allows you to read this threaded comment; however, any edits to it will get removed if the file is opened in a newer version of Excel. Learn more: https://go.microsoft.com/fwlink/?linkid=870924
Comment:
    Kyle Singler / Patrick Patterson</t>
      </text>
    </comment>
    <comment ref="R23" authorId="24" shapeId="0" xr:uid="{FC47211F-0A87-A448-8A8B-993C756F269F}">
      <text>
        <t>[Threaded comment]
Your version of Excel allows you to read this threaded comment; however, any edits to it will get removed if the file is opened in a newer version of Excel. Learn more: https://go.microsoft.com/fwlink/?linkid=870924
Comment:
    Kyle Singler</t>
      </text>
    </comment>
    <comment ref="P28" authorId="25" shapeId="0" xr:uid="{91834FC2-9F7C-284D-AEE7-F66A234825A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29" authorId="26" shapeId="0" xr:uid="{2EDC2AD4-72BE-5A4A-AF37-959BA6DCEF95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 (RFA)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tc={6338EC7D-55A4-AD43-8C31-0A716F18A3EF}</author>
    <author>tc={2CC2D7CB-9407-EE46-A2D6-45EA3108AFA6}</author>
    <author>tc={DBE990EE-F16F-084D-91AF-DF0EB23BD3F7}</author>
    <author>tc={BEAE280B-7995-2E46-96F4-96485AA0218D}</author>
  </authors>
  <commentList>
    <comment ref="C1" authorId="0" shapeId="0" xr:uid="{6338EC7D-55A4-AD43-8C31-0A716F18A3E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2CC2D7CB-9407-EE46-A2D6-45EA3108A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15" authorId="2" shapeId="0" xr:uid="{DBE990EE-F16F-084D-91AF-DF0EB23BD3F7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7 days after Moratorium</t>
      </text>
    </comment>
    <comment ref="Q16" authorId="3" shapeId="0" xr:uid="{BEAE280B-7995-2E46-96F4-96485AA0218D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three days after Moratorium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tc={BD0DB5F1-27F0-AC40-83D0-A5E0C10EA053}</author>
    <author>tc={E84B3374-1B41-3048-BF9C-878DF056DF2B}</author>
    <author>tc={A087A8F2-2D2A-7845-AED9-0DE9B796B6BE}</author>
    <author>tc={B01D56D0-4F64-4A4B-9AFD-470D2DFC123D}</author>
    <author>tc={BE224B6B-AB17-BF41-823D-D928AB771D66}</author>
    <author>tc={9EEE5EC8-73E0-6140-B11A-9546B499AF8F}</author>
    <author>tc={5BA9B2FA-FCF6-DB40-A42C-DFC2F6FFC7E1}</author>
  </authors>
  <commentList>
    <comment ref="C1" authorId="0" shapeId="0" xr:uid="{BD0DB5F1-27F0-AC40-83D0-A5E0C10EA05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84B3374-1B41-3048-BF9C-878DF056DF2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6" authorId="2" shapeId="0" xr:uid="{A087A8F2-2D2A-7845-AED9-0DE9B796B6B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8" authorId="3" shapeId="0" xr:uid="{B01D56D0-4F64-4A4B-9AFD-470D2DFC123D}">
      <text>
        <t>[Threaded comment]
Your version of Excel allows you to read this threaded comment; however, any edits to it will get removed if the file is opened in a newer version of Excel. Learn more: https://go.microsoft.com/fwlink/?linkid=870924
Comment:
    $5,683,323 QO
6/29/21 deadline
Bird</t>
      </text>
    </comment>
    <comment ref="P21" authorId="4" shapeId="0" xr:uid="{BE224B6B-AB17-BF41-823D-D928AB771D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2" authorId="5" shapeId="0" xr:uid="{9EEE5EC8-73E0-6140-B11A-9546B499AF8F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3" authorId="6" shapeId="0" xr:uid="{5BA9B2FA-FCF6-DB40-A42C-DFC2F6FFC7E1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“7/10/20” (maybe 11/24/20?)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tc={D09D6E7A-BD50-434A-90C1-CFA62C7E8E11}</author>
    <author>tc={2296AE79-DDF2-6D42-ACAF-B063197388EC}</author>
    <author>tc={8CCBDFEE-335D-584C-9CE0-33BBE9FBF9A3}</author>
    <author>tc={F772C1E9-5138-0C4C-B120-D21B869A6C74}</author>
    <author>tc={5E7D60AD-379F-1F48-9E81-4C5115A612DB}</author>
    <author>tc={AB8F0DC7-0B19-BE4C-AC2E-1FBB8FDCC381}</author>
    <author>tc={33D8CF4C-E259-A74D-ABAA-D93CC6CC76BE}</author>
  </authors>
  <commentList>
    <comment ref="C1" authorId="0" shapeId="0" xr:uid="{D09D6E7A-BD50-434A-90C1-CFA62C7E8E1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2296AE79-DDF2-6D42-ACAF-B0631973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2" authorId="2" shapeId="0" xr:uid="{8CCBDFEE-335D-584C-9CE0-33BBE9FB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6/29/21 deadline
Bird
Max cap hold</t>
      </text>
    </comment>
    <comment ref="R2" authorId="3" shapeId="0" xr:uid="{F772C1E9-5138-0C4C-B120-D21B869A6C7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1" authorId="4" shapeId="0" xr:uid="{5E7D60AD-379F-1F48-9E81-4C5115A612DB}">
      <text>
        <t>[Threaded comment]
Your version of Excel allows you to read this threaded comment; however, any edits to it will get removed if the file is opened in a newer version of Excel. Learn more: https://go.microsoft.com/fwlink/?linkid=870924
Comment:
    $25,000 gt</t>
      </text>
    </comment>
    <comment ref="Q12" authorId="5" shapeId="0" xr:uid="{AB8F0DC7-0B19-BE4C-AC2E-1FBB8FDCC381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9" authorId="6" shapeId="0" xr:uid="{33D8CF4C-E259-A74D-ABAA-D93CC6CC76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tc={1F1DF0E8-4DC7-B44B-808B-A8BCA555F5C1}</author>
    <author>tc={62FBE8BF-D048-9547-8F99-F16683E0E608}</author>
    <author>tc={132F840B-565B-FB4E-B410-31CB896A890F}</author>
    <author>tc={D81BA430-7013-1545-975B-6FA0DAB8A99B}</author>
    <author>tc={9E4B89EB-C441-6841-8DBA-431D5F726C49}</author>
    <author>tc={B7BF7F8F-C4B9-0A4C-A95A-0659D9E3CDFF}</author>
    <author>tc={852F07AF-128C-C940-AAC5-1AE742C24F97}</author>
    <author>tc={1B62D784-0884-6044-9FBD-0C3CA4C22CD0}</author>
    <author>tc={BFB436B8-7C91-E64B-8AB5-D519DD53C9E2}</author>
    <author>tc={EA9399B6-3E48-944C-889D-B31CEFCE40AD}</author>
    <author>tc={41D3CC42-32DC-1948-BB10-AE6600CA5C62}</author>
    <author>tc={893B9103-CED7-3B41-AC88-0117B2D2E5F3}</author>
    <author>tc={D66DCA43-EFDB-8344-9BEA-CE580D4E681D}</author>
    <author>tc={50BE2BD7-1E07-4743-9A7D-56EB0477E367}</author>
    <author>tc={BA845CEB-D783-5743-8A6D-0172D0B1EF29}</author>
    <author>tc={2735A0A4-7C17-4047-8AB0-B627D89CE34F}</author>
    <author>tc={419C2242-FF71-5E46-83CF-951CC954D62B}</author>
    <author>tc={1F3472C5-577E-D249-BBA6-BBDEB9EBF920}</author>
    <author>tc={46204ACF-D76B-E84B-A09D-164C20417DB2}</author>
  </authors>
  <commentList>
    <comment ref="C1" authorId="0" shapeId="0" xr:uid="{1F1DF0E8-4DC7-B44B-808B-A8BCA555F5C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62FBE8BF-D048-9547-8F99-F16683E0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U2" authorId="2" shapeId="0" xr:uid="{132F840B-565B-FB4E-B410-31CB896A890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T3" authorId="3" shapeId="0" xr:uid="{D81BA430-7013-1545-975B-6FA0DAB8A99B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4" authorId="4" shapeId="0" xr:uid="{9E4B89EB-C441-6841-8DBA-431D5F726C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$4,000,000 gt, fully gt on 7/1/21
$19,333,334 cap hold
Bird UFA
</t>
      </text>
    </comment>
    <comment ref="R4" authorId="5" shapeId="0" xr:uid="{B7BF7F8F-C4B9-0A4C-A95A-0659D9E3CD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6" shapeId="0" xr:uid="{852F07AF-128C-C940-AAC5-1AE742C24F97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“6/23/21”
Bird Rights
$15,000,000 cap hold</t>
      </text>
    </comment>
    <comment ref="R6" authorId="7" shapeId="0" xr:uid="{1B62D784-0884-6044-9FBD-0C3CA4C22CD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7" authorId="8" shapeId="0" xr:uid="{BFB436B8-7C91-E64B-8AB5-D519DD53C9E2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8" authorId="9" shapeId="0" xr:uid="{EA9399B6-3E48-944C-889D-B31CEFCE40AD}">
      <text>
        <t>[Threaded comment]
Your version of Excel allows you to read this threaded comment; however, any edits to it will get removed if the file is opened in a newer version of Excel. Learn more: https://go.microsoft.com/fwlink/?linkid=870924
Comment:
    $7,363,319 QO
6/29/21 deadline
Bird</t>
      </text>
    </comment>
    <comment ref="Q9" authorId="10" shapeId="0" xr:uid="{41D3CC42-32DC-1948-BB10-AE6600CA5C62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0" authorId="11" shapeId="0" xr:uid="{893B9103-CED7-3B41-AC88-0117B2D2E5F3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Q11" authorId="12" shapeId="0" xr:uid="{D66DCA43-EFDB-8344-9BEA-CE580D4E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R11" authorId="13" shapeId="0" xr:uid="{50BE2BD7-1E07-4743-9A7D-56EB0477E367}">
      <text>
        <t>[Threaded comment]
Your version of Excel allows you to read this threaded comment; however, any edits to it will get removed if the file is opened in a newer version of Excel. Learn more: https://go.microsoft.com/fwlink/?linkid=870924
Comment:
    10/31/21 deadline</t>
      </text>
    </comment>
    <comment ref="P17" authorId="14" shapeId="0" xr:uid="{BA845CEB-D783-5743-8A6D-0172D0B1EF29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Nicholson / Anderson Varejao</t>
      </text>
    </comment>
    <comment ref="Q17" authorId="15" shapeId="0" xr:uid="{2735A0A4-7C17-4047-8AB0-B627D89CE34F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Nicholson</t>
      </text>
    </comment>
    <comment ref="R17" authorId="16" shapeId="0" xr:uid="{419C2242-FF71-5E46-83CF-951CC954D62B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Nicholson</t>
      </text>
    </comment>
    <comment ref="S17" authorId="17" shapeId="0" xr:uid="{1F3472C5-577E-D249-BBA6-BBDEB9EBF920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Nicholson</t>
      </text>
    </comment>
    <comment ref="P19" authorId="18" shapeId="0" xr:uid="{46204ACF-D76B-E84B-A09D-164C20417DB2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tc={850F53C5-CB14-484C-ABE6-D2FBB4BE0106}</author>
    <author>tc={0500C166-B389-CE45-93D6-1E061F2873FE}</author>
    <author>tc={AAC7BD19-096A-9C42-89BC-0E497447845E}</author>
    <author>tc={DD69CE99-E66D-A445-9556-4231CF2C83D1}</author>
    <author>tc={06369AC0-CBE4-864C-BE4E-75FAE4FAF071}</author>
    <author>tc={34119DC7-08DB-F84D-A809-999F8F5D8C0B}</author>
    <author>tc={A5F44A24-7489-0B40-ACF6-B52E0FC954B5}</author>
    <author>tc={EE8A2031-CB2B-FA4F-A244-6AEDD1A38D04}</author>
    <author>tc={BEC4D541-6B2E-7C47-8C09-CDC91EB682C5}</author>
    <author>tc={1B4ECD49-0D2F-974A-8624-FFF832F0E6F9}</author>
    <author>tc={7923C3FE-A6F0-3B47-8472-031B748C473B}</author>
    <author>tc={A3D6F38F-4ABD-754D-9346-F63465961E36}</author>
    <author>tc={7125CB3D-0740-494F-8AB2-E0D4AA7846FB}</author>
  </authors>
  <commentList>
    <comment ref="X1" authorId="0" shapeId="0" xr:uid="{850F53C5-CB14-484C-ABE6-D2FBB4BE010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T2" authorId="1" shapeId="0" xr:uid="{0500C166-B389-CE45-93D6-1E061F2873F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3" authorId="2" shapeId="0" xr:uid="{AAC7BD19-096A-9C42-89BC-0E497447845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4" authorId="3" shapeId="0" xr:uid="{DD69CE99-E66D-A445-9556-4231CF2C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$2,400,000 gt, fully gt on 6/29/21
Early Bird
$16,380,000 cap hold</t>
      </text>
    </comment>
    <comment ref="R4" authorId="4" shapeId="0" xr:uid="{06369AC0-CBE4-864C-BE4E-75FAE4FAF071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5" shapeId="0" xr:uid="{34119DC7-08DB-F84D-A809-999F8F5D8C0B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10/31/20 deadline</t>
      </text>
    </comment>
    <comment ref="R5" authorId="6" shapeId="0" xr:uid="{A5F44A24-7489-0B40-ACF6-B52E0FC9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$14,762,309 QO
6/29/22 deadline
Bird</t>
      </text>
    </comment>
    <comment ref="Q7" authorId="7" shapeId="0" xr:uid="{EE8A2031-CB2B-FA4F-A244-6AEDD1A38D0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8" authorId="8" shapeId="0" xr:uid="{BEC4D541-6B2E-7C47-8C09-CDC91EB682C5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9" authorId="9" shapeId="0" xr:uid="{1B4ECD49-0D2F-974A-8624-FFF832F0E6F9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4" authorId="10" shapeId="0" xr:uid="{7923C3FE-A6F0-3B47-8472-031B748C47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fully NG, fully gt on 7/15/21
Early Bird RFA
min cap hold
</t>
      </text>
    </comment>
    <comment ref="R14" authorId="11" shapeId="0" xr:uid="{A3D6F38F-4ABD-754D-9346-F63465961E36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21" authorId="12" shapeId="0" xr:uid="{7125CB3D-0740-494F-8AB2-E0D4AA7846FB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tc={55DC3214-ACB8-F64F-9740-DEB209EB3199}</author>
    <author>tc={E0CC8710-00EE-B543-9C62-BE3F4C49018A}</author>
    <author>tc={3BDEC0A9-2231-F44F-BA21-BAA144C326E3}</author>
    <author>tc={0A1BEAB3-BC2B-8746-B61E-5EF02DE92241}</author>
    <author>tc={36B1E111-DA12-4F47-910A-A78A7DB3A4CB}</author>
    <author>tc={ABDB79D5-03AF-5D47-BE6D-5A9301728F70}</author>
  </authors>
  <commentList>
    <comment ref="C1" authorId="0" shapeId="0" xr:uid="{55DC3214-ACB8-F64F-9740-DEB209EB319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0CC8710-00EE-B543-9C62-BE3F4C49018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P13" authorId="2" shapeId="0" xr:uid="{3BDEC0A9-2231-F44F-BA21-BAA144C326E3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1/10/21
If waived, Non Bird</t>
      </text>
    </comment>
    <comment ref="Q15" authorId="3" shapeId="0" xr:uid="{0A1BEAB3-BC2B-8746-B61E-5EF02DE92241}">
      <text>
        <t>[Threaded comment]
Your version of Excel allows you to read this threaded comment; however, any edits to it will get removed if the file is opened in a newer version of Excel. Learn more: https://go.microsoft.com/fwlink/?linkid=870924
Comment:
    $500,000 gt, fully gt 14 days after Moratorium</t>
      </text>
    </comment>
    <comment ref="R15" authorId="4" shapeId="0" xr:uid="{36B1E111-DA12-4F47-910A-A78A7DB3A4CB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14 days after Moratorium</t>
      </text>
    </comment>
    <comment ref="P16" authorId="5" shapeId="0" xr:uid="{ABDB79D5-03AF-5D47-BE6D-5A9301728F70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tc={38C08B3B-5574-6747-B0DA-DECD6A1D887D}</author>
    <author>tc={36964760-BF68-C942-85D0-BA41D8B6F92B}</author>
    <author>tc={BA329564-8E47-474B-9B60-D42B1AE75684}</author>
    <author>tc={6827557F-D17F-8D4D-9F02-A41ACEE8F956}</author>
    <author>tc={34B24E63-13C8-D243-A3F6-9E5F22F7D3D8}</author>
    <author>tc={28F89657-DEC9-3F45-BF15-0DC4FB276D7F}</author>
    <author>tc={05DD2FC4-372B-B244-8B2C-196D9889B35B}</author>
    <author>tc={B15DC4EE-507A-B34F-A12C-A42B6CFF4FE8}</author>
    <author>tc={FAB69FAF-0311-8F4F-BF4B-22A31B752EE7}</author>
    <author>tc={C099DE51-D476-6843-86D0-55BD282BE94A}</author>
    <author>tc={D0869557-B29B-C44B-8915-5C3F3704E6EF}</author>
  </authors>
  <commentList>
    <comment ref="C1" authorId="0" shapeId="0" xr:uid="{38C08B3B-5574-6747-B0DA-DECD6A1D887D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36964760-BF68-C942-85D0-BA41D8B6F92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4" authorId="2" shapeId="0" xr:uid="{BA329564-8E47-474B-9B60-D42B1AE75684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6/29/23 deadline
$33,013,392 cap hold
Bird rights</t>
      </text>
    </comment>
    <comment ref="Q6" authorId="3" shapeId="0" xr:uid="{6827557F-D17F-8D4D-9F02-A41ACEE8F956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two days after moratorium</t>
      </text>
    </comment>
    <comment ref="Q7" authorId="4" shapeId="0" xr:uid="{34B24E63-13C8-D243-A3F6-9E5F22F7D3D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2 days after moratorium</t>
      </text>
    </comment>
    <comment ref="Q9" authorId="5" shapeId="0" xr:uid="{28F89657-DEC9-3F45-BF15-0DC4FB276D7F}">
      <text>
        <t>[Threaded comment]
Your version of Excel allows you to read this threaded comment; however, any edits to it will get removed if the file is opened in a newer version of Excel. Learn more: https://go.microsoft.com/fwlink/?linkid=870924
Comment:
    $5,634,073 QO
6/29/21 deadline
Extension eligible first day of offseason through first game of 20-21 season</t>
      </text>
    </comment>
    <comment ref="Q13" authorId="6" shapeId="0" xr:uid="{05DD2FC4-372B-B244-8B2C-196D9889B35B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4 days after moratorium</t>
      </text>
    </comment>
    <comment ref="P14" authorId="7" shapeId="0" xr:uid="{B15DC4EE-507A-B34F-A12C-A42B6CFF4FE8}">
      <text>
        <t>[Threaded comment]
Your version of Excel allows you to read this threaded comment; however, any edits to it will get removed if the file is opened in a newer version of Excel. Learn more: https://go.microsoft.com/fwlink/?linkid=870924
Comment:
    $50,000 gt</t>
      </text>
    </comment>
    <comment ref="P17" authorId="8" shapeId="0" xr:uid="{FAB69FAF-0311-8F4F-BF4B-22A31B752EE7}">
      <text>
        <t>[Threaded comment]
Your version of Excel allows you to read this threaded comment; however, any edits to it will get removed if the file is opened in a newer version of Excel. Learn more: https://go.microsoft.com/fwlink/?linkid=870924
Comment:
    $725,000 gt, 2/27/21 gt date</t>
      </text>
    </comment>
    <comment ref="P18" authorId="9" shapeId="0" xr:uid="{C099DE51-D476-6843-86D0-55BD282BE94A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11/29/20 gt date</t>
      </text>
    </comment>
    <comment ref="Q18" authorId="10" shapeId="0" xr:uid="{D0869557-B29B-C44B-8915-5C3F3704E6EF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tc={2EB8E875-7CF3-8147-9894-C38FC7D6B641}</author>
    <author>tc={BE47A7BE-8361-A847-BDCB-427092A105BF}</author>
    <author>tc={4440238D-2FF0-A146-9141-15C039FF5A33}</author>
    <author>tc={C2DB6558-3810-6841-90C1-786E5BAB155F}</author>
    <author>tc={8481B63A-E221-CE40-8B65-18485CED28E8}</author>
    <author>tc={9F032010-72BC-284A-8898-4E253EA54021}</author>
    <author>tc={236C0EC4-CAAC-8447-9FE9-4ADA65C3AF42}</author>
    <author>tc={790258BA-480E-8B47-8F00-886C62FCCCE8}</author>
    <author>tc={46C0FA72-3FCF-A14B-9727-D8737B52B526}</author>
    <author>tc={31927F29-7F48-F641-9356-23AC60CBACCC}</author>
  </authors>
  <commentList>
    <comment ref="C1" authorId="0" shapeId="0" xr:uid="{2EB8E875-7CF3-8147-9894-C38FC7D6B64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X1" authorId="1" shapeId="0" xr:uid="{BE47A7BE-8361-A847-BDCB-427092A105B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7" authorId="2" shapeId="0" xr:uid="{4440238D-2FF0-A146-9141-15C039FF5A33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6/29/22 gt date
Early Bird
$18,469,710 cap hold</t>
      </text>
    </comment>
    <comment ref="S8" authorId="3" shapeId="0" xr:uid="{C2DB6558-3810-6841-90C1-786E5BAB155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7/10/23 gt date</t>
      </text>
    </comment>
    <comment ref="P12" authorId="4" shapeId="0" xr:uid="{8481B63A-E221-CE40-8B65-18485CED28E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2/27/20</t>
      </text>
    </comment>
    <comment ref="P13" authorId="5" shapeId="0" xr:uid="{9F032010-72BC-284A-8898-4E253EA54021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2/27/20</t>
      </text>
    </comment>
    <comment ref="P14" authorId="6" shapeId="0" xr:uid="{236C0EC4-CAAC-8447-9FE9-4ADA65C3AF42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2/27/20</t>
      </text>
    </comment>
    <comment ref="P15" authorId="7" shapeId="0" xr:uid="{790258BA-480E-8B47-8F00-886C62FCCCE8}">
      <text>
        <t>[Threaded comment]
Your version of Excel allows you to read this threaded comment; however, any edits to it will get removed if the file is opened in a newer version of Excel. Learn more: https://go.microsoft.com/fwlink/?linkid=870924
Comment:
    $340,000 gt, 11/29/20 gt date</t>
      </text>
    </comment>
    <comment ref="P22" authorId="8" shapeId="0" xr:uid="{46C0FA72-3FCF-A14B-9727-D8737B52B5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3" authorId="9" shapeId="0" xr:uid="{31927F29-7F48-F641-9356-23AC60CBACCC}">
      <text>
        <t>[Threaded comment]
Your version of Excel allows you to read this threaded comment; however, any edits to it will get removed if the file is opened in a newer version of Excel. Learn more: https://go.microsoft.com/fwlink/?linkid=870924
Comment:
    2W RFA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tc={796BB44D-B21B-C54A-9B3C-61832E1ECA75}</author>
    <author>tc={D6EAD2F0-820F-4249-B295-A3B52B129D4D}</author>
    <author>tc={E55C5748-2A1E-234D-8EB9-50F1A41DF1E1}</author>
    <author>tc={54DDCEC7-34D2-DA4E-932A-BE3EE892684B}</author>
    <author>tc={F44D2850-2824-6C4B-93E7-A62A93C72923}</author>
    <author>tc={D85EA0C9-FD9A-F843-A8CB-F07A29CA6727}</author>
    <author>tc={84CF9EEB-D34F-4D4E-8332-FECB982BD849}</author>
    <author>tc={DB2F42E5-9102-CE44-B14B-CD8EA6B44A2E}</author>
    <author>tc={A535C1F8-99A7-8D41-91FD-036E392A8BA0}</author>
    <author>tc={F84DD596-AAD6-A149-B7C7-6AA9BC900086}</author>
    <author>tc={175730F6-2654-8C44-9012-79B8C0F0C805}</author>
    <author>tc={CBF98C93-3BF4-7948-B13F-C65E6A61E14A}</author>
    <author>tc={C30E17B9-2327-0B47-B40F-AA7CE6BA0A8B}</author>
    <author>tc={1626FC60-958C-8342-800B-839F829979F1}</author>
    <author>tc={24CE887B-B656-4344-95B4-7F9A14D8E18C}</author>
    <author>tc={F0F836A2-F3FF-AC4B-92A9-39B46C9CDEFF}</author>
    <author>tc={FA9BAEA6-EACA-2D4E-9B07-3FB65B344363}</author>
    <author>tc={77262D05-C5B1-1749-B407-6E6E36AD5540}</author>
    <author>tc={5262DDFE-6CFF-524E-BB8B-17EDAB739227}</author>
    <author>tc={FBE5962E-9228-D049-B201-AA00EC1526C9}</author>
    <author>tc={BAE3F19C-3A48-B448-8F81-FE1A6AAB1C99}</author>
  </authors>
  <commentList>
    <comment ref="W1" authorId="0" shapeId="0" xr:uid="{796BB44D-B21B-C54A-9B3C-61832E1ECA7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2" authorId="1" shapeId="0" xr:uid="{D6EAD2F0-820F-4249-B295-A3B52B129D4D}">
      <text>
        <t>[Threaded comment]
Your version of Excel allows you to read this threaded comment; however, any edits to it will get removed if the file is opened in a newer version of Excel. Learn more: https://go.microsoft.com/fwlink/?linkid=870924
Comment:
    $45,937,500 cap hold
Bird</t>
      </text>
    </comment>
    <comment ref="S2" authorId="2" shapeId="0" xr:uid="{E55C5748-2A1E-234D-8EB9-50F1A41DF1E1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3" authorId="3" shapeId="0" xr:uid="{54DDCEC7-34D2-DA4E-932A-BE3EE892684B}">
      <text>
        <t>[Threaded comment]
Your version of Excel allows you to read this threaded comment; however, any edits to it will get removed if the file is opened in a newer version of Excel. Learn more: https://go.microsoft.com/fwlink/?linkid=870924
Comment:
    $45,937,500 cap hold
Bird</t>
      </text>
    </comment>
    <comment ref="S3" authorId="4" shapeId="0" xr:uid="{F44D2850-2824-6C4B-93E7-A62A93C72923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4" authorId="5" shapeId="0" xr:uid="{D85EA0C9-FD9A-F843-A8CB-F07A29CA6727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6" authorId="6" shapeId="0" xr:uid="{84CF9EEB-D34F-4D4E-8332-FECB982BD84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7" authorId="7" shapeId="0" xr:uid="{DB2F42E5-9102-CE44-B14B-CD8EA6B44A2E}">
      <text>
        <t>[Threaded comment]
Your version of Excel allows you to read this threaded comment; however, any edits to it will get removed if the file is opened in a newer version of Excel. Learn more: https://go.microsoft.com/fwlink/?linkid=870924
Comment:
    $17,181,072 cap hold
Bird</t>
      </text>
    </comment>
    <comment ref="R7" authorId="8" shapeId="0" xr:uid="{A535C1F8-99A7-8D41-91FD-036E392A8BA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8" authorId="9" shapeId="0" xr:uid="{F84DD596-AAD6-A149-B7C7-6AA9BC90008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9" authorId="10" shapeId="0" xr:uid="{175730F6-2654-8C44-9012-79B8C0F0C8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12/21/20 extension deadline</t>
      </text>
    </comment>
    <comment ref="Q9" authorId="11" shapeId="0" xr:uid="{CBF98C93-3BF4-7948-B13F-C65E6A61E14A}">
      <text>
        <t>[Threaded comment]
Your version of Excel allows you to read this threaded comment; however, any edits to it will get removed if the file is opened in a newer version of Excel. Learn more: https://go.microsoft.com/fwlink/?linkid=870924
Comment:
    $5,661,538 QO</t>
      </text>
    </comment>
    <comment ref="P11" authorId="12" shapeId="0" xr:uid="{C30E17B9-2327-0B47-B40F-AA7CE6BA0A8B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$150,000 gt on 11/29/20,  $250,000 gt if on opening night roster, fully gt on 2/27/21
If waived, Non Bird UFA</t>
      </text>
    </comment>
    <comment ref="Q11" authorId="13" shapeId="0" xr:uid="{1626FC60-958C-8342-800B-839F829979F1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2" authorId="14" shapeId="0" xr:uid="{24CE887B-B656-4344-95B4-7F9A14D8E18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declined, Bird RFA
$2,225,190 QO</t>
      </text>
    </comment>
    <comment ref="R12" authorId="15" shapeId="0" xr:uid="{F0F836A2-F3FF-AC4B-92A9-39B46C9C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13" authorId="16" shapeId="0" xr:uid="{FA9BAEA6-EACA-2D4E-9B07-3FB65B34436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$2,122,822 QO
Bird</t>
      </text>
    </comment>
    <comment ref="Y15" authorId="17" shapeId="0" xr:uid="{77262D05-C5B1-1749-B407-6E6E36AD55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w/ PHX</t>
      </text>
    </comment>
    <comment ref="R16" authorId="18" shapeId="0" xr:uid="{5262DDFE-6CFF-524E-BB8B-17EDAB739227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21" authorId="19" shapeId="0" xr:uid="{FBE5962E-9228-D049-B201-AA00EC1526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2" authorId="20" shapeId="0" xr:uid="{BAE3F19C-3A48-B448-8F81-FE1A6AAB1C99}">
      <text>
        <t>[Threaded comment]
Your version of Excel allows you to read this threaded comment; however, any edits to it will get removed if the file is opened in a newer version of Excel. Learn more: https://go.microsoft.com/fwlink/?linkid=870924
Comment:
    2W RFA
Non Bird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tc={E8D03038-66B3-BA48-B082-F434791AC64E}</author>
    <author>tc={E6A65AB9-4CD5-AE43-ADC5-B7305D6774EE}</author>
    <author>tc={BC1EB543-0FB8-6B40-8450-02B45AE14506}</author>
    <author>tc={D0A3AFE5-A602-5241-9086-A4530D5C2F12}</author>
  </authors>
  <commentList>
    <comment ref="C1" authorId="0" shapeId="0" xr:uid="{E8D03038-66B3-BA48-B082-F434791A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E6A65AB9-4CD5-AE43-ADC5-B7305D6774E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T4" authorId="2" shapeId="0" xr:uid="{BC1EB543-0FB8-6B40-8450-02B45AE14506}">
      <text>
        <t>[Threaded comment]
Your version of Excel allows you to read this threaded comment; however, any edits to it will get removed if the file is opened in a newer version of Excel. Learn more: https://go.microsoft.com/fwlink/?linkid=870924
Comment:
    ETO!
$5,000,000 gt, fully gt if plays in 75% of games in 23-24 season</t>
      </text>
    </comment>
    <comment ref="P15" authorId="3" shapeId="0" xr:uid="{D0A3AFE5-A602-5241-9086-A4530D5C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$350,000 gt, fully gt on 2/1/21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tc={6831479B-0C3F-5849-BAC0-C89D0D77107A}</author>
    <author>tc={F030B211-DAE3-1C45-B79C-27A0888C1D21}</author>
    <author>tc={25276FA2-1136-0740-944C-DB69721BAE68}</author>
    <author>tc={46A7E3F8-E7B5-4D4C-8CA7-179174DCB278}</author>
    <author>tc={1641778E-FBFF-4847-B005-05CF63014778}</author>
    <author>tc={D502AAE4-5EB0-944D-AF28-5AB1E49B7AF0}</author>
    <author>tc={3A60A069-7DFC-1646-B1F4-D2C86B37AE37}</author>
    <author>tc={3C29C3F4-5888-5F44-9260-E65699C50F44}</author>
    <author>tc={062723C8-8B03-C748-981D-ADB480DAC4C1}</author>
    <author>tc={50A75944-6558-134F-8B25-FB6596CF081C}</author>
    <author>tc={812BE0B6-40AB-EE4B-963C-C7F5304A0470}</author>
    <author>tc={AB8D9317-5AAF-0A48-BC2B-7F310423271B}</author>
    <author>tc={6664B0B4-8263-A64A-92CA-3FB26426DFB1}</author>
    <author>tc={CCD5362B-32A1-724E-861B-A0ED90E3F844}</author>
    <author>tc={38382338-6AD7-D446-BD6A-B278F245E059}</author>
    <author>tc={089E3C89-582D-C643-8E74-697CBBDDB8B8}</author>
    <author>tc={C8F9FFDA-57C9-C84D-B167-D5BC1FDDB32D}</author>
    <author>tc={516D2331-BA4C-7043-964C-49B5E9193899}</author>
    <author>tc={48BB5C3B-BF45-F841-B26B-CDABECA2517E}</author>
    <author>tc={38719E4A-6B31-EA4B-A88C-CBFBB95BCC26}</author>
    <author>tc={9F235578-18F0-0648-9E09-9DF877A2B48B}</author>
    <author>tc={F5008E5E-1002-3140-9D8A-89947583B7E4}</author>
    <author>tc={692A440C-2519-E746-A16A-3D990B098DD4}</author>
  </authors>
  <commentList>
    <comment ref="C1" authorId="0" shapeId="0" xr:uid="{6831479B-0C3F-5849-BAC0-C89D0D77107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F030B211-DAE3-1C45-B79C-27A0888C1D2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R3" authorId="2" shapeId="0" xr:uid="{25276FA2-1136-0740-944C-DB69721BAE6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4" authorId="3" shapeId="0" xr:uid="{46A7E3F8-E7B5-4D4C-8CA7-179174DCB27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4" shapeId="0" xr:uid="{1641778E-FBFF-4847-B005-05CF63014778}">
      <text>
        <t>[Threaded comment]
Your version of Excel allows you to read this threaded comment; however, any edits to it will get removed if the file is opened in a newer version of Excel. Learn more: https://go.microsoft.com/fwlink/?linkid=870924
Comment:
    $7,318,246 QO</t>
      </text>
    </comment>
    <comment ref="S7" authorId="5" shapeId="0" xr:uid="{D502AAE4-5EB0-944D-AF28-5AB1E49B7AF0}">
      <text>
        <t>[Threaded comment]
Your version of Excel allows you to read this threaded comment; however, any edits to it will get removed if the file is opened in a newer version of Excel. Learn more: https://go.microsoft.com/fwlink/?linkid=870924
Comment:
    $7.992,407 QO</t>
      </text>
    </comment>
    <comment ref="R8" authorId="6" shapeId="0" xr:uid="{3A60A069-7DFC-1646-B1F4-D2C86B37AE37}">
      <text>
        <t>[Threaded comment]
Your version of Excel allows you to read this threaded comment; however, any edits to it will get removed if the file is opened in a newer version of Excel. Learn more: https://go.microsoft.com/fwlink/?linkid=870924
Comment:
    $7,459,974 QO</t>
      </text>
    </comment>
    <comment ref="Q9" authorId="7" shapeId="0" xr:uid="{3C29C3F4-5888-5F44-9260-E65699C50F44}">
      <text>
        <t>[Threaded comment]
Your version of Excel allows you to read this threaded comment; however, any edits to it will get removed if the file is opened in a newer version of Excel. Learn more: https://go.microsoft.com/fwlink/?linkid=870924
Comment:
    $2,023,150 QO
Bird</t>
      </text>
    </comment>
    <comment ref="Q11" authorId="8" shapeId="0" xr:uid="{062723C8-8B03-C748-981D-ADB480DAC4C1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7/15/21
If waived, Early Bird RFA</t>
      </text>
    </comment>
    <comment ref="R11" authorId="9" shapeId="0" xr:uid="{50A75944-6558-134F-8B25-FB6596CF081C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12" authorId="10" shapeId="0" xr:uid="{812BE0B6-40AB-EE4B-963C-C7F5304A0470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“7/15/20” gt date
If waived, Non Bird RFA</t>
      </text>
    </comment>
    <comment ref="Q12" authorId="11" shapeId="0" xr:uid="{AB8D9317-5AAF-0A48-BC2B-7F310423271B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7/15/21
If waived, Early Bird RFA</t>
      </text>
    </comment>
    <comment ref="R12" authorId="12" shapeId="0" xr:uid="{6664B0B4-8263-A64A-92CA-3FB26426DFB1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13" authorId="13" shapeId="0" xr:uid="{CCD5362B-32A1-724E-861B-A0ED90E3F844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$100,000 gt on “8/1/20”, fully gt on league wide cutdown date (late Feb 2021?)
If waived, Non Bird RFA</t>
      </text>
    </comment>
    <comment ref="Q13" authorId="14" shapeId="0" xr:uid="{38382338-6AD7-D446-BD6A-B278F245E059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8/1/20
If waived, Early Bird RFA</t>
      </text>
    </comment>
    <comment ref="R13" authorId="15" shapeId="0" xr:uid="{089E3C89-582D-C643-8E74-697CBBDDB8B8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6/29/22 deadline
fully NG, fully gt on 8/1/22
If waived, Bird RFA</t>
      </text>
    </comment>
    <comment ref="S13" authorId="16" shapeId="0" xr:uid="{C8F9FFDA-57C9-C84D-B167-D5BC1FDDB32D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16" authorId="17" shapeId="0" xr:uid="{516D2331-BA4C-7043-964C-49B5E919389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 Batum</t>
      </text>
    </comment>
    <comment ref="Q16" authorId="18" shapeId="0" xr:uid="{48BB5C3B-BF45-F841-B26B-CDABECA2517E}">
      <text>
        <t>[Threaded comment]
Your version of Excel allows you to read this threaded comment; however, any edits to it will get removed if the file is opened in a newer version of Excel. Learn more: https://go.microsoft.com/fwlink/?linkid=870924
Comment:
    Nic Batum</t>
      </text>
    </comment>
    <comment ref="R16" authorId="19" shapeId="0" xr:uid="{38719E4A-6B31-EA4B-A88C-CBFBB95BCC2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 Batum</t>
      </text>
    </comment>
    <comment ref="P22" authorId="20" shapeId="0" xr:uid="{9F235578-18F0-0648-9E09-9DF877A2B48B}">
      <text>
        <t>[Threaded comment]
Your version of Excel allows you to read this threaded comment; however, any edits to it will get removed if the file is opened in a newer version of Excel. Learn more: https://go.microsoft.com/fwlink/?linkid=870924
Comment:
    2W QO
Non Bird</t>
      </text>
    </comment>
    <comment ref="P26" authorId="21" shapeId="0" xr:uid="{F5008E5E-1002-3140-9D8A-89947583B7E4}">
      <text>
        <t>[Threaded comment]
Your version of Excel allows you to read this threaded comment; however, any edits to it will get removed if the file is opened in a newer version of Excel. Learn more: https://go.microsoft.com/fwlink/?linkid=870924
Comment:
    8 players: Nic Batum / Terry Rozier / Cody Zeller / Malik Monk / PJ Washington / Miles Bridges / Cody Martin / Ray Spalding (2W)
2020 1st (#3)
2020 CLE 2nd (#32)
2020 BOS 2nd (#56)
Bismack Biyombo (Bird)
Willy Hernangomez (Bird)
Dwayne Bacon (Bird RFA if QO)
Devonte Graham (NG)
Caleb Martin (NG)
Jalen McDaniels (NG)
Kobi Simmons (2W RFA)</t>
      </text>
    </comment>
    <comment ref="P27" authorId="22" shapeId="0" xr:uid="{692A440C-2519-E746-A16A-3D990B098DD4}">
      <text>
        <t>[Threaded comment]
Your version of Excel allows you to read this threaded comment; however, any edits to it will get removed if the file is opened in a newer version of Excel. Learn more: https://go.microsoft.com/fwlink/?linkid=870924
Comment:
    11 players: Nic Batum / Terry Rozier / Cody Zeller / Malik Monk / PJ Washington / Miles Bridges / Devonte Graham (NG) / Cody Martin / Caleb Martin (NG) / Jalen McDaniels (NG) / Ray Spalding (2W)
2020 1st (#3)
2020 CLE 2nd (#32)
2020 BOS 2nd (#56)
Bismack Biyombo (Bird)
Willy Hernangomez (Bird)
Dwayne Bacon (Bird RFA if QO)
Kobi Simmons (2W RFA)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tc={89EC71EA-481F-3049-B954-579F43A3F3B7}</author>
    <author>tc={09C69BEE-989A-3C4A-A675-CB00B842CE8C}</author>
    <author>tc={C1D86089-363C-2942-9FCA-DAE1BB0CBFB6}</author>
    <author>tc={92BA5416-418C-B14B-8DC2-1870BC56F3EA}</author>
    <author>tc={AC24FD62-2BAE-1844-B1E8-0428884105B3}</author>
    <author>tc={86D45429-E43B-D24A-9A6F-980B9225B9DC}</author>
    <author>tc={80D1494F-52AA-7D4E-8792-E62E3CE1D69D}</author>
    <author>tc={ED02CB4B-7018-2843-AAD7-09195A673C0A}</author>
    <author>tc={48468BDB-5579-3B4F-89C2-5366801CFFD8}</author>
    <author>tc={0A3FA96C-C217-BD43-9A49-FE0BCD1E89FE}</author>
    <author>tc={EADA75DE-1B3F-1241-9BA8-E0B56E4DCEC4}</author>
    <author>tc={E7D45FC7-7EA6-6F42-ADEE-A8615B8FBA69}</author>
    <author>tc={A1AD459C-2F87-014D-B607-DDA082E97184}</author>
    <author>tc={CF8EB2F4-FF09-1A4F-9F44-23C7E6616520}</author>
    <author>tc={CFBF1B6F-C431-BC43-B1C5-ECCF53A53E75}</author>
    <author>tc={BC4F9412-7900-CF42-8EB3-16EE94D3B588}</author>
    <author>tc={148980AC-23D1-4945-870F-49AB10842E96}</author>
    <author>tc={2A2CC1CB-73BE-874A-9004-5BDCC09AB86F}</author>
    <author>tc={679BA8F6-13E4-674C-84AC-0F29E0D52F79}</author>
    <author>tc={0969BDC5-1670-CD45-8387-51516F517EB2}</author>
    <author>tc={02BAF654-7609-4F41-BD5F-3B8380B0E45A}</author>
  </authors>
  <commentList>
    <comment ref="C1" authorId="0" shapeId="0" xr:uid="{89EC71EA-481F-3049-B954-579F43A3F3B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09C69BEE-989A-3C4A-A675-CB00B842CE8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2" authorId="2" shapeId="0" xr:uid="{C1D86089-363C-2942-9FCA-DAE1BB0CBFB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3" authorId="3" shapeId="0" xr:uid="{92BA5416-418C-B14B-8DC2-1870BC56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4" authorId="4" shapeId="0" xr:uid="{AC24FD62-2BAE-1844-B1E8-0428884105B3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$6,000,000 gt, fully gt on 6/30/21
If waived, Early Bird</t>
      </text>
    </comment>
    <comment ref="R4" authorId="5" shapeId="0" xr:uid="{86D45429-E43B-D24A-9A6F-980B9225B9D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6" shapeId="0" xr:uid="{80D1494F-52AA-7D4E-8792-E62E3CE1D69D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$5,000,000 gt, fully gt on 6/30/21
If waived, Early Bird</t>
      </text>
    </comment>
    <comment ref="R5" authorId="7" shapeId="0" xr:uid="{ED02CB4B-7018-2843-AAD7-09195A673C0A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8" shapeId="0" xr:uid="{48468BDB-5579-3B4F-89C2-5366801CFFD8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8" authorId="9" shapeId="0" xr:uid="{0A3FA96C-C217-BD43-9A49-FE0BCD1E89FE}">
      <text>
        <t>[Threaded comment]
Your version of Excel allows you to read this threaded comment; however, any edits to it will get removed if the file is opened in a newer version of Excel. Learn more: https://go.microsoft.com/fwlink/?linkid=870924
Comment:
    $9,026,852 QO</t>
      </text>
    </comment>
    <comment ref="S9" authorId="10" shapeId="0" xr:uid="{EADA75DE-1B3F-1241-9BA8-E0B56E4DCEC4}">
      <text>
        <t>[Threaded comment]
Your version of Excel allows you to read this threaded comment; however, any edits to it will get removed if the file is opened in a newer version of Excel. Learn more: https://go.microsoft.com/fwlink/?linkid=870924
Comment:
    $9,942,114 QO</t>
      </text>
    </comment>
    <comment ref="R10" authorId="11" shapeId="0" xr:uid="{E7D45FC7-7EA6-6F42-ADEE-A8615B8FBA69}">
      <text>
        <t>[Threaded comment]
Your version of Excel allows you to read this threaded comment; however, any edits to it will get removed if the file is opened in a newer version of Excel. Learn more: https://go.microsoft.com/fwlink/?linkid=870924
Comment:
    $9,279,756 QO</t>
      </text>
    </comment>
    <comment ref="Q13" authorId="12" shapeId="0" xr:uid="{A1AD459C-2F87-014D-B607-DDA082E97184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6/29/21 deadline
If declined, Bird</t>
      </text>
    </comment>
    <comment ref="R13" authorId="13" shapeId="0" xr:uid="{CF8EB2F4-FF09-1A4F-9F44-23C7E661652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14" authorId="14" shapeId="0" xr:uid="{CFBF1B6F-C431-BC43-B1C5-ECCF53A53E75}">
      <text>
        <t>[Threaded comment]
Your version of Excel allows you to read this threaded comment; however, any edits to it will get removed if the file is opened in a newer version of Excel. Learn more: https://go.microsoft.com/fwlink/?linkid=870924
Comment:
    $5,820,177 QO</t>
      </text>
    </comment>
    <comment ref="Q15" authorId="15" shapeId="0" xr:uid="{BC4F9412-7900-CF42-8EB3-16EE94D3B58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7" authorId="16" shapeId="0" xr:uid="{148980AC-23D1-4945-870F-49AB10842E96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1/10/22
If waived, Early Bird RFA</t>
      </text>
    </comment>
    <comment ref="R17" authorId="17" shapeId="0" xr:uid="{2A2CC1CB-73BE-874A-9004-5BDCC09AB86F}">
      <text>
        <t>[Threaded comment]
Your version of Excel allows you to read this threaded comment; however, any edits to it will get removed if the file is opened in a newer version of Excel. Learn more: https://go.microsoft.com/fwlink/?linkid=870924
Comment:
    6/29/22 deadline
fully NG, fully gt on 1/10/23
If declined, Bird RFA</t>
      </text>
    </comment>
    <comment ref="S17" authorId="18" shapeId="0" xr:uid="{679BA8F6-13E4-674C-84AC-0F29E0D52F7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24" authorId="19" shapeId="0" xr:uid="{0969BDC5-1670-CD45-8387-51516F517EB2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P25" authorId="20" shapeId="0" xr:uid="{02BAF654-7609-4F41-BD5F-3B8380B0E45A}">
      <text>
        <t>[Threaded comment]
Your version of Excel allows you to read this threaded comment; however, any edits to it will get removed if the file is opened in a newer version of Excel. Learn more: https://go.microsoft.com/fwlink/?linkid=870924
Comment:
    2W QO
Non Bird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tc={FB1B35AC-ECD9-5345-8162-219FFC326538}</author>
    <author>tc={6626430C-90CB-2843-AD02-89E208850746}</author>
    <author>tc={0A0EAB08-B3C7-D142-BB9A-40B8623B1ED0}</author>
    <author>tc={6E99AD46-033B-4E45-9D09-52A5FAC6E954}</author>
    <author>tc={29FC440B-159E-474F-8CDE-38A832736190}</author>
    <author>tc={F86E1261-06F5-5F4C-A0EF-C2991C25A0D6}</author>
    <author>tc={9B01E700-77C8-6443-ACE5-775854499132}</author>
    <author>tc={67544A7D-0FB0-FE4C-BDCE-1EA2FB3C42CB}</author>
    <author>tc={D60BFADB-8172-2C42-B8EE-667AF0DCDD45}</author>
    <author>tc={86C4AE70-6EFD-AE41-B1BF-D082FAB5FADF}</author>
    <author>tc={0CFC017F-C1BA-5046-898F-73DD5D55ACF4}</author>
    <author>tc={73782FC0-AE83-A846-9225-E378EC5A5185}</author>
    <author>tc={FABB760E-61C9-B848-8903-C747AC808EE1}</author>
    <author>tc={82A2FAD9-E5BC-EA4E-9E08-2DF3102C298A}</author>
    <author>tc={446B217F-F2A5-8F4D-8025-0F88E78F4445}</author>
    <author>tc={0553A1C4-E94E-C347-8201-0068A226D66E}</author>
  </authors>
  <commentList>
    <comment ref="C1" authorId="0" shapeId="0" xr:uid="{FB1B35AC-ECD9-5345-8162-219FFC32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6626430C-90CB-2843-AD02-89E20885074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2" authorId="2" shapeId="0" xr:uid="{0A0EAB08-B3C7-D142-BB9A-40B8623B1ED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3" authorId="3" shapeId="0" xr:uid="{6E99AD46-033B-4E45-9D09-52A5FAC6E95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4" authorId="4" shapeId="0" xr:uid="{29FC440B-159E-474F-8CDE-38A83273619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5" shapeId="0" xr:uid="{F86E1261-06F5-5F4C-A0EF-C2991C25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6" authorId="6" shapeId="0" xr:uid="{9B01E700-77C8-6443-ACE5-77585449913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6/29/23
If waived, Bird
$14,109,567 cap hold</t>
      </text>
    </comment>
    <comment ref="T6" authorId="7" shapeId="0" xr:uid="{67544A7D-0FB0-FE4C-BDCE-1EA2FB3C42CB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7" authorId="8" shapeId="0" xr:uid="{D60BFADB-8172-2C42-B8EE-667AF0DCDD45}">
      <text>
        <t>[Threaded comment]
Your version of Excel allows you to read this threaded comment; however, any edits to it will get removed if the file is opened in a newer version of Excel. Learn more: https://go.microsoft.com/fwlink/?linkid=870924
Comment:
    $11,828,974 QO</t>
      </text>
    </comment>
    <comment ref="R9" authorId="9" shapeId="0" xr:uid="{86C4AE70-6EFD-AE41-B1BF-D082FAB5FADF}">
      <text>
        <t>[Threaded comment]
Your version of Excel allows you to read this threaded comment; however, any edits to it will get removed if the file is opened in a newer version of Excel. Learn more: https://go.microsoft.com/fwlink/?linkid=870924
Comment:
    $8,559,357 QO</t>
      </text>
    </comment>
    <comment ref="S11" authorId="10" shapeId="0" xr:uid="{0CFC017F-C1BA-5046-898F-73DD5D55ACF4}">
      <text>
        <t>[Threaded comment]
Your version of Excel allows you to read this threaded comment; however, any edits to it will get removed if the file is opened in a newer version of Excel. Learn more: https://go.microsoft.com/fwlink/?linkid=870924
Comment:
    $5,959,022 QO</t>
      </text>
    </comment>
    <comment ref="S12" authorId="11" shapeId="0" xr:uid="{73782FC0-AE83-A846-9225-E378EC5A5185}">
      <text>
        <t>[Threaded comment]
Your version of Excel allows you to read this threaded comment; however, any edits to it will get removed if the file is opened in a newer version of Excel. Learn more: https://go.microsoft.com/fwlink/?linkid=870924
Comment:
    $4,826,447 QO</t>
      </text>
    </comment>
    <comment ref="P15" authorId="12" shapeId="0" xr:uid="{FABB760E-61C9-B848-8903-C747AC80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fully NG, fully gt on league wide cutdown date (late Feb 2021?)
If waived, Non Bird RFA</t>
      </text>
    </comment>
    <comment ref="P18" authorId="13" shapeId="0" xr:uid="{82A2FAD9-E5BC-EA4E-9E08-2DF3102C298A}">
      <text>
        <t>[Threaded comment]
Your version of Excel allows you to read this threaded comment; however, any edits to it will get removed if the file is opened in a newer version of Excel. Learn more: https://go.microsoft.com/fwlink/?linkid=870924
Comment:
    JR Smith</t>
      </text>
    </comment>
    <comment ref="Q18" authorId="14" shapeId="0" xr:uid="{446B217F-F2A5-8F4D-8025-0F88E78F4445}">
      <text>
        <t>[Threaded comment]
Your version of Excel allows you to read this threaded comment; however, any edits to it will get removed if the file is opened in a newer version of Excel. Learn more: https://go.microsoft.com/fwlink/?linkid=870924
Comment:
    JR Smith</t>
      </text>
    </comment>
    <comment ref="P20" authorId="15" shapeId="0" xr:uid="{0553A1C4-E94E-C347-8201-0068A226D66E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
(CLE cannot pay more than $3.872,215 in FA)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tc={85FD8755-EDAB-4B48-BFF4-65A3614784AF}</author>
    <author>tc={78226CC8-F652-3044-BCBE-30EDB51A30B2}</author>
    <author>tc={C48CDD8B-36A9-9A4D-BD8B-DDBAA98D0E34}</author>
    <author>tc={B7C1E58D-C269-FA45-AE04-B2A81E41BA33}</author>
    <author>tc={B3F8462B-4A3A-AE47-A212-7082F2E42B85}</author>
    <author>tc={771F7486-FC99-C446-89E5-01615B4B36E9}</author>
    <author>tc={59F3A3A5-E2EC-9540-B2F3-E5689E3F187A}</author>
    <author>tc={9208A7DB-AEF0-FE4D-B2FB-6DA7F7C97FEB}</author>
    <author>tc={E96AF1E5-A26D-EC42-8E55-B583C73DBD82}</author>
    <author>tc={5A2CB85B-518C-394A-A451-48FCF5E9D5F9}</author>
    <author>tc={F9152DEF-8E52-4945-83C1-7912E91AF058}</author>
    <author>tc={C8766292-0AE9-F34E-9443-75C22E0AA4CF}</author>
    <author>tc={2A522AE2-7E39-BA4F-97F2-74294BC813AA}</author>
    <author>tc={C950B469-C34F-C74B-8BC0-C11B7E6D3A00}</author>
    <author>tc={7ED19762-F296-5141-BD13-12BD6E107C8D}</author>
    <author>tc={65D3AE3E-A41F-3E4F-B95A-CD22ABB2AC51}</author>
    <author>tc={56EC9118-F529-F94B-99BA-BF94933F217F}</author>
  </authors>
  <commentList>
    <comment ref="C1" authorId="0" shapeId="0" xr:uid="{85FD8755-EDAB-4B48-BFF4-65A3614784A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78226CC8-F652-3044-BCBE-30EDB51A30B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2" authorId="2" shapeId="0" xr:uid="{C48CDD8B-36A9-9A4D-BD8B-DDBAA98D0E34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6/29/23 deadline
$41,343,900 cap hold
Bird</t>
      </text>
    </comment>
    <comment ref="T2" authorId="3" shapeId="0" xr:uid="{B7C1E58D-C269-FA45-AE04-B2A81E41BA33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3" authorId="4" shapeId="0" xr:uid="{B3F8462B-4A3A-AE47-A212-7082F2E42B85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S5" authorId="5" shapeId="0" xr:uid="{771F7486-FC99-C446-89E5-01615B4B36E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7" authorId="6" shapeId="0" xr:uid="{59F3A3A5-E2EC-9540-B2F3-E5689E3F187A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7/3/22
If waived, Bird
$16,957,500 cap hold</t>
      </text>
    </comment>
    <comment ref="S7" authorId="7" shapeId="0" xr:uid="{9208A7DB-AEF0-FE4D-B2FB-6DA7F7C97FEB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8" authorId="8" shapeId="0" xr:uid="{E96AF1E5-A26D-EC42-8E55-B583C73DBD82}">
      <text>
        <t>[Threaded comment]
Your version of Excel allows you to read this threaded comment; however, any edits to it will get removed if the file is opened in a newer version of Excel. Learn more: https://go.microsoft.com/fwlink/?linkid=870924
Comment:
    $13,348,801 QO</t>
      </text>
    </comment>
    <comment ref="R10" authorId="9" shapeId="0" xr:uid="{5A2CB85B-518C-394A-A451-48FCF5E9D5F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11" authorId="10" shapeId="0" xr:uid="{F9152DEF-8E52-4945-83C1-7912E91AF05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Q15" authorId="11" shapeId="0" xr:uid="{C8766292-0AE9-F34E-9443-75C22E0AA4CF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6/30/21
If waived, Bird RFA</t>
      </text>
    </comment>
    <comment ref="R15" authorId="12" shapeId="0" xr:uid="{2A522AE2-7E39-BA4F-97F2-74294BC813AA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22" authorId="13" shapeId="0" xr:uid="{C950B469-C34F-C74B-8BC0-C11B7E6D3A00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P23" authorId="14" shapeId="0" xr:uid="{7ED19762-F296-5141-BD13-12BD6E107C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</t>
      </text>
    </comment>
    <comment ref="P24" authorId="15" shapeId="0" xr:uid="{65D3AE3E-A41F-3E4F-B95A-CD22ABB2AC51}">
      <text>
        <t>[Threaded comment]
Your version of Excel allows you to read this threaded comment; however, any edits to it will get removed if the file is opened in a newer version of Excel. Learn more: https://go.microsoft.com/fwlink/?linkid=870924
Comment:
    2W QO
Min cap hold</t>
      </text>
    </comment>
    <comment ref="P25" authorId="16" shapeId="0" xr:uid="{56EC9118-F529-F94B-99BA-BF94933F217F}">
      <text>
        <t>[Threaded comment]
Your version of Excel allows you to read this threaded comment; however, any edits to it will get removed if the file is opened in a newer version of Excel. Learn more: https://go.microsoft.com/fwlink/?linkid=870924
Comment:
    2W QO
Min cap hold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tc={9317C884-CDC6-B443-84E2-161F158F98A7}</author>
    <author>tc={2635B09E-19B2-9A40-8ECC-A5103B8B4F6A}</author>
    <author>tc={62782ABE-CAA7-B944-868A-650BBE00CED7}</author>
    <author>tc={425A42DC-B55D-F94C-AEBB-494E424E9D1D}</author>
    <author>tc={6EAF1234-D0D3-184F-8394-2BF4770AE2AF}</author>
    <author>tc={4A6819A7-65A3-194D-81EC-8985EC73BF3C}</author>
    <author>tc={221E9590-317B-FB4D-8883-A0041E03B095}</author>
    <author>tc={0C7AF2A9-6740-F54C-9D13-2BD9DAF03153}</author>
    <author>tc={D12D13EC-7E21-A540-90FC-8DD7F6381874}</author>
    <author>tc={20429DDF-B379-AA46-A467-9FF287AF06C7}</author>
    <author>tc={D877378C-47A4-3643-A8C9-264F9E7F899F}</author>
    <author>tc={997F9510-DE9A-B546-8722-9BAC32A19908}</author>
    <author>tc={350F842B-9E23-4B49-9ED4-B8690BAAD2D1}</author>
  </authors>
  <commentList>
    <comment ref="C1" authorId="0" shapeId="0" xr:uid="{9317C884-CDC6-B443-84E2-161F158F98A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2635B09E-19B2-9A40-8ECC-A5103B8B4F6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S2" authorId="2" shapeId="0" xr:uid="{62782ABE-CAA7-B944-868A-650BBE00CED7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4" authorId="3" shapeId="0" xr:uid="{425A42DC-B55D-F94C-AEBB-494E424E9D1D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5" authorId="4" shapeId="0" xr:uid="{6EAF1234-D0D3-184F-8394-2BF4770AE2AF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6/29/21 deadline
$20,584,821 cap hold
Bird</t>
      </text>
    </comment>
    <comment ref="R5" authorId="5" shapeId="0" xr:uid="{4A6819A7-65A3-194D-81EC-8985EC73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8" authorId="6" shapeId="0" xr:uid="{221E9590-317B-FB4D-8883-A0041E03B095}">
      <text>
        <t>[Threaded comment]
Your version of Excel allows you to read this threaded comment; however, any edits to it will get removed if the file is opened in a newer version of Excel. Learn more: https://go.microsoft.com/fwlink/?linkid=870924
Comment:
    $7,314,900 QO</t>
      </text>
    </comment>
    <comment ref="P13" authorId="7" shapeId="0" xr:uid="{0C7AF2A9-6740-F54C-9D13-2BD9DAF03153}">
      <text>
        <t>[Threaded comment]
Your version of Excel allows you to read this threaded comment; however, any edits to it will get removed if the file is opened in a newer version of Excel. Learn more: https://go.microsoft.com/fwlink/?linkid=870924
Comment:
    $1,200,000 gt, fully gt on league-wide cutdown date (late Feb 2021?)</t>
      </text>
    </comment>
    <comment ref="Q14" authorId="8" shapeId="0" xr:uid="{D12D13EC-7E21-A540-90FC-8DD7F6381874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16" authorId="9" shapeId="0" xr:uid="{20429DDF-B379-AA46-A467-9FF287AF06C7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fully NG, fully gt on 7/1/21</t>
      </text>
    </comment>
    <comment ref="R16" authorId="10" shapeId="0" xr:uid="{D877378C-47A4-3643-A8C9-264F9E7F899F}">
      <text>
        <t>[Threaded comment]
Your version of Excel allows you to read this threaded comment; however, any edits to it will get removed if the file is opened in a newer version of Excel. Learn more: https://go.microsoft.com/fwlink/?linkid=870924
Comment:
    $2,228,276 QO
Bird</t>
      </text>
    </comment>
    <comment ref="P21" authorId="11" shapeId="0" xr:uid="{997F9510-DE9A-B546-8722-9BAC32A19908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
Minimum cap hold</t>
      </text>
    </comment>
    <comment ref="P22" authorId="12" shapeId="0" xr:uid="{350F842B-9E23-4B49-9ED4-B8690BAAD2D1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Bird
Minimum cap hold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tc={55359452-250A-3945-A796-37439920F6D9}</author>
    <author>tc={6927DFE0-BA3C-CF4A-9866-9113E78C5C97}</author>
    <author>tc={3D47BBFF-0DEE-3041-8134-088717A67F36}</author>
    <author>tc={6D647591-4692-4C40-90DE-9B92561FDF7F}</author>
    <author>tc={0AC452C7-2AA4-A248-96D0-5E14B1FA5775}</author>
    <author>tc={86E3F769-F227-2847-9401-F59E1DF78327}</author>
    <author>tc={E207842B-99AA-8D41-85FA-0819613249E7}</author>
    <author>tc={DB9E52F1-FA67-C24A-92D1-965DAD22E08A}</author>
    <author>tc={AB693815-EC48-7943-80BC-1DBE4FF5EFDE}</author>
    <author>tc={145870AC-379D-5D46-A8B1-D85318761C7B}</author>
    <author>tc={4AEF6023-B133-2149-918C-7CD9DF547439}</author>
    <author>tc={4CB4DAF0-F199-EE4A-BB52-9E7A71E08A87}</author>
    <author>tc={3ED2CACD-4FD4-1B4F-8C23-5564B744F865}</author>
    <author>tc={74BC4D36-9DFF-F140-8961-BDE91AE20BD6}</author>
  </authors>
  <commentList>
    <comment ref="C1" authorId="0" shapeId="0" xr:uid="{55359452-250A-3945-A796-37439920F6D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Cleaning The Glass</t>
      </text>
    </comment>
    <comment ref="W1" authorId="1" shapeId="0" xr:uid="{6927DFE0-BA3C-CF4A-9866-9113E78C5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Basketball Reference</t>
      </text>
    </comment>
    <comment ref="Q2" authorId="2" shapeId="0" xr:uid="{3D47BBFF-0DEE-3041-8134-088717A67F36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6/29/21 deadline
$43,750,000 cap hold
Bird</t>
      </text>
    </comment>
    <comment ref="R2" authorId="3" shapeId="0" xr:uid="{6D647591-4692-4C40-90DE-9B92561FDF7F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R4" authorId="4" shapeId="0" xr:uid="{0AC452C7-2AA4-A248-96D0-5E14B1FA5775}">
      <text>
        <t>[Threaded comment]
Your version of Excel allows you to read this threaded comment; however, any edits to it will get removed if the file is opened in a newer version of Excel. Learn more: https://go.microsoft.com/fwlink/?linkid=870924
Comment:
    Bird</t>
      </text>
    </comment>
    <comment ref="Q6" authorId="5" shapeId="0" xr:uid="{86E3F769-F227-2847-9401-F59E1DF7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Bird</t>
      </text>
    </comment>
    <comment ref="S8" authorId="6" shapeId="0" xr:uid="{E207842B-99AA-8D41-85FA-0819613249E7}">
      <text>
        <t>[Threaded comment]
Your version of Excel allows you to read this threaded comment; however, any edits to it will get removed if the file is opened in a newer version of Excel. Learn more: https://go.microsoft.com/fwlink/?linkid=870924
Comment:
    $7,744,600 QO</t>
      </text>
    </comment>
    <comment ref="R11" authorId="7" shapeId="0" xr:uid="{DB9E52F1-FA67-C24A-92D1-965DAD22E08A}">
      <text>
        <t>[Threaded comment]
Your version of Excel allows you to read this threaded comment; however, any edits to it will get removed if the file is opened in a newer version of Excel. Learn more: https://go.microsoft.com/fwlink/?linkid=870924
Comment:
    $5,422,581 QO</t>
      </text>
    </comment>
    <comment ref="Q13" authorId="8" shapeId="0" xr:uid="{AB693815-EC48-7943-80BC-1DBE4FF5EFDE}">
      <text>
        <t>[Threaded comment]
Your version of Excel allows you to read this threaded comment; however, any edits to it will get removed if the file is opened in a newer version of Excel. Learn more: https://go.microsoft.com/fwlink/?linkid=870924
Comment:
    $2,122,822 QO
Bird</t>
      </text>
    </comment>
    <comment ref="P17" authorId="9" shapeId="0" xr:uid="{145870AC-379D-5D46-A8B1-D85318761C7B}">
      <text>
        <t>[Threaded comment]
Your version of Excel allows you to read this threaded comment; however, any edits to it will get removed if the file is opened in a newer version of Excel. Learn more: https://go.microsoft.com/fwlink/?linkid=870924
Comment:
    Dedmon / McGruder / Z. Smith</t>
      </text>
    </comment>
    <comment ref="Q17" authorId="10" shapeId="0" xr:uid="{4AEF6023-B133-2149-918C-7CD9DF547439}">
      <text>
        <t>[Threaded comment]
Your version of Excel allows you to read this threaded comment; however, any edits to it will get removed if the file is opened in a newer version of Excel. Learn more: https://go.microsoft.com/fwlink/?linkid=870924
Comment:
    Dedmon / McGruder / Z. Smith</t>
      </text>
    </comment>
    <comment ref="R17" authorId="11" shapeId="0" xr:uid="{4CB4DAF0-F199-EE4A-BB52-9E7A71E08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Dedmon / McGruder / Z. Smith</t>
      </text>
    </comment>
    <comment ref="S17" authorId="12" shapeId="0" xr:uid="{3ED2CACD-4FD4-1B4F-8C23-5564B744F865}">
      <text>
        <t>[Threaded comment]
Your version of Excel allows you to read this threaded comment; however, any edits to it will get removed if the file is opened in a newer version of Excel. Learn more: https://go.microsoft.com/fwlink/?linkid=870924
Comment:
    Dedmon / McGruder</t>
      </text>
    </comment>
    <comment ref="T17" authorId="13" shapeId="0" xr:uid="{74BC4D36-9DFF-F140-8961-BDE91AE20BD6}">
      <text>
        <t>[Threaded comment]
Your version of Excel allows you to read this threaded comment; however, any edits to it will get removed if the file is opened in a newer version of Excel. Learn more: https://go.microsoft.com/fwlink/?linkid=870924
Comment:
    Dedmon / McGruder</t>
      </text>
    </comment>
  </commentList>
</comments>
</file>

<file path=xl/sharedStrings.xml><?xml version="1.0" encoding="utf-8"?>
<sst xmlns="http://schemas.openxmlformats.org/spreadsheetml/2006/main" count="7429" uniqueCount="2758">
  <si>
    <t>Jeff Teague</t>
  </si>
  <si>
    <t>Bird Rights</t>
  </si>
  <si>
    <t>Skal Labissiere</t>
  </si>
  <si>
    <t>Damian Jones</t>
  </si>
  <si>
    <t>Treveon Graham</t>
  </si>
  <si>
    <t>Early Bird Rights</t>
  </si>
  <si>
    <t>Brandon Goodwin</t>
  </si>
  <si>
    <t>Gordon Hayward</t>
  </si>
  <si>
    <t>Enes Kanter</t>
  </si>
  <si>
    <t>Daniel Theis</t>
  </si>
  <si>
    <t>Brad Wanamaker</t>
  </si>
  <si>
    <t>Semi Ojeleye</t>
  </si>
  <si>
    <t>Javonte Green</t>
  </si>
  <si>
    <t>Joe Harris</t>
  </si>
  <si>
    <t>Garrett Temple</t>
  </si>
  <si>
    <t>Timothe Luwawu-Cabarrot</t>
  </si>
  <si>
    <t>Wilson Chandler</t>
  </si>
  <si>
    <t>Nicolas Batum</t>
  </si>
  <si>
    <t>Bismack Biyombo</t>
  </si>
  <si>
    <t>Willy Hernangomez</t>
  </si>
  <si>
    <t>Dwayne Bacon</t>
  </si>
  <si>
    <t>Caleb Martin</t>
  </si>
  <si>
    <t>Jalen McDaniels</t>
  </si>
  <si>
    <t>Otto Porter Jr.</t>
  </si>
  <si>
    <t>Kris Dunn</t>
  </si>
  <si>
    <t>Denzel Valentine</t>
  </si>
  <si>
    <t>Shaquille Harrison</t>
  </si>
  <si>
    <t>Andre Drummond</t>
  </si>
  <si>
    <t>Tristan Thompson</t>
  </si>
  <si>
    <t>Matthew Dellavedova</t>
  </si>
  <si>
    <t>Ante Zizic</t>
  </si>
  <si>
    <t>Alfonzo McKinnie</t>
  </si>
  <si>
    <t>Tim Hardaway Jr.</t>
  </si>
  <si>
    <t>Courtney Lee</t>
  </si>
  <si>
    <t>Willie Cauley-Stein</t>
  </si>
  <si>
    <t>J.J. Barea</t>
  </si>
  <si>
    <t>Michael Kidd-Gilchrist</t>
  </si>
  <si>
    <t>Paul Millsap</t>
  </si>
  <si>
    <t>Mason Plumlee</t>
  </si>
  <si>
    <t>Jerami Grant</t>
  </si>
  <si>
    <t>Torrey Craig</t>
  </si>
  <si>
    <t>Noah Vonleh</t>
  </si>
  <si>
    <t>Monte Morris</t>
  </si>
  <si>
    <t>Keita Bates-Diop</t>
  </si>
  <si>
    <t>Troy Daniels</t>
  </si>
  <si>
    <t>Brandon Knight</t>
  </si>
  <si>
    <t>Tony Snell</t>
  </si>
  <si>
    <t>John Henson</t>
  </si>
  <si>
    <t>Langston Galloway</t>
  </si>
  <si>
    <t>Thon Maker</t>
  </si>
  <si>
    <t>Christian Wood</t>
  </si>
  <si>
    <t>Jordan McRae</t>
  </si>
  <si>
    <t>Khyri Thomas</t>
  </si>
  <si>
    <t>Bruce Brown</t>
  </si>
  <si>
    <t>Damion Lee</t>
  </si>
  <si>
    <t>Marquese Chriss</t>
  </si>
  <si>
    <t>Non Bird Rights</t>
  </si>
  <si>
    <t>Ky Bowman</t>
  </si>
  <si>
    <t>Juan Toscano-Anderson</t>
  </si>
  <si>
    <t>Mychal Mulder</t>
  </si>
  <si>
    <t>Austin Rivers</t>
  </si>
  <si>
    <t>Ben McLemore</t>
  </si>
  <si>
    <t>Bruno Caboclo</t>
  </si>
  <si>
    <t>Tyson Chandler</t>
  </si>
  <si>
    <t>Thabo Sefolosha</t>
  </si>
  <si>
    <t>Chris Clemons</t>
  </si>
  <si>
    <t>DeMarre Carroll</t>
  </si>
  <si>
    <t>Jeff Green</t>
  </si>
  <si>
    <t>Justin Holiday</t>
  </si>
  <si>
    <t>T.J. McConnell</t>
  </si>
  <si>
    <t>JaKarr Sampson</t>
  </si>
  <si>
    <t>Alize Johnson</t>
  </si>
  <si>
    <t>Marcus Morris</t>
  </si>
  <si>
    <t>Montrezl Harrell</t>
  </si>
  <si>
    <t>JaMychal Green</t>
  </si>
  <si>
    <t>Patrick Patterson</t>
  </si>
  <si>
    <t>Reggie Jackson</t>
  </si>
  <si>
    <t>Anthony Davis</t>
  </si>
  <si>
    <t>Kentavious Caldwell-Pope</t>
  </si>
  <si>
    <t>Avery Bradley</t>
  </si>
  <si>
    <t>Quinn Cook</t>
  </si>
  <si>
    <t>Rajon Rondo</t>
  </si>
  <si>
    <t>Markieff Morris</t>
  </si>
  <si>
    <t>Jared Dudley</t>
  </si>
  <si>
    <t>Dwight Howard</t>
  </si>
  <si>
    <t>Dion Waiters</t>
  </si>
  <si>
    <t>Josh Jackson</t>
  </si>
  <si>
    <t>De'Anthony Melton</t>
  </si>
  <si>
    <t>Jontay Porter</t>
  </si>
  <si>
    <t>Goran Dragic</t>
  </si>
  <si>
    <t>Solomon Hill</t>
  </si>
  <si>
    <t>Kelly Olynyk</t>
  </si>
  <si>
    <t>Meyers Leonard</t>
  </si>
  <si>
    <t>Jae Crowder</t>
  </si>
  <si>
    <t>Derrick Jones Jr.</t>
  </si>
  <si>
    <t>Udonis Haslem</t>
  </si>
  <si>
    <t>Duncan Robinson</t>
  </si>
  <si>
    <t>Kendrick Nunn</t>
  </si>
  <si>
    <t>Ersan Ilyasova</t>
  </si>
  <si>
    <t>Robin Lopez</t>
  </si>
  <si>
    <t>Wesley Matthews</t>
  </si>
  <si>
    <t>Pat Connaughton</t>
  </si>
  <si>
    <t>Kyle Korver</t>
  </si>
  <si>
    <t>Sterling Brown</t>
  </si>
  <si>
    <t>Evan Turner</t>
  </si>
  <si>
    <t>James Johnson</t>
  </si>
  <si>
    <t>Juan Hernangomez</t>
  </si>
  <si>
    <t>Malik Beasley</t>
  </si>
  <si>
    <t>Jarred Vanderbilt</t>
  </si>
  <si>
    <t>Jaylen Nowell</t>
  </si>
  <si>
    <t>Naz Reid</t>
  </si>
  <si>
    <t>Derrick Favors</t>
  </si>
  <si>
    <t>E'Twaun Moore</t>
  </si>
  <si>
    <t>Brandon Ingram</t>
  </si>
  <si>
    <t>Darius Miller</t>
  </si>
  <si>
    <t>Jahlil Okafor</t>
  </si>
  <si>
    <t>Frank Jackson</t>
  </si>
  <si>
    <t>Kenrich Williams</t>
  </si>
  <si>
    <t>Bobby Portis</t>
  </si>
  <si>
    <t>Maurice Harkless</t>
  </si>
  <si>
    <t>Taj Gibson</t>
  </si>
  <si>
    <t>Elfrid Payton</t>
  </si>
  <si>
    <t>Wayne Ellington</t>
  </si>
  <si>
    <t>Reggie Bullock</t>
  </si>
  <si>
    <t>Damyean Dotson</t>
  </si>
  <si>
    <t>Mitchell Robinson</t>
  </si>
  <si>
    <t>Danilo Gallinari</t>
  </si>
  <si>
    <t>Andre Roberson</t>
  </si>
  <si>
    <t>Mike Muscala</t>
  </si>
  <si>
    <t>Nerlens Noel</t>
  </si>
  <si>
    <t>Abdel Nader</t>
  </si>
  <si>
    <t>Hamidou Diallo</t>
  </si>
  <si>
    <t>Deonte Burton</t>
  </si>
  <si>
    <t>Evan Fournier</t>
  </si>
  <si>
    <t>D.J. Augustin</t>
  </si>
  <si>
    <t>James Ennis III</t>
  </si>
  <si>
    <t>Michael Carter-Williams</t>
  </si>
  <si>
    <t>Wes Iwundu</t>
  </si>
  <si>
    <t>Melvin Frazier Jr.</t>
  </si>
  <si>
    <t>Glenn Robinson III</t>
  </si>
  <si>
    <t>Alec Burks</t>
  </si>
  <si>
    <t>Raul Neto</t>
  </si>
  <si>
    <t>Kyle O'Quinn</t>
  </si>
  <si>
    <t>Furkan Korkmaz</t>
  </si>
  <si>
    <t>Norvel Pelle</t>
  </si>
  <si>
    <t>Aron Baynes</t>
  </si>
  <si>
    <t>Dario Saric</t>
  </si>
  <si>
    <t>Cheick Diallo</t>
  </si>
  <si>
    <t>Jevon Carter</t>
  </si>
  <si>
    <t>Elie Okobo</t>
  </si>
  <si>
    <t>Hassan Whiteside</t>
  </si>
  <si>
    <t>Trevor Ariza</t>
  </si>
  <si>
    <t>Rodney Hood</t>
  </si>
  <si>
    <t>Mario Hezonja</t>
  </si>
  <si>
    <t>Wenyen Gabriel</t>
  </si>
  <si>
    <t>Carmelo Anthony</t>
  </si>
  <si>
    <t>Kent Bazemore</t>
  </si>
  <si>
    <t>Bogdan Bogdanovic</t>
  </si>
  <si>
    <t>Nemanja Bjelica</t>
  </si>
  <si>
    <t>Jabari Parker</t>
  </si>
  <si>
    <t>Alex Len</t>
  </si>
  <si>
    <t>Yogi Ferrell</t>
  </si>
  <si>
    <t>Harry Giles</t>
  </si>
  <si>
    <t>DeMar DeRozan</t>
  </si>
  <si>
    <t>Trey Lyles</t>
  </si>
  <si>
    <t>Jakob Poeltl</t>
  </si>
  <si>
    <t>Bryn Forbes</t>
  </si>
  <si>
    <t>Quinndary Weatherspoon</t>
  </si>
  <si>
    <t>Marc Gasol</t>
  </si>
  <si>
    <t>Serge Ibaka</t>
  </si>
  <si>
    <t>Fred VanVleet</t>
  </si>
  <si>
    <t>Stanley Johnson</t>
  </si>
  <si>
    <t>Rondae Hollis-Jefferson</t>
  </si>
  <si>
    <t>Chris Boucher</t>
  </si>
  <si>
    <t>Malcolm Miller</t>
  </si>
  <si>
    <t>Matt Thomas</t>
  </si>
  <si>
    <t>Dewan Hernandez</t>
  </si>
  <si>
    <t>Jordan Clarkson</t>
  </si>
  <si>
    <t>Georges Niang</t>
  </si>
  <si>
    <t>Emmanuel Mudiay</t>
  </si>
  <si>
    <t>Nigel Williams-Goss</t>
  </si>
  <si>
    <t>Miye Oni</t>
  </si>
  <si>
    <t>Juwan Morgan</t>
  </si>
  <si>
    <t>Rayjon Tucker</t>
  </si>
  <si>
    <t>Ian Mahinmi</t>
  </si>
  <si>
    <t>Davis Bertans</t>
  </si>
  <si>
    <t>Shabazz Napier</t>
  </si>
  <si>
    <t>Isaac Bonga</t>
  </si>
  <si>
    <t>Gary Payton II</t>
  </si>
  <si>
    <t>Anzejs Pasecniks</t>
  </si>
  <si>
    <t>Clint Capela</t>
  </si>
  <si>
    <t>Dewayne Dedmon</t>
  </si>
  <si>
    <t>Jaylen Brown</t>
  </si>
  <si>
    <t>Marcus Smart</t>
  </si>
  <si>
    <t>Kevin Durant</t>
  </si>
  <si>
    <t>Kyrie Irving</t>
  </si>
  <si>
    <t>Thaddeus Young</t>
  </si>
  <si>
    <t>Dante Exum</t>
  </si>
  <si>
    <t>Delon Wright</t>
  </si>
  <si>
    <t>Maxi Kleber</t>
  </si>
  <si>
    <t>Nikola Jokic</t>
  </si>
  <si>
    <t>Gary Harris</t>
  </si>
  <si>
    <t>Eric Gordon</t>
  </si>
  <si>
    <t>Victor Oladipo</t>
  </si>
  <si>
    <t>Myles Turner</t>
  </si>
  <si>
    <t>Domantas Sabonis</t>
  </si>
  <si>
    <t>Tyus Jones</t>
  </si>
  <si>
    <t>Jrue Holiday</t>
  </si>
  <si>
    <t>Julius Randle</t>
  </si>
  <si>
    <t>Dennis Schroder</t>
  </si>
  <si>
    <t>Aaron Gordon</t>
  </si>
  <si>
    <t>Terrence Ross</t>
  </si>
  <si>
    <t>Ben Simmons</t>
  </si>
  <si>
    <t>Jusuf Nurkic</t>
  </si>
  <si>
    <t>Buddy Hield</t>
  </si>
  <si>
    <t>Rudy Gay</t>
  </si>
  <si>
    <t>Patty Mills</t>
  </si>
  <si>
    <t>Kyle Lowry</t>
  </si>
  <si>
    <t>Rudy Gobert</t>
  </si>
  <si>
    <t>Joe Ingles</t>
  </si>
  <si>
    <t>Bradley Beal</t>
  </si>
  <si>
    <t>Georgia</t>
  </si>
  <si>
    <t>Dayton</t>
  </si>
  <si>
    <t>Memphis</t>
  </si>
  <si>
    <t>USC</t>
  </si>
  <si>
    <t>Maccabi Tel Aviv (Israel)</t>
  </si>
  <si>
    <t>Ulm (Germany)</t>
  </si>
  <si>
    <t>Auburn</t>
  </si>
  <si>
    <t>Iowa State</t>
  </si>
  <si>
    <t>00</t>
  </si>
  <si>
    <t>Combo</t>
  </si>
  <si>
    <t>Wake Forest</t>
  </si>
  <si>
    <t>Traded from MIN on 1/16/20</t>
  </si>
  <si>
    <r>
      <t xml:space="preserve">39% PG, </t>
    </r>
    <r>
      <rPr>
        <u/>
        <sz val="12"/>
        <color theme="1"/>
        <rFont val="Calibri"/>
        <family val="2"/>
      </rPr>
      <t>60% SG</t>
    </r>
    <r>
      <rPr>
        <sz val="12"/>
        <color theme="1"/>
        <rFont val="Calibri"/>
        <family val="2"/>
      </rPr>
      <t>, 1% SF</t>
    </r>
  </si>
  <si>
    <t>Big</t>
  </si>
  <si>
    <t>Elan Chaton (France)</t>
  </si>
  <si>
    <t>Traded from HOU on 2/5/20</t>
  </si>
  <si>
    <t>Bird Rights (HOU)</t>
  </si>
  <si>
    <t>100% C</t>
  </si>
  <si>
    <t>Cap Space (SAC)</t>
  </si>
  <si>
    <t>De'Andre Hunter</t>
  </si>
  <si>
    <t>Forward</t>
  </si>
  <si>
    <t>Virginia</t>
  </si>
  <si>
    <t>2019 Draft (#4 pick)</t>
  </si>
  <si>
    <t>Rookie Scale</t>
  </si>
  <si>
    <r>
      <t xml:space="preserve">18% SG, </t>
    </r>
    <r>
      <rPr>
        <u/>
        <sz val="12"/>
        <color theme="1"/>
        <rFont val="Calibri"/>
        <family val="2"/>
      </rPr>
      <t>62% SF</t>
    </r>
    <r>
      <rPr>
        <sz val="12"/>
        <color theme="1"/>
        <rFont val="Calibri"/>
        <family val="2"/>
      </rPr>
      <t>, 20% PF</t>
    </r>
  </si>
  <si>
    <t>Trae Young</t>
  </si>
  <si>
    <t>Point</t>
  </si>
  <si>
    <t>Oklahoma</t>
  </si>
  <si>
    <t>2018 Draft (#5 pick)</t>
  </si>
  <si>
    <r>
      <rPr>
        <u/>
        <sz val="12"/>
        <color theme="1"/>
        <rFont val="Calibri"/>
        <family val="2"/>
      </rPr>
      <t>89% PG</t>
    </r>
    <r>
      <rPr>
        <sz val="12"/>
        <color theme="1"/>
        <rFont val="Calibri"/>
        <family val="2"/>
      </rPr>
      <t>, 3% SG</t>
    </r>
  </si>
  <si>
    <t>Cam Reddish</t>
  </si>
  <si>
    <t>Wing</t>
  </si>
  <si>
    <t>Duke</t>
  </si>
  <si>
    <t>2019 Draft (#10 pick)</t>
  </si>
  <si>
    <r>
      <t xml:space="preserve">40% SF, </t>
    </r>
    <r>
      <rPr>
        <u/>
        <sz val="12"/>
        <color theme="1"/>
        <rFont val="Calibri"/>
        <family val="2"/>
      </rPr>
      <t>59% PF</t>
    </r>
    <r>
      <rPr>
        <sz val="12"/>
        <color theme="1"/>
        <rFont val="Calibri"/>
        <family val="2"/>
      </rPr>
      <t>, 1% C</t>
    </r>
  </si>
  <si>
    <t>John Collins</t>
  </si>
  <si>
    <t>2017 Draft (#19 pick)</t>
  </si>
  <si>
    <r>
      <rPr>
        <u/>
        <sz val="12"/>
        <color theme="1"/>
        <rFont val="Calibri"/>
        <family val="2"/>
      </rPr>
      <t>53% PF</t>
    </r>
    <r>
      <rPr>
        <sz val="12"/>
        <color theme="1"/>
        <rFont val="Calibri"/>
        <family val="2"/>
      </rPr>
      <t>, 47% C</t>
    </r>
  </si>
  <si>
    <t>Kevin Huerter</t>
  </si>
  <si>
    <t>Maryland</t>
  </si>
  <si>
    <t>2018 Draft (#19 pick)</t>
  </si>
  <si>
    <r>
      <t xml:space="preserve">6% PG, </t>
    </r>
    <r>
      <rPr>
        <u/>
        <sz val="12"/>
        <color theme="1"/>
        <rFont val="Calibri"/>
        <family val="2"/>
      </rPr>
      <t>63% SG</t>
    </r>
    <r>
      <rPr>
        <sz val="12"/>
        <color theme="1"/>
        <rFont val="Calibri"/>
        <family val="2"/>
      </rPr>
      <t>, 27% SF, 3% PF</t>
    </r>
  </si>
  <si>
    <t>DeAndre' Bembry</t>
  </si>
  <si>
    <t>Saint Joseph's</t>
  </si>
  <si>
    <r>
      <t xml:space="preserve">12% PG, </t>
    </r>
    <r>
      <rPr>
        <u/>
        <sz val="12"/>
        <color theme="1"/>
        <rFont val="Calibri"/>
        <family val="2"/>
      </rPr>
      <t>80% SG,</t>
    </r>
    <r>
      <rPr>
        <sz val="12"/>
        <color theme="1"/>
        <rFont val="Calibri"/>
        <family val="2"/>
      </rPr>
      <t xml:space="preserve"> 8% SF</t>
    </r>
  </si>
  <si>
    <t>Kentucky</t>
  </si>
  <si>
    <t>Traded from POR on 2/6/20</t>
  </si>
  <si>
    <t>Rookie Scale (SAC)</t>
  </si>
  <si>
    <r>
      <t>8% PF,</t>
    </r>
    <r>
      <rPr>
        <u/>
        <sz val="12"/>
        <color theme="1"/>
        <rFont val="Calibri"/>
        <family val="2"/>
      </rPr>
      <t xml:space="preserve"> 92% C</t>
    </r>
  </si>
  <si>
    <t xml:space="preserve">Vanderbilt </t>
  </si>
  <si>
    <t>Rookie Scale (GSW)</t>
  </si>
  <si>
    <r>
      <t>1% PF,</t>
    </r>
    <r>
      <rPr>
        <u/>
        <sz val="12"/>
        <color theme="1"/>
        <rFont val="Calibri"/>
        <family val="2"/>
      </rPr>
      <t xml:space="preserve"> 99% C</t>
    </r>
  </si>
  <si>
    <t>VCU</t>
  </si>
  <si>
    <r>
      <t>2% PG,</t>
    </r>
    <r>
      <rPr>
        <u/>
        <sz val="12"/>
        <color theme="1"/>
        <rFont val="Calibri"/>
        <family val="2"/>
      </rPr>
      <t xml:space="preserve"> 61% SG</t>
    </r>
    <r>
      <rPr>
        <sz val="12"/>
        <color theme="1"/>
        <rFont val="Calibri"/>
        <family val="2"/>
      </rPr>
      <t>, 32% SF, 5% PF</t>
    </r>
  </si>
  <si>
    <t>North Carolina</t>
  </si>
  <si>
    <t>Minimum</t>
  </si>
  <si>
    <t>Bruno Fernando</t>
  </si>
  <si>
    <t>2019 Draft (#34 pick)</t>
  </si>
  <si>
    <t>Cap Space</t>
  </si>
  <si>
    <r>
      <t xml:space="preserve">11% PF, </t>
    </r>
    <r>
      <rPr>
        <u/>
        <sz val="12"/>
        <color theme="1"/>
        <rFont val="Calibri"/>
        <family val="2"/>
      </rPr>
      <t>89% C</t>
    </r>
  </si>
  <si>
    <t>FGC</t>
  </si>
  <si>
    <t>Signed on 8/6/19 (two way)</t>
  </si>
  <si>
    <t>Year 1/2 of 2 yr/$2M from 19-20 season</t>
  </si>
  <si>
    <t>100% PG</t>
  </si>
  <si>
    <t>Charlie Brown Jr.</t>
  </si>
  <si>
    <t xml:space="preserve">Saint Joseph's </t>
  </si>
  <si>
    <t>Signed on 7/1/19 (two way)</t>
  </si>
  <si>
    <t>Two Way</t>
  </si>
  <si>
    <r>
      <t xml:space="preserve">10% PG, </t>
    </r>
    <r>
      <rPr>
        <u/>
        <sz val="12"/>
        <color theme="1"/>
        <rFont val="Calibri"/>
        <family val="2"/>
      </rPr>
      <t>57% SG</t>
    </r>
    <r>
      <rPr>
        <sz val="12"/>
        <color theme="1"/>
        <rFont val="Calibri"/>
        <family val="2"/>
      </rPr>
      <t>, 33% SF</t>
    </r>
  </si>
  <si>
    <t>DEAD MONEY</t>
  </si>
  <si>
    <t>Room Exception</t>
  </si>
  <si>
    <t>Salary Cap</t>
  </si>
  <si>
    <t>Cash Paid</t>
  </si>
  <si>
    <t>Luxury Tax</t>
  </si>
  <si>
    <t>Cash Received</t>
  </si>
  <si>
    <t>Winning Percentage</t>
  </si>
  <si>
    <t>Lloyd Pierce</t>
  </si>
  <si>
    <t>Offensive Rating</t>
  </si>
  <si>
    <t>Defensive Rating</t>
  </si>
  <si>
    <t>Net Rating</t>
  </si>
  <si>
    <t>Pace</t>
  </si>
  <si>
    <t>Incoming Picks:</t>
  </si>
  <si>
    <t>2021 2nd from Miami (unprotected)</t>
  </si>
  <si>
    <t>2022 1st from Oklahoma City (protected 1-14, if not conveyed becomes 2024 and 2025 2nds)</t>
  </si>
  <si>
    <t>2023 2nd from Charlotte / Brooklyn (receives second most favorable of the three picks, including their own)</t>
  </si>
  <si>
    <t>2023 2nd from New Orleans (protected 31-45, if not conveyed obligation extinguished)</t>
  </si>
  <si>
    <t>2024 2nd from Miami (protected 31-50 and 56-60)</t>
  </si>
  <si>
    <t>2025 2nd from Brooklyn (unprotected)</t>
  </si>
  <si>
    <t>2026 2nd from Golden State (unprotected)</t>
  </si>
  <si>
    <t>Outgoing Picks:</t>
  </si>
  <si>
    <t>2021 2nd to Brooklyn (for sure)</t>
  </si>
  <si>
    <t>2022 2nd to LA Clippers (protected 31-55)</t>
  </si>
  <si>
    <t>2024 2nd to Portland (protected 31-55)</t>
  </si>
  <si>
    <t>2019-2020</t>
  </si>
  <si>
    <t>14th in East</t>
  </si>
  <si>
    <t>---</t>
  </si>
  <si>
    <t>2018-2019</t>
  </si>
  <si>
    <t>12th in East</t>
  </si>
  <si>
    <t>2017-2018</t>
  </si>
  <si>
    <t>15th in East</t>
  </si>
  <si>
    <t>Mike Buzenholzer</t>
  </si>
  <si>
    <t>2016-2017</t>
  </si>
  <si>
    <t>5th in East</t>
  </si>
  <si>
    <t>Lost to WSH in first round (4-2)</t>
  </si>
  <si>
    <t>2015-2016</t>
  </si>
  <si>
    <t>4th in East</t>
  </si>
  <si>
    <t>Beat BOS in first round (4-2), lost to CLE in semifinals (4-0)</t>
  </si>
  <si>
    <t>2014-2015</t>
  </si>
  <si>
    <t>1st in East</t>
  </si>
  <si>
    <t>Beat BKN in first round (4-2), beat WSH in semifinals (4-2), lost to CLE in ECF (4-0)</t>
  </si>
  <si>
    <t>2013-2014</t>
  </si>
  <si>
    <t>8th in East</t>
  </si>
  <si>
    <t>Lost to IND in first round (4-3)</t>
  </si>
  <si>
    <t>2012-2013</t>
  </si>
  <si>
    <t>6th in East</t>
  </si>
  <si>
    <t>Larry Drew</t>
  </si>
  <si>
    <t>Lost to IND in first round (4-2)</t>
  </si>
  <si>
    <t>2011-2012</t>
  </si>
  <si>
    <t>Lost to BOS in fiirst round (4-2)</t>
  </si>
  <si>
    <t>2010-2011</t>
  </si>
  <si>
    <t>Beat ORL in first round (4-2), lost to CHI in semifinals (4-2)</t>
  </si>
  <si>
    <t>Ten Year Record</t>
  </si>
  <si>
    <t>Kemba Walker</t>
  </si>
  <si>
    <t>UConn</t>
  </si>
  <si>
    <t>Signed-and-traded from CHA on 7/6/19</t>
  </si>
  <si>
    <t>Sign-and-Trade</t>
  </si>
  <si>
    <t>15% trade kicker</t>
  </si>
  <si>
    <t>Butler</t>
  </si>
  <si>
    <r>
      <t xml:space="preserve">6% SG, </t>
    </r>
    <r>
      <rPr>
        <u/>
        <sz val="12"/>
        <color theme="1"/>
        <rFont val="Calibri"/>
        <family val="2"/>
      </rPr>
      <t>77% SF</t>
    </r>
    <r>
      <rPr>
        <sz val="12"/>
        <color theme="1"/>
        <rFont val="Calibri"/>
        <family val="2"/>
      </rPr>
      <t>, 17% PF</t>
    </r>
  </si>
  <si>
    <t>Oklahoma State</t>
  </si>
  <si>
    <t>2014 Draft (#6 pick)</t>
  </si>
  <si>
    <r>
      <t xml:space="preserve">23% PG, </t>
    </r>
    <r>
      <rPr>
        <u/>
        <sz val="12"/>
        <color theme="1"/>
        <rFont val="Calibri"/>
        <family val="2"/>
      </rPr>
      <t>73% SG</t>
    </r>
    <r>
      <rPr>
        <sz val="12"/>
        <color theme="1"/>
        <rFont val="Calibri"/>
        <family val="2"/>
      </rPr>
      <t>, 5% SF</t>
    </r>
  </si>
  <si>
    <t>Jayson Tatum</t>
  </si>
  <si>
    <t>2017 Draft (#3 pick)</t>
  </si>
  <si>
    <r>
      <rPr>
        <u/>
        <sz val="12"/>
        <color theme="1"/>
        <rFont val="Calibri"/>
        <family val="2"/>
      </rPr>
      <t>89% PF</t>
    </r>
    <r>
      <rPr>
        <sz val="12"/>
        <color theme="1"/>
        <rFont val="Calibri"/>
        <family val="2"/>
      </rPr>
      <t>, 11% C</t>
    </r>
  </si>
  <si>
    <t>Cal</t>
  </si>
  <si>
    <t>2016 Draft (#3 pick)</t>
  </si>
  <si>
    <r>
      <rPr>
        <u/>
        <sz val="12"/>
        <color theme="1"/>
        <rFont val="Calibri"/>
        <family val="2"/>
      </rPr>
      <t>49% SG</t>
    </r>
    <r>
      <rPr>
        <sz val="12"/>
        <color theme="1"/>
        <rFont val="Calibri"/>
        <family val="2"/>
      </rPr>
      <t>, 47% SF, 4% PF</t>
    </r>
  </si>
  <si>
    <t>Brose Bamberg (Germany)</t>
  </si>
  <si>
    <t>Signed on 7/20/17</t>
  </si>
  <si>
    <t>Romeo Langford</t>
  </si>
  <si>
    <t>Indiana</t>
  </si>
  <si>
    <t>2019 Draft (#14 pick)</t>
  </si>
  <si>
    <r>
      <t xml:space="preserve">8% PG, </t>
    </r>
    <r>
      <rPr>
        <u/>
        <sz val="12"/>
        <color theme="1"/>
        <rFont val="Calibri"/>
        <family val="2"/>
      </rPr>
      <t>63% SG</t>
    </r>
    <r>
      <rPr>
        <sz val="12"/>
        <color theme="1"/>
        <rFont val="Calibri"/>
        <family val="2"/>
      </rPr>
      <t>, 30% SF</t>
    </r>
  </si>
  <si>
    <t>Vincent Poirier</t>
  </si>
  <si>
    <t>Baskonia (Spain)</t>
  </si>
  <si>
    <t>Signed on 7/15/19</t>
  </si>
  <si>
    <t>Grant Williams</t>
  </si>
  <si>
    <t>Tennessee</t>
  </si>
  <si>
    <t>2019 Draft (#22 pick)</t>
  </si>
  <si>
    <r>
      <t xml:space="preserve">31% SF, </t>
    </r>
    <r>
      <rPr>
        <u/>
        <sz val="12"/>
        <color theme="1"/>
        <rFont val="Calibri"/>
        <family val="2"/>
      </rPr>
      <t>56% PF</t>
    </r>
    <r>
      <rPr>
        <sz val="12"/>
        <color theme="1"/>
        <rFont val="Calibri"/>
        <family val="2"/>
      </rPr>
      <t>, 14% C</t>
    </r>
  </si>
  <si>
    <t>Robert Williams</t>
  </si>
  <si>
    <t>Texas A&amp;M</t>
  </si>
  <si>
    <t>2018 Draft (#27 pick)</t>
  </si>
  <si>
    <r>
      <t xml:space="preserve">1% PF, </t>
    </r>
    <r>
      <rPr>
        <u/>
        <sz val="12"/>
        <color theme="1"/>
        <rFont val="Calibri"/>
        <family val="2"/>
      </rPr>
      <t>99% C</t>
    </r>
  </si>
  <si>
    <t>SMU</t>
  </si>
  <si>
    <t>2017 Draft (#37 pick)</t>
  </si>
  <si>
    <r>
      <t xml:space="preserve">1% SG, </t>
    </r>
    <r>
      <rPr>
        <u/>
        <sz val="12"/>
        <color theme="1"/>
        <rFont val="Calibri"/>
        <family val="2"/>
      </rPr>
      <t>53% SF</t>
    </r>
    <r>
      <rPr>
        <sz val="12"/>
        <color theme="1"/>
        <rFont val="Calibri"/>
        <family val="2"/>
      </rPr>
      <t>, 45% PF, 1% C</t>
    </r>
  </si>
  <si>
    <t>Fenerbahce (Turkey)</t>
  </si>
  <si>
    <r>
      <rPr>
        <u/>
        <sz val="12"/>
        <color theme="1"/>
        <rFont val="Calibri"/>
        <family val="2"/>
      </rPr>
      <t>79% PG</t>
    </r>
    <r>
      <rPr>
        <sz val="12"/>
        <color theme="1"/>
        <rFont val="Calibri"/>
        <family val="2"/>
      </rPr>
      <t>, 21% SG</t>
    </r>
  </si>
  <si>
    <t>Carsen Edwards</t>
  </si>
  <si>
    <t>Purdue</t>
  </si>
  <si>
    <t>2019 Draft (#33 pick)</t>
  </si>
  <si>
    <t>Year 1/4 of 4 yr/$6M from 2019 offseason</t>
  </si>
  <si>
    <r>
      <t xml:space="preserve">12% PG, </t>
    </r>
    <r>
      <rPr>
        <u/>
        <sz val="12"/>
        <color theme="1"/>
        <rFont val="Calibri"/>
        <family val="2"/>
      </rPr>
      <t>87% SG</t>
    </r>
    <r>
      <rPr>
        <sz val="12"/>
        <color theme="1"/>
        <rFont val="Calibri"/>
        <family val="2"/>
      </rPr>
      <t>, 1% SF</t>
    </r>
  </si>
  <si>
    <t>Signed on 7/25/19</t>
  </si>
  <si>
    <r>
      <t xml:space="preserve">2% PG, 45% SG, </t>
    </r>
    <r>
      <rPr>
        <u/>
        <sz val="12"/>
        <color theme="1"/>
        <rFont val="Calibri"/>
        <family val="2"/>
      </rPr>
      <t>51% SF</t>
    </r>
    <r>
      <rPr>
        <sz val="12"/>
        <color theme="1"/>
        <rFont val="Calibri"/>
        <family val="2"/>
      </rPr>
      <t>, 3% PF</t>
    </r>
  </si>
  <si>
    <t>Tremont Waters</t>
  </si>
  <si>
    <t>LSU</t>
  </si>
  <si>
    <t>2019 Draft (#51 pick)</t>
  </si>
  <si>
    <t>Tacko Fall</t>
  </si>
  <si>
    <t>UCF</t>
  </si>
  <si>
    <t>3rd in East</t>
  </si>
  <si>
    <t>Brad Stevens</t>
  </si>
  <si>
    <t>Beat IND in first round (4-0), lost to MIL in semifinals (4-1)</t>
  </si>
  <si>
    <t>2nd in East</t>
  </si>
  <si>
    <t>Beat MIL in first round (4-3), beat PHI in semifinals (4-1), lost to CLE in ECF (4-3)</t>
  </si>
  <si>
    <t>Beat CHI in first round (4-2), beat WSH in semifinals (4-3), lost to CLE in ECF (4-1)</t>
  </si>
  <si>
    <t>Lost to ATL in first round (4-2)</t>
  </si>
  <si>
    <t>7th in East</t>
  </si>
  <si>
    <t>Lost to CLE in first round (4-0)</t>
  </si>
  <si>
    <t>Doc Rivers</t>
  </si>
  <si>
    <t>Lost to NYK in first round (4-2)</t>
  </si>
  <si>
    <t>Beat ATL in first round (4-2), beat PHI in semifinals (4-3), lost to MIA in ECF (4-3)</t>
  </si>
  <si>
    <t>Beat NYK in first round (4-0), lost to MIA in semifinals (4-1)</t>
  </si>
  <si>
    <t>Texas</t>
  </si>
  <si>
    <t>Signed-and-traded from GSW on 7/7/19</t>
  </si>
  <si>
    <r>
      <t xml:space="preserve">21% SF, </t>
    </r>
    <r>
      <rPr>
        <u/>
        <sz val="12"/>
        <color theme="1"/>
        <rFont val="Calibri"/>
        <family val="2"/>
      </rPr>
      <t>69% PF</t>
    </r>
    <r>
      <rPr>
        <sz val="12"/>
        <color theme="1"/>
        <rFont val="Calibri"/>
        <family val="2"/>
      </rPr>
      <t>, 10% C</t>
    </r>
  </si>
  <si>
    <t>Signed on 7/7/19</t>
  </si>
  <si>
    <t>Spencer Dinwiddie</t>
  </si>
  <si>
    <t>Colorado</t>
  </si>
  <si>
    <t>Signed on 12/8/16</t>
  </si>
  <si>
    <r>
      <t xml:space="preserve">40% PG, </t>
    </r>
    <r>
      <rPr>
        <u/>
        <sz val="12"/>
        <color theme="1"/>
        <rFont val="Calibri"/>
        <family val="2"/>
      </rPr>
      <t>57% SG</t>
    </r>
    <r>
      <rPr>
        <sz val="12"/>
        <color theme="1"/>
        <rFont val="Calibri"/>
        <family val="2"/>
      </rPr>
      <t>, % SF</t>
    </r>
  </si>
  <si>
    <t>DeAndre Jordan</t>
  </si>
  <si>
    <t>Signed on 7/6/19</t>
  </si>
  <si>
    <t>Signed on 7/19/16</t>
  </si>
  <si>
    <r>
      <t>11% SG,</t>
    </r>
    <r>
      <rPr>
        <u/>
        <sz val="12"/>
        <color theme="1"/>
        <rFont val="Calibri"/>
        <family val="2"/>
      </rPr>
      <t xml:space="preserve"> 82% SF</t>
    </r>
    <r>
      <rPr>
        <sz val="12"/>
        <color theme="1"/>
        <rFont val="Calibri"/>
        <family val="2"/>
      </rPr>
      <t>, 7% PF</t>
    </r>
  </si>
  <si>
    <t>Signed on 7/8/19</t>
  </si>
  <si>
    <r>
      <rPr>
        <u/>
        <sz val="12"/>
        <color theme="1"/>
        <rFont val="Calibri"/>
        <family val="2"/>
      </rPr>
      <t>86% PG</t>
    </r>
    <r>
      <rPr>
        <sz val="12"/>
        <color theme="1"/>
        <rFont val="Calibri"/>
        <family val="2"/>
      </rPr>
      <t>, 14% SG</t>
    </r>
  </si>
  <si>
    <t>Taurean Prince</t>
  </si>
  <si>
    <t>Baylor</t>
  </si>
  <si>
    <t>Traded from ATL on 6/6/19</t>
  </si>
  <si>
    <r>
      <t xml:space="preserve">16% SF, </t>
    </r>
    <r>
      <rPr>
        <u/>
        <sz val="12"/>
        <color theme="1"/>
        <rFont val="Calibri"/>
        <family val="2"/>
      </rPr>
      <t>83% PF</t>
    </r>
    <r>
      <rPr>
        <sz val="12"/>
        <color theme="1"/>
        <rFont val="Calibri"/>
        <family val="2"/>
      </rPr>
      <t>, 1% C</t>
    </r>
  </si>
  <si>
    <t>Caris LeVert</t>
  </si>
  <si>
    <t>Michigan</t>
  </si>
  <si>
    <t>2016 Draft (#20 pick)</t>
  </si>
  <si>
    <r>
      <t xml:space="preserve">5% PG, </t>
    </r>
    <r>
      <rPr>
        <u/>
        <sz val="12"/>
        <color theme="1"/>
        <rFont val="Calibri"/>
        <family val="2"/>
      </rPr>
      <t>76% SG</t>
    </r>
    <r>
      <rPr>
        <sz val="12"/>
        <color theme="1"/>
        <rFont val="Calibri"/>
        <family val="2"/>
      </rPr>
      <t>, 19% SF</t>
    </r>
  </si>
  <si>
    <t>Jarrett Allen</t>
  </si>
  <si>
    <t>2017 Draft (#22 pick)</t>
  </si>
  <si>
    <t>Dzanan Musa</t>
  </si>
  <si>
    <t>Cedevita (Croatia)</t>
  </si>
  <si>
    <r>
      <t xml:space="preserve">26% SF, </t>
    </r>
    <r>
      <rPr>
        <u/>
        <sz val="12"/>
        <color theme="1"/>
        <rFont val="Calibri"/>
        <family val="2"/>
      </rPr>
      <t>74% PF</t>
    </r>
  </si>
  <si>
    <t>Rodions Kurucs</t>
  </si>
  <si>
    <t>FC Barcelona (Spain)</t>
  </si>
  <si>
    <t>2018 Draft (#40 pick)</t>
  </si>
  <si>
    <r>
      <rPr>
        <u/>
        <sz val="12"/>
        <color theme="1"/>
        <rFont val="Calibri"/>
        <family val="2"/>
      </rPr>
      <t>91% PF</t>
    </r>
    <r>
      <rPr>
        <sz val="12"/>
        <color theme="1"/>
        <rFont val="Calibri"/>
        <family val="2"/>
      </rPr>
      <t>, 9% C</t>
    </r>
  </si>
  <si>
    <t>DePaul</t>
  </si>
  <si>
    <r>
      <t xml:space="preserve">1% SG, 21% SF, </t>
    </r>
    <r>
      <rPr>
        <u/>
        <sz val="12"/>
        <color theme="1"/>
        <rFont val="Calibri"/>
        <family val="2"/>
      </rPr>
      <t>75% PF</t>
    </r>
    <r>
      <rPr>
        <sz val="12"/>
        <color theme="1"/>
        <rFont val="Calibri"/>
        <family val="2"/>
      </rPr>
      <t>, 3% C</t>
    </r>
  </si>
  <si>
    <t>Theo Pinston</t>
  </si>
  <si>
    <r>
      <t xml:space="preserve">39% PG, </t>
    </r>
    <r>
      <rPr>
        <u/>
        <sz val="12"/>
        <color theme="1"/>
        <rFont val="Calibri"/>
        <family val="2"/>
      </rPr>
      <t>57% SG</t>
    </r>
    <r>
      <rPr>
        <sz val="12"/>
        <color theme="1"/>
        <rFont val="Calibri"/>
        <family val="2"/>
      </rPr>
      <t>, 4% SF</t>
    </r>
  </si>
  <si>
    <t>Nic Claxton</t>
  </si>
  <si>
    <t>2019 Draft (#31 pick)</t>
  </si>
  <si>
    <t>Year 1/3 of 3 yr/$4M from 2019 offseason</t>
  </si>
  <si>
    <r>
      <t xml:space="preserve">29% PF, </t>
    </r>
    <r>
      <rPr>
        <u/>
        <sz val="12"/>
        <color theme="1"/>
        <rFont val="Calibri"/>
        <family val="2"/>
      </rPr>
      <t>71% C</t>
    </r>
  </si>
  <si>
    <t>Mega Leks (Serbia)</t>
  </si>
  <si>
    <t>Signed on 2/7/20</t>
  </si>
  <si>
    <r>
      <t xml:space="preserve">1% PG, 46% SG, </t>
    </r>
    <r>
      <rPr>
        <u/>
        <sz val="12"/>
        <color theme="1"/>
        <rFont val="Calibri"/>
        <family val="2"/>
      </rPr>
      <t>52% SF</t>
    </r>
    <r>
      <rPr>
        <sz val="12"/>
        <color theme="1"/>
        <rFont val="Calibri"/>
        <family val="2"/>
      </rPr>
      <t>, 1% PF</t>
    </r>
  </si>
  <si>
    <t>Chris Chiozza</t>
  </si>
  <si>
    <t>Florida</t>
  </si>
  <si>
    <t>Signed on 1/4/20</t>
  </si>
  <si>
    <t>Jeremiah Martin</t>
  </si>
  <si>
    <t>Signed on 1/15/20</t>
  </si>
  <si>
    <r>
      <t xml:space="preserve">15% PG, </t>
    </r>
    <r>
      <rPr>
        <u/>
        <sz val="12"/>
        <color theme="1"/>
        <rFont val="Calibri"/>
        <family val="2"/>
      </rPr>
      <t>86% SG</t>
    </r>
  </si>
  <si>
    <t>Jacque Vaughn</t>
  </si>
  <si>
    <t>2021 2nd from Atlanta (unprotected)</t>
  </si>
  <si>
    <t>2021 2nd from Phoenix (protected 31-35)</t>
  </si>
  <si>
    <t>2021 2nd to Charlotte (for sure)</t>
  </si>
  <si>
    <t>2023 2nd to Atlanta/Philadelphia (receive least favorable own pick, Atlanta pick, and Charlotte pick)</t>
  </si>
  <si>
    <t>2025 2nd to Atlanta (unprotected)</t>
  </si>
  <si>
    <t>Kenny Atkinson / Jacque Vaughn</t>
  </si>
  <si>
    <t>Kenny Atkinson</t>
  </si>
  <si>
    <t>Lost to PHI in first round (4-1)</t>
  </si>
  <si>
    <t>Lionel Hollins / Tony Brown</t>
  </si>
  <si>
    <t>Lionel Hollins</t>
  </si>
  <si>
    <t>Jason Kidd</t>
  </si>
  <si>
    <t>Beat TOR in first round (4-3), lost to MIA in semifinals (4-2)</t>
  </si>
  <si>
    <t>Avery Johnson / PJ Carlesimo</t>
  </si>
  <si>
    <t>Lost to CHI in first round (4-3)</t>
  </si>
  <si>
    <t>Avery Johnson</t>
  </si>
  <si>
    <t>Le Mans (France)</t>
  </si>
  <si>
    <t>Traded from POR on 6/24/15</t>
  </si>
  <si>
    <r>
      <rPr>
        <u/>
        <sz val="12"/>
        <color theme="1"/>
        <rFont val="Calibri (Body)"/>
      </rPr>
      <t>67% SF</t>
    </r>
    <r>
      <rPr>
        <sz val="12"/>
        <color theme="1"/>
        <rFont val="Calibri"/>
        <family val="2"/>
        <scheme val="minor"/>
      </rPr>
      <t>, 32% PF</t>
    </r>
  </si>
  <si>
    <t>Terry Rozier</t>
  </si>
  <si>
    <t>Louisville</t>
  </si>
  <si>
    <t>Signed-and-traded from BOS on 7/6/19</t>
  </si>
  <si>
    <r>
      <t xml:space="preserve">38% PG, </t>
    </r>
    <r>
      <rPr>
        <u/>
        <sz val="12"/>
        <color theme="1"/>
        <rFont val="Calibri (Body)"/>
      </rPr>
      <t>62% SG</t>
    </r>
  </si>
  <si>
    <t>Fuenlabrada (Spain)</t>
  </si>
  <si>
    <t>Traded from ORL on 7/7/18</t>
  </si>
  <si>
    <r>
      <t xml:space="preserve">3% PF, </t>
    </r>
    <r>
      <rPr>
        <u/>
        <sz val="12"/>
        <color theme="1"/>
        <rFont val="Calibri (Body)"/>
      </rPr>
      <t>97% C</t>
    </r>
  </si>
  <si>
    <t>Cody Zeller</t>
  </si>
  <si>
    <t>2013 Draft (#4 pick)</t>
  </si>
  <si>
    <t>Malik Monk</t>
  </si>
  <si>
    <t>2017 Draft (#11 pick)</t>
  </si>
  <si>
    <r>
      <t xml:space="preserve">4% PG, </t>
    </r>
    <r>
      <rPr>
        <u/>
        <sz val="12"/>
        <color theme="1"/>
        <rFont val="Calibri (Body)"/>
      </rPr>
      <t>85% SG</t>
    </r>
    <r>
      <rPr>
        <sz val="12"/>
        <color theme="1"/>
        <rFont val="Calibri"/>
        <family val="2"/>
        <scheme val="minor"/>
      </rPr>
      <t>, 12% SF</t>
    </r>
  </si>
  <si>
    <t>P.J. Washington</t>
  </si>
  <si>
    <t>2019 Draft (#12 pick)</t>
  </si>
  <si>
    <r>
      <t xml:space="preserve">6% SF, </t>
    </r>
    <r>
      <rPr>
        <u/>
        <sz val="12"/>
        <color theme="1"/>
        <rFont val="Calibri (Body)"/>
      </rPr>
      <t>85% PF</t>
    </r>
    <r>
      <rPr>
        <sz val="12"/>
        <color theme="1"/>
        <rFont val="Calibri"/>
        <family val="2"/>
        <scheme val="minor"/>
      </rPr>
      <t>, 9% C</t>
    </r>
  </si>
  <si>
    <t>Miles Bridges</t>
  </si>
  <si>
    <t>Michigan State</t>
  </si>
  <si>
    <t>2018 Draft (#12 pick)</t>
  </si>
  <si>
    <r>
      <t xml:space="preserve">3% SG, </t>
    </r>
    <r>
      <rPr>
        <u/>
        <sz val="12"/>
        <color theme="1"/>
        <rFont val="Calibri (Body)"/>
      </rPr>
      <t>72% SF</t>
    </r>
    <r>
      <rPr>
        <sz val="12"/>
        <color theme="1"/>
        <rFont val="Calibri"/>
        <family val="2"/>
        <scheme val="minor"/>
      </rPr>
      <t>, 25% PF</t>
    </r>
  </si>
  <si>
    <t>Sevilla (Spain)</t>
  </si>
  <si>
    <t>Cap Space (NYK)</t>
  </si>
  <si>
    <t>Florida State</t>
  </si>
  <si>
    <t>MLE</t>
  </si>
  <si>
    <r>
      <t xml:space="preserve">3% PG, 43% SG, </t>
    </r>
    <r>
      <rPr>
        <u/>
        <sz val="12"/>
        <color theme="1"/>
        <rFont val="Calibri (Body)"/>
      </rPr>
      <t>55% SF</t>
    </r>
  </si>
  <si>
    <t>Devonte' Graham</t>
  </si>
  <si>
    <t>Kansas</t>
  </si>
  <si>
    <t>2018 Draft (#34 pick)</t>
  </si>
  <si>
    <t>Year 2/3 of 3 yr/$4M from 2018 offseason</t>
  </si>
  <si>
    <t>Cody Martin</t>
  </si>
  <si>
    <t>Nevada</t>
  </si>
  <si>
    <t>2019 Draft (#36 pick)</t>
  </si>
  <si>
    <r>
      <t xml:space="preserve">1% PG, 26% SG, </t>
    </r>
    <r>
      <rPr>
        <u/>
        <sz val="12"/>
        <color theme="1"/>
        <rFont val="Calibri (Body)"/>
      </rPr>
      <t>71% SF</t>
    </r>
    <r>
      <rPr>
        <sz val="12"/>
        <color theme="1"/>
        <rFont val="Calibri"/>
        <family val="2"/>
        <scheme val="minor"/>
      </rPr>
      <t>, 3% PF</t>
    </r>
  </si>
  <si>
    <t>Signed on 7/31/19</t>
  </si>
  <si>
    <r>
      <t xml:space="preserve">5% PG, </t>
    </r>
    <r>
      <rPr>
        <u/>
        <sz val="12"/>
        <color theme="1"/>
        <rFont val="Calibri (Body)"/>
      </rPr>
      <t>73% SG</t>
    </r>
    <r>
      <rPr>
        <sz val="12"/>
        <color theme="1"/>
        <rFont val="Calibri"/>
        <family val="2"/>
        <scheme val="minor"/>
      </rPr>
      <t>, 23% SF</t>
    </r>
  </si>
  <si>
    <t>San Diego State</t>
  </si>
  <si>
    <t>2019 Draft (#52 pick)</t>
  </si>
  <si>
    <r>
      <rPr>
        <u/>
        <sz val="12"/>
        <color theme="1"/>
        <rFont val="Calibri (Body)"/>
      </rPr>
      <t>81% PF</t>
    </r>
    <r>
      <rPr>
        <sz val="12"/>
        <color theme="1"/>
        <rFont val="Calibri"/>
        <family val="2"/>
        <scheme val="minor"/>
      </rPr>
      <t>, 19% C</t>
    </r>
  </si>
  <si>
    <t>Kobi Simmons</t>
  </si>
  <si>
    <t>Arizona</t>
  </si>
  <si>
    <t>Signed on 9/16/19</t>
  </si>
  <si>
    <t>Ray Spalding</t>
  </si>
  <si>
    <t>BAE</t>
  </si>
  <si>
    <t>James Borrego</t>
  </si>
  <si>
    <t>2021 2nd from Brooklyn (unprotected)</t>
  </si>
  <si>
    <t>2021 2nd from LA Clippers (unprotected)</t>
  </si>
  <si>
    <t>2021 2nd to New York (for sure)</t>
  </si>
  <si>
    <t>2023 2nd to Atlanta/Brooklyn/Philadelphia (for sure to one of these teams)</t>
  </si>
  <si>
    <t>10th in East</t>
  </si>
  <si>
    <t>9th in East</t>
  </si>
  <si>
    <t>Steve Clifford</t>
  </si>
  <si>
    <t>11th in East</t>
  </si>
  <si>
    <t>Lost to MIA in first round (4-3)</t>
  </si>
  <si>
    <t>Lost to MIA in first round (4-0)</t>
  </si>
  <si>
    <t>Mike Dunlap</t>
  </si>
  <si>
    <t>Paul Silas</t>
  </si>
  <si>
    <t>Larry Brown / Paul Silas</t>
  </si>
  <si>
    <t>Georgetown</t>
  </si>
  <si>
    <t>Traded from WSH on 2/6/19</t>
  </si>
  <si>
    <t>Cap Space (WSH)</t>
  </si>
  <si>
    <r>
      <rPr>
        <u/>
        <sz val="12"/>
        <color theme="1"/>
        <rFont val="Calibri (Body)"/>
      </rPr>
      <t>90% SF</t>
    </r>
    <r>
      <rPr>
        <sz val="12"/>
        <color theme="1"/>
        <rFont val="Calibri"/>
        <family val="2"/>
        <scheme val="minor"/>
      </rPr>
      <t>, 10% PF</t>
    </r>
  </si>
  <si>
    <t>Zach LaVine</t>
  </si>
  <si>
    <t>UCLA</t>
  </si>
  <si>
    <t>Traded from MIN on 6/22/17</t>
  </si>
  <si>
    <r>
      <t xml:space="preserve">31% SG, </t>
    </r>
    <r>
      <rPr>
        <u/>
        <sz val="12"/>
        <color theme="1"/>
        <rFont val="Calibri (Body)"/>
      </rPr>
      <t>67% SF</t>
    </r>
    <r>
      <rPr>
        <sz val="12"/>
        <color theme="1"/>
        <rFont val="Calibri"/>
        <family val="2"/>
        <scheme val="minor"/>
      </rPr>
      <t>, 2% PF</t>
    </r>
  </si>
  <si>
    <t>Georgia Tech</t>
  </si>
  <si>
    <r>
      <t xml:space="preserve">2% SF, </t>
    </r>
    <r>
      <rPr>
        <u/>
        <sz val="12"/>
        <color theme="1"/>
        <rFont val="Calibri (Body)"/>
      </rPr>
      <t>96% PF</t>
    </r>
    <r>
      <rPr>
        <sz val="12"/>
        <color theme="1"/>
        <rFont val="Calibri"/>
        <family val="2"/>
        <scheme val="minor"/>
      </rPr>
      <t>, 3% C</t>
    </r>
  </si>
  <si>
    <t>Tomas Satoransky</t>
  </si>
  <si>
    <t>Signed-and-traded from WSH on 7/6/19</t>
  </si>
  <si>
    <r>
      <rPr>
        <u/>
        <sz val="12"/>
        <color theme="1"/>
        <rFont val="Calibri (Body)"/>
      </rPr>
      <t>53% PG</t>
    </r>
    <r>
      <rPr>
        <sz val="12"/>
        <color theme="1"/>
        <rFont val="Calibri"/>
        <family val="2"/>
        <scheme val="minor"/>
      </rPr>
      <t>, 47% SG</t>
    </r>
  </si>
  <si>
    <t>Christiano Felicio</t>
  </si>
  <si>
    <t>Flamengo (Brazil)</t>
  </si>
  <si>
    <t>Signed on 7/12/15</t>
  </si>
  <si>
    <r>
      <t xml:space="preserve">8% PF, </t>
    </r>
    <r>
      <rPr>
        <u/>
        <sz val="12"/>
        <color theme="1"/>
        <rFont val="Calibri (Body)"/>
      </rPr>
      <t>92% C</t>
    </r>
  </si>
  <si>
    <t>Providence</t>
  </si>
  <si>
    <r>
      <rPr>
        <u/>
        <sz val="12"/>
        <color theme="1"/>
        <rFont val="Calibri (Body)"/>
      </rPr>
      <t>81% PG</t>
    </r>
    <r>
      <rPr>
        <sz val="12"/>
        <color theme="1"/>
        <rFont val="Calibri"/>
        <family val="2"/>
        <scheme val="minor"/>
      </rPr>
      <t>, 19% SG</t>
    </r>
  </si>
  <si>
    <t>Coby White</t>
  </si>
  <si>
    <t>2019 Draft (#7 pick)</t>
  </si>
  <si>
    <r>
      <t>12% PG,</t>
    </r>
    <r>
      <rPr>
        <u/>
        <sz val="12"/>
        <color theme="1"/>
        <rFont val="Calibri (Body)"/>
      </rPr>
      <t xml:space="preserve"> 71% SG</t>
    </r>
    <r>
      <rPr>
        <sz val="12"/>
        <color theme="1"/>
        <rFont val="Calibri"/>
        <family val="2"/>
        <scheme val="minor"/>
      </rPr>
      <t>, 17% SF</t>
    </r>
  </si>
  <si>
    <t>Lauri Markkanen</t>
  </si>
  <si>
    <t>2017 Draft (#7 pick)</t>
  </si>
  <si>
    <r>
      <rPr>
        <u/>
        <sz val="12"/>
        <color theme="1"/>
        <rFont val="Calibri (Body)"/>
      </rPr>
      <t>78% PF</t>
    </r>
    <r>
      <rPr>
        <sz val="12"/>
        <color theme="1"/>
        <rFont val="Calibri"/>
        <family val="2"/>
        <scheme val="minor"/>
      </rPr>
      <t>, 22% C</t>
    </r>
  </si>
  <si>
    <t>Wendell Carter Jr.</t>
  </si>
  <si>
    <t>2018 Draft (#7 pick)</t>
  </si>
  <si>
    <t>2016 Draft (#14 pick)</t>
  </si>
  <si>
    <r>
      <t xml:space="preserve">22% SG, </t>
    </r>
    <r>
      <rPr>
        <u/>
        <sz val="12"/>
        <color theme="1"/>
        <rFont val="Calibri (Body)"/>
      </rPr>
      <t>76% SF</t>
    </r>
    <r>
      <rPr>
        <sz val="12"/>
        <color theme="1"/>
        <rFont val="Calibri"/>
        <family val="2"/>
        <scheme val="minor"/>
      </rPr>
      <t>, 3% PF</t>
    </r>
  </si>
  <si>
    <t>Ryan Arcidiacano</t>
  </si>
  <si>
    <t>Villanova</t>
  </si>
  <si>
    <t>Signed on 7/25/17</t>
  </si>
  <si>
    <t>Chandler Hutchison</t>
  </si>
  <si>
    <t>Boise State</t>
  </si>
  <si>
    <t>2018 Draft (#22 pick)</t>
  </si>
  <si>
    <r>
      <rPr>
        <u/>
        <sz val="12"/>
        <color theme="1"/>
        <rFont val="Calibri (Body)"/>
      </rPr>
      <t>61% SF</t>
    </r>
    <r>
      <rPr>
        <sz val="12"/>
        <color theme="1"/>
        <rFont val="Calibri"/>
        <family val="2"/>
        <scheme val="minor"/>
      </rPr>
      <t>, 39% PF</t>
    </r>
  </si>
  <si>
    <t>Luke Kornet</t>
  </si>
  <si>
    <t>Vanderbilt</t>
  </si>
  <si>
    <t>Signed on 7/18/19</t>
  </si>
  <si>
    <t>Tulsa</t>
  </si>
  <si>
    <t>Signed on 10/21/18</t>
  </si>
  <si>
    <r>
      <t xml:space="preserve">11% SG, </t>
    </r>
    <r>
      <rPr>
        <u/>
        <sz val="12"/>
        <color theme="1"/>
        <rFont val="Calibri (Body)"/>
      </rPr>
      <t>69% SF</t>
    </r>
    <r>
      <rPr>
        <sz val="12"/>
        <color theme="1"/>
        <rFont val="Calibri"/>
        <family val="2"/>
        <scheme val="minor"/>
      </rPr>
      <t>, 20% PF</t>
    </r>
  </si>
  <si>
    <t>Daniel Gafford</t>
  </si>
  <si>
    <t>Arkansas</t>
  </si>
  <si>
    <t>2019 Draft (#38 pick)</t>
  </si>
  <si>
    <r>
      <t xml:space="preserve">2% PF, </t>
    </r>
    <r>
      <rPr>
        <u/>
        <sz val="12"/>
        <color theme="1"/>
        <rFont val="Calibri (Body)"/>
      </rPr>
      <t>98% C</t>
    </r>
  </si>
  <si>
    <t>Adam Mokoka</t>
  </si>
  <si>
    <t>Mega Basket (Serbia)</t>
  </si>
  <si>
    <t>Signed on 7/2/19</t>
  </si>
  <si>
    <r>
      <t xml:space="preserve">27% SG, </t>
    </r>
    <r>
      <rPr>
        <u/>
        <sz val="12"/>
        <color theme="1"/>
        <rFont val="Calibri (Body)"/>
      </rPr>
      <t>71% SF</t>
    </r>
    <r>
      <rPr>
        <sz val="12"/>
        <color theme="1"/>
        <rFont val="Calibri"/>
        <family val="2"/>
        <scheme val="minor"/>
      </rPr>
      <t>, 2% PF</t>
    </r>
  </si>
  <si>
    <t>Max Strus</t>
  </si>
  <si>
    <t>Signed on 10/22/19</t>
  </si>
  <si>
    <t>100% SG</t>
  </si>
  <si>
    <t>Jim Boylen</t>
  </si>
  <si>
    <t>2021 2nd from New Orleans (right to swap)</t>
  </si>
  <si>
    <t>2022 2nd from Detroit (complicated, but some unfavorable right to swap)</t>
  </si>
  <si>
    <t>2023 2nd to Washington (for sure)</t>
  </si>
  <si>
    <t>13th in East</t>
  </si>
  <si>
    <t>Fred Hoiberg / Jim Boylen</t>
  </si>
  <si>
    <t>Fred Hoiberg</t>
  </si>
  <si>
    <t>Lost to BOS in first round (4-2)</t>
  </si>
  <si>
    <t>Beat MIL in first round (4-2), lost to CLE in semifinals (4-2)</t>
  </si>
  <si>
    <t>Tom Thibodeau</t>
  </si>
  <si>
    <t>Lost to WSH in first round (4-1)</t>
  </si>
  <si>
    <t>Beat BKN in first round (4-3), lost to MIA in semifinals (4-1)</t>
  </si>
  <si>
    <t>Lost to PHI in first round (4-2)</t>
  </si>
  <si>
    <t>Beat IND in first round (4-1), beat ATL in semifinals (4-2), lost to MIA in ECF (4-1)</t>
  </si>
  <si>
    <t>Kevin Love</t>
  </si>
  <si>
    <t>Traded from MIN on 8/23/14</t>
  </si>
  <si>
    <r>
      <rPr>
        <sz val="12"/>
        <color theme="1"/>
        <rFont val="Calibri (Body)"/>
      </rPr>
      <t xml:space="preserve">5% SF, </t>
    </r>
    <r>
      <rPr>
        <u/>
        <sz val="12"/>
        <color theme="1"/>
        <rFont val="Calibri (Body)"/>
      </rPr>
      <t>94% PF</t>
    </r>
    <r>
      <rPr>
        <sz val="12"/>
        <color theme="1"/>
        <rFont val="Calibri (Body)"/>
      </rPr>
      <t>, 2% C</t>
    </r>
  </si>
  <si>
    <t>2012 Draft (#9 pick)</t>
  </si>
  <si>
    <t>Bird Rights (DET)</t>
  </si>
  <si>
    <r>
      <t xml:space="preserve">1% PF, </t>
    </r>
    <r>
      <rPr>
        <u/>
        <sz val="12"/>
        <color theme="1"/>
        <rFont val="Calibri (Body)"/>
      </rPr>
      <t>99% C</t>
    </r>
  </si>
  <si>
    <t>Larry Nance Jr.</t>
  </si>
  <si>
    <t>Wyoming</t>
  </si>
  <si>
    <t>Traded from LAL on 2/8/18</t>
  </si>
  <si>
    <r>
      <t xml:space="preserve">45% PF, </t>
    </r>
    <r>
      <rPr>
        <u/>
        <sz val="12"/>
        <color theme="1"/>
        <rFont val="Calibri (Body)"/>
      </rPr>
      <t>55% C</t>
    </r>
  </si>
  <si>
    <t>Saint Mary's</t>
  </si>
  <si>
    <t>Traded from MIL on 12/7/18</t>
  </si>
  <si>
    <r>
      <rPr>
        <u/>
        <sz val="12"/>
        <color theme="1"/>
        <rFont val="Calibri (Body)"/>
      </rPr>
      <t>84% PG</t>
    </r>
    <r>
      <rPr>
        <sz val="12"/>
        <color theme="1"/>
        <rFont val="Calibri"/>
        <family val="2"/>
        <scheme val="minor"/>
      </rPr>
      <t>, 14% SG, 2% SF</t>
    </r>
  </si>
  <si>
    <t>Lake Ginninderra (Australia)</t>
  </si>
  <si>
    <t>Traded from UTA on 12/24/19</t>
  </si>
  <si>
    <t>Bird Rights (UTA)</t>
  </si>
  <si>
    <t>$500,000 annual likely incentives (offseason conditioning, body fat weigh-in), $1,400,000 annual unlikely incentives (unknown)</t>
  </si>
  <si>
    <r>
      <t xml:space="preserve">4% PG, </t>
    </r>
    <r>
      <rPr>
        <u/>
        <sz val="12"/>
        <color theme="1"/>
        <rFont val="Calibri (Body)"/>
      </rPr>
      <t>77% SG</t>
    </r>
    <r>
      <rPr>
        <sz val="12"/>
        <color theme="1"/>
        <rFont val="Calibri"/>
        <family val="2"/>
        <scheme val="minor"/>
      </rPr>
      <t>, 19% SF, 1% PF</t>
    </r>
  </si>
  <si>
    <t>Darius Garland</t>
  </si>
  <si>
    <t>2019 Draft (#5 pick)</t>
  </si>
  <si>
    <t>Collin Sexton</t>
  </si>
  <si>
    <t>Alabama</t>
  </si>
  <si>
    <t>2018 Draft (#8 pick)</t>
  </si>
  <si>
    <r>
      <t xml:space="preserve">22% PG, </t>
    </r>
    <r>
      <rPr>
        <u/>
        <sz val="12"/>
        <color theme="1"/>
        <rFont val="Calibri (Body)"/>
      </rPr>
      <t>77% SG</t>
    </r>
    <r>
      <rPr>
        <sz val="12"/>
        <color theme="1"/>
        <rFont val="Calibri"/>
        <family val="2"/>
        <scheme val="minor"/>
      </rPr>
      <t>, 1% SF</t>
    </r>
  </si>
  <si>
    <t>Cedi Osman</t>
  </si>
  <si>
    <t>Anadolu Efes (Turkey)</t>
  </si>
  <si>
    <t>Signed on 7/18/17</t>
  </si>
  <si>
    <r>
      <t xml:space="preserve">4% SG, </t>
    </r>
    <r>
      <rPr>
        <u/>
        <sz val="12"/>
        <color theme="1"/>
        <rFont val="Calibri (Body)"/>
      </rPr>
      <t>87% SF</t>
    </r>
    <r>
      <rPr>
        <sz val="12"/>
        <color theme="1"/>
        <rFont val="Calibri"/>
        <family val="2"/>
        <scheme val="minor"/>
      </rPr>
      <t>, 9% PF</t>
    </r>
  </si>
  <si>
    <t>Darussafaka (Turkey)</t>
  </si>
  <si>
    <t>Traded from BOS on 8/22/17</t>
  </si>
  <si>
    <t>Dylan Windler</t>
  </si>
  <si>
    <t>Belmont</t>
  </si>
  <si>
    <t>2019 Draft (#26 pick)</t>
  </si>
  <si>
    <r>
      <t xml:space="preserve">1% SG, </t>
    </r>
    <r>
      <rPr>
        <u/>
        <sz val="12"/>
        <color theme="1"/>
        <rFont val="Calibri (Body)"/>
      </rPr>
      <t>57% SF</t>
    </r>
    <r>
      <rPr>
        <sz val="12"/>
        <color theme="1"/>
        <rFont val="Calibri"/>
        <family val="2"/>
        <scheme val="minor"/>
      </rPr>
      <t>, 42% PF</t>
    </r>
  </si>
  <si>
    <t>Rayos de Hermosillo (Mexico)</t>
  </si>
  <si>
    <t>Claimed off waivers on 10/21/19</t>
  </si>
  <si>
    <r>
      <t xml:space="preserve">24% SG, </t>
    </r>
    <r>
      <rPr>
        <u/>
        <sz val="12"/>
        <color theme="1"/>
        <rFont val="Calibri (Body)"/>
      </rPr>
      <t>76% SF</t>
    </r>
  </si>
  <si>
    <t>Kevin Porter Jr.</t>
  </si>
  <si>
    <t>2019 Draft (#30 pick)</t>
  </si>
  <si>
    <r>
      <rPr>
        <u/>
        <sz val="12"/>
        <color theme="1"/>
        <rFont val="Calibri (Body)"/>
      </rPr>
      <t>84% PF</t>
    </r>
    <r>
      <rPr>
        <sz val="12"/>
        <color theme="1"/>
        <rFont val="Calibri"/>
        <family val="2"/>
        <scheme val="minor"/>
      </rPr>
      <t>, 17% C</t>
    </r>
  </si>
  <si>
    <t>Dean Wade</t>
  </si>
  <si>
    <t>Kansas State</t>
  </si>
  <si>
    <t>Signed on 7/9/19</t>
  </si>
  <si>
    <r>
      <rPr>
        <u/>
        <sz val="12"/>
        <color theme="1"/>
        <rFont val="Calibri (Body)"/>
      </rPr>
      <t>84% SG</t>
    </r>
    <r>
      <rPr>
        <sz val="12"/>
        <color theme="1"/>
        <rFont val="Calibri"/>
        <family val="2"/>
        <scheme val="minor"/>
      </rPr>
      <t>, 14% SF</t>
    </r>
  </si>
  <si>
    <t>Matt Mooney</t>
  </si>
  <si>
    <t>Texas Tech</t>
  </si>
  <si>
    <t>Miami FL</t>
  </si>
  <si>
    <t>Signed on 3/8/20</t>
  </si>
  <si>
    <t>J.B. Bickerstaff</t>
  </si>
  <si>
    <t>2022 2nd from Houston (unprotected)</t>
  </si>
  <si>
    <t>2022 2nd from Washington (unprotected)</t>
  </si>
  <si>
    <t>2022 2nd from San Antonio (unprotected)</t>
  </si>
  <si>
    <t>2023 2nd from Golden State (will receive more favorable of own pick and GSW pick)</t>
  </si>
  <si>
    <t>2024 2nd to Utah (UTA has right to swap)</t>
  </si>
  <si>
    <t>John Beilein / JB Bickerstaff</t>
  </si>
  <si>
    <t>Tyronn Lue / Larry Drew</t>
  </si>
  <si>
    <t>Tyronn Lue</t>
  </si>
  <si>
    <t>Beat IND in first round (4-3), beat TOR in semifinals (4-0), beat BOS in ECF (4-3), lost to GSW in NBA Finals (4-0)</t>
  </si>
  <si>
    <t>Beat IND in first round (4-0), beat TOR in semifinals (4-0), beat BOS in ECF (4-1), lost to GSW in NBA Finals (4-1)</t>
  </si>
  <si>
    <t>David Blatt / Tyronn Lue</t>
  </si>
  <si>
    <t>Beat DET in first round (4-0), beat ATL in semifinals (4-0), beat TOR in ECF (4-2), beat GSW in NBA Finals (4-3)</t>
  </si>
  <si>
    <t>David Blatt</t>
  </si>
  <si>
    <t>Beat BOS in first round (4-0), beat CHI in semifinals (4-2), beat ATL in ECF (4-0), lost to GSW in NBA Finals (4-2)</t>
  </si>
  <si>
    <t>Mike Brown</t>
  </si>
  <si>
    <t>Byron Scott</t>
  </si>
  <si>
    <t>10 Year Record</t>
  </si>
  <si>
    <t>With LeBron</t>
  </si>
  <si>
    <t>Without LeBron</t>
  </si>
  <si>
    <t>Kristaps Porzingis</t>
  </si>
  <si>
    <t>Traded from NYK on 1/31/19</t>
  </si>
  <si>
    <r>
      <rPr>
        <u/>
        <sz val="12"/>
        <color theme="1"/>
        <rFont val="Calibri (Body)"/>
      </rPr>
      <t>69% PF</t>
    </r>
    <r>
      <rPr>
        <sz val="12"/>
        <color theme="1"/>
        <rFont val="Calibri"/>
        <family val="2"/>
        <scheme val="minor"/>
      </rPr>
      <t>, 31% C</t>
    </r>
  </si>
  <si>
    <t>15% trade kicker (activated)</t>
  </si>
  <si>
    <r>
      <t xml:space="preserve">45% SG, </t>
    </r>
    <r>
      <rPr>
        <u/>
        <sz val="12"/>
        <color theme="1"/>
        <rFont val="Calibri (Body)"/>
      </rPr>
      <t>54% SF</t>
    </r>
    <r>
      <rPr>
        <sz val="12"/>
        <color theme="1"/>
        <rFont val="Calibri"/>
        <family val="2"/>
        <scheme val="minor"/>
      </rPr>
      <t>, 1% PF</t>
    </r>
  </si>
  <si>
    <t>Western Kentucky</t>
  </si>
  <si>
    <r>
      <t xml:space="preserve">17% SG, </t>
    </r>
    <r>
      <rPr>
        <u/>
        <sz val="12"/>
        <color theme="1"/>
        <rFont val="Calibri (Body)"/>
      </rPr>
      <t>77% SF</t>
    </r>
    <r>
      <rPr>
        <sz val="12"/>
        <color theme="1"/>
        <rFont val="Calibri"/>
        <family val="2"/>
        <scheme val="minor"/>
      </rPr>
      <t>, 6% PF</t>
    </r>
  </si>
  <si>
    <t>Dwight Powell</t>
  </si>
  <si>
    <t>Stanford</t>
  </si>
  <si>
    <t>Traded from BOS on 12/18/14</t>
  </si>
  <si>
    <r>
      <t xml:space="preserve">30% PF, </t>
    </r>
    <r>
      <rPr>
        <u/>
        <sz val="12"/>
        <color theme="1"/>
        <rFont val="Calibri (Body)"/>
      </rPr>
      <t>70% C</t>
    </r>
  </si>
  <si>
    <t>Utah</t>
  </si>
  <si>
    <t>Signed-and-traded from MEM on 7/8/19</t>
  </si>
  <si>
    <r>
      <t xml:space="preserve">7% PG, </t>
    </r>
    <r>
      <rPr>
        <u/>
        <sz val="12"/>
        <color theme="1"/>
        <rFont val="Calibri (Body)"/>
      </rPr>
      <t>64% SG</t>
    </r>
    <r>
      <rPr>
        <sz val="12"/>
        <color theme="1"/>
        <rFont val="Calibri"/>
        <family val="2"/>
        <scheme val="minor"/>
      </rPr>
      <t>, 28% SF, 1% PF</t>
    </r>
  </si>
  <si>
    <t>Bayern Munich (Germany)</t>
  </si>
  <si>
    <t>Signed on 7/13/17</t>
  </si>
  <si>
    <r>
      <t xml:space="preserve">13% PF, </t>
    </r>
    <r>
      <rPr>
        <u/>
        <sz val="12"/>
        <color theme="1"/>
        <rFont val="Calibri (Body)"/>
      </rPr>
      <t>87% C</t>
    </r>
  </si>
  <si>
    <t>Luka Doncic</t>
  </si>
  <si>
    <t>Real Madrid (Spain)</t>
  </si>
  <si>
    <t>2018 Draft (#3 pick)</t>
  </si>
  <si>
    <t>Seth Curry</t>
  </si>
  <si>
    <t>Signed on 7/10/19</t>
  </si>
  <si>
    <r>
      <t xml:space="preserve">22% PG, </t>
    </r>
    <r>
      <rPr>
        <u/>
        <sz val="12"/>
        <color theme="1"/>
        <rFont val="Calibri (Body)"/>
      </rPr>
      <t>72% SG</t>
    </r>
    <r>
      <rPr>
        <sz val="12"/>
        <color theme="1"/>
        <rFont val="Calibri"/>
        <family val="2"/>
        <scheme val="minor"/>
      </rPr>
      <t>, 6% SF</t>
    </r>
  </si>
  <si>
    <t>Dorian Finney-Smith</t>
  </si>
  <si>
    <t>Signed on 7/8/16</t>
  </si>
  <si>
    <r>
      <rPr>
        <u/>
        <sz val="12"/>
        <color theme="1"/>
        <rFont val="Calibri (Body)"/>
      </rPr>
      <t>50% SF</t>
    </r>
    <r>
      <rPr>
        <sz val="12"/>
        <color theme="1"/>
        <rFont val="Calibri"/>
        <family val="2"/>
        <scheme val="minor"/>
      </rPr>
      <t>, 48% PF, 2% C</t>
    </r>
  </si>
  <si>
    <t>Boban Marjanovic</t>
  </si>
  <si>
    <t>Crvena Zvezda (Serbia)</t>
  </si>
  <si>
    <t>Year 1/2 of 2 yr/$7M from 2019 offseason</t>
  </si>
  <si>
    <t>Justin Jackson</t>
  </si>
  <si>
    <r>
      <t xml:space="preserve">1% SG, 41% SF, </t>
    </r>
    <r>
      <rPr>
        <u/>
        <sz val="12"/>
        <color theme="1"/>
        <rFont val="Calibri (Body)"/>
      </rPr>
      <t>56% PF</t>
    </r>
    <r>
      <rPr>
        <sz val="12"/>
        <color theme="1"/>
        <rFont val="Calibri"/>
        <family val="2"/>
        <scheme val="minor"/>
      </rPr>
      <t>, 2% C</t>
    </r>
  </si>
  <si>
    <t>Traded from GSW on 1/25/20</t>
  </si>
  <si>
    <r>
      <t xml:space="preserve">5% PF, </t>
    </r>
    <r>
      <rPr>
        <u/>
        <sz val="12"/>
        <color theme="1"/>
        <rFont val="Calibri (Body)"/>
      </rPr>
      <t>95% C</t>
    </r>
  </si>
  <si>
    <t>Cangrejeros de Santurce</t>
  </si>
  <si>
    <t>Signed on 10/29/14</t>
  </si>
  <si>
    <t>Jalen Brunson</t>
  </si>
  <si>
    <t>2018 Draft (#33 pick)</t>
  </si>
  <si>
    <r>
      <rPr>
        <u/>
        <sz val="12"/>
        <color theme="1"/>
        <rFont val="Calibri (Body)"/>
      </rPr>
      <t>96% PG</t>
    </r>
    <r>
      <rPr>
        <sz val="12"/>
        <color theme="1"/>
        <rFont val="Calibri"/>
        <family val="2"/>
        <scheme val="minor"/>
      </rPr>
      <t>, 4% SG</t>
    </r>
  </si>
  <si>
    <t>Signed on 2/11/20</t>
  </si>
  <si>
    <r>
      <t xml:space="preserve">32% SF, </t>
    </r>
    <r>
      <rPr>
        <u/>
        <sz val="12"/>
        <color theme="1"/>
        <rFont val="Calibri (Body)"/>
      </rPr>
      <t>68% PF</t>
    </r>
  </si>
  <si>
    <t>Antonius Cleveland</t>
  </si>
  <si>
    <t>Southeast Missouri State</t>
  </si>
  <si>
    <t>Signed on 7/24/19</t>
  </si>
  <si>
    <r>
      <t xml:space="preserve">12% PG, 6% SG, </t>
    </r>
    <r>
      <rPr>
        <u/>
        <sz val="12"/>
        <color theme="1"/>
        <rFont val="Calibri (Body)"/>
      </rPr>
      <t>82% SF</t>
    </r>
  </si>
  <si>
    <t>Josh Reaves</t>
  </si>
  <si>
    <t>Penn State</t>
  </si>
  <si>
    <t>Signed on 7/29/19</t>
  </si>
  <si>
    <t>7th in West</t>
  </si>
  <si>
    <t>Rick Carlilse</t>
  </si>
  <si>
    <t>2021 1st to New York (unprotected)</t>
  </si>
  <si>
    <t>14th in West</t>
  </si>
  <si>
    <t>13th in West</t>
  </si>
  <si>
    <t>11th in West</t>
  </si>
  <si>
    <t>6th in West</t>
  </si>
  <si>
    <t>Lost to OKC in first round (4-1)</t>
  </si>
  <si>
    <t>Lost to HOU in first round (4-1)</t>
  </si>
  <si>
    <t>8th in West</t>
  </si>
  <si>
    <t>Lost to SAS in first round (4-3)</t>
  </si>
  <si>
    <t>10th in West</t>
  </si>
  <si>
    <t>Lost to OKC in first round (4-0)</t>
  </si>
  <si>
    <t>3rd in West</t>
  </si>
  <si>
    <t>Beat POR in first round (4-2), Beat LAL in semifinals (4-0), beat OKC in WCF (4-1), beat MIA in NBA Finals (4-2)</t>
  </si>
  <si>
    <t>Louisiana Tech</t>
  </si>
  <si>
    <r>
      <t xml:space="preserve">3% PF, </t>
    </r>
    <r>
      <rPr>
        <u/>
        <sz val="12"/>
        <color theme="1"/>
        <rFont val="Calibri (Body)"/>
      </rPr>
      <t>94% PF</t>
    </r>
    <r>
      <rPr>
        <sz val="12"/>
        <color theme="1"/>
        <rFont val="Calibri"/>
        <family val="2"/>
        <scheme val="minor"/>
      </rPr>
      <t>, 4% C</t>
    </r>
  </si>
  <si>
    <t>2014 Draft (#19 pick)</t>
  </si>
  <si>
    <r>
      <t xml:space="preserve">3% PG, </t>
    </r>
    <r>
      <rPr>
        <u/>
        <sz val="12"/>
        <color theme="1"/>
        <rFont val="Calibri (Body)"/>
      </rPr>
      <t>84% SG</t>
    </r>
    <r>
      <rPr>
        <sz val="12"/>
        <color theme="1"/>
        <rFont val="Calibri"/>
        <family val="2"/>
        <scheme val="minor"/>
      </rPr>
      <t>, 13% SF</t>
    </r>
  </si>
  <si>
    <t>Will Barton</t>
  </si>
  <si>
    <t>Traded from POR on 2/19/15</t>
  </si>
  <si>
    <r>
      <t xml:space="preserve">28% SG, </t>
    </r>
    <r>
      <rPr>
        <u/>
        <sz val="12"/>
        <color theme="1"/>
        <rFont val="Calibri (Body)"/>
      </rPr>
      <t>71% SF</t>
    </r>
    <r>
      <rPr>
        <sz val="12"/>
        <color theme="1"/>
        <rFont val="Calibri"/>
        <family val="2"/>
        <scheme val="minor"/>
      </rPr>
      <t>, 1% PF</t>
    </r>
  </si>
  <si>
    <t>Syracuse</t>
  </si>
  <si>
    <t>Bird Rights (OKC)</t>
  </si>
  <si>
    <r>
      <t xml:space="preserve">2% SG, 31% SF, </t>
    </r>
    <r>
      <rPr>
        <u/>
        <sz val="12"/>
        <color theme="1"/>
        <rFont val="Calibri (Body)"/>
      </rPr>
      <t>67% PF</t>
    </r>
    <r>
      <rPr>
        <sz val="12"/>
        <color theme="1"/>
        <rFont val="Calibri"/>
        <family val="2"/>
        <scheme val="minor"/>
      </rPr>
      <t>, 1% C</t>
    </r>
  </si>
  <si>
    <t>Jamal Murray</t>
  </si>
  <si>
    <t>2016 Draft (#7 pick)</t>
  </si>
  <si>
    <r>
      <rPr>
        <u/>
        <sz val="12"/>
        <color theme="1"/>
        <rFont val="Calibri (Body)"/>
      </rPr>
      <t>84% PG</t>
    </r>
    <r>
      <rPr>
        <sz val="12"/>
        <color theme="1"/>
        <rFont val="Calibri"/>
        <family val="2"/>
        <scheme val="minor"/>
      </rPr>
      <t>, 16% SG</t>
    </r>
  </si>
  <si>
    <t>Michael Porter Jr.</t>
  </si>
  <si>
    <t>Missouri</t>
  </si>
  <si>
    <t>2018 Draft (#14 pick)</t>
  </si>
  <si>
    <r>
      <t xml:space="preserve">3% SF, </t>
    </r>
    <r>
      <rPr>
        <u/>
        <sz val="12"/>
        <color theme="1"/>
        <rFont val="Calibri (Body)"/>
      </rPr>
      <t>84% PF</t>
    </r>
    <r>
      <rPr>
        <sz val="12"/>
        <color theme="1"/>
        <rFont val="Calibri"/>
        <family val="2"/>
        <scheme val="minor"/>
      </rPr>
      <t>, 13% C</t>
    </r>
  </si>
  <si>
    <t>Gold Coast Rollers (Australia)</t>
  </si>
  <si>
    <t>Signed on 7/19/17</t>
  </si>
  <si>
    <r>
      <t xml:space="preserve">6% SG, </t>
    </r>
    <r>
      <rPr>
        <u/>
        <sz val="12"/>
        <color theme="1"/>
        <rFont val="Calibri (Body)"/>
      </rPr>
      <t>88% SF</t>
    </r>
    <r>
      <rPr>
        <sz val="12"/>
        <color theme="1"/>
        <rFont val="Calibri"/>
        <family val="2"/>
        <scheme val="minor"/>
      </rPr>
      <t>, 6% PF</t>
    </r>
  </si>
  <si>
    <r>
      <rPr>
        <sz val="12"/>
        <color theme="1"/>
        <rFont val="Calibri (Body)"/>
      </rPr>
      <t xml:space="preserve">7% PF, </t>
    </r>
    <r>
      <rPr>
        <u/>
        <sz val="12"/>
        <color theme="1"/>
        <rFont val="Calibri (Body)"/>
      </rPr>
      <t>93% C</t>
    </r>
  </si>
  <si>
    <t>2017 Draft (#51 pick)</t>
  </si>
  <si>
    <t>Tax MLE</t>
  </si>
  <si>
    <t>Ohio State</t>
  </si>
  <si>
    <t>Year 2/3 of 3 yr/$4M from 2019 offseason</t>
  </si>
  <si>
    <r>
      <t xml:space="preserve">1% SG, 26% SF, </t>
    </r>
    <r>
      <rPr>
        <u/>
        <sz val="12"/>
        <color theme="1"/>
        <rFont val="Calibri (Body)"/>
      </rPr>
      <t>71% PF</t>
    </r>
    <r>
      <rPr>
        <sz val="12"/>
        <color theme="1"/>
        <rFont val="Calibri"/>
        <family val="2"/>
        <scheme val="minor"/>
      </rPr>
      <t>, 2% C</t>
    </r>
  </si>
  <si>
    <t>Vlatko Cancar</t>
  </si>
  <si>
    <t>San Pablo Burgos (Spain)</t>
  </si>
  <si>
    <t>2017 Draft (#49 pick)</t>
  </si>
  <si>
    <r>
      <t xml:space="preserve">10% SG, 24% SF, </t>
    </r>
    <r>
      <rPr>
        <u/>
        <sz val="12"/>
        <color theme="1"/>
        <rFont val="Calibri (Body)"/>
      </rPr>
      <t>48% PF</t>
    </r>
    <r>
      <rPr>
        <sz val="12"/>
        <color theme="1"/>
        <rFont val="Calibri"/>
        <family val="2"/>
        <scheme val="minor"/>
      </rPr>
      <t>, 18% C</t>
    </r>
  </si>
  <si>
    <t>Signed on 3/5/20</t>
  </si>
  <si>
    <r>
      <t xml:space="preserve">37% SG, </t>
    </r>
    <r>
      <rPr>
        <u/>
        <sz val="12"/>
        <color theme="1"/>
        <rFont val="Calibri (Body)"/>
      </rPr>
      <t>61% SF</t>
    </r>
    <r>
      <rPr>
        <sz val="12"/>
        <color theme="1"/>
        <rFont val="Calibri"/>
        <family val="2"/>
        <scheme val="minor"/>
      </rPr>
      <t>, 2% PF</t>
    </r>
  </si>
  <si>
    <t>P.J. Dozier</t>
  </si>
  <si>
    <t>South Carolina</t>
  </si>
  <si>
    <t>Signed on 8/12/19</t>
  </si>
  <si>
    <r>
      <rPr>
        <u/>
        <sz val="12"/>
        <color theme="1"/>
        <rFont val="Calibri (Body)"/>
      </rPr>
      <t>57% PG</t>
    </r>
    <r>
      <rPr>
        <sz val="12"/>
        <color theme="1"/>
        <rFont val="Calibri"/>
        <family val="2"/>
        <scheme val="minor"/>
      </rPr>
      <t>, 33% SG, 11% SF</t>
    </r>
  </si>
  <si>
    <t>Bol Bol</t>
  </si>
  <si>
    <t>Oregon</t>
  </si>
  <si>
    <t>2019 Draft (#44 pick)</t>
  </si>
  <si>
    <t>Mike Malone</t>
  </si>
  <si>
    <t>2021 2nd to Philadelphia (for sure)</t>
  </si>
  <si>
    <t>2nd in West</t>
  </si>
  <si>
    <t>Beat SAS in first round (4-3), lost to POR in semifinals (4-3)</t>
  </si>
  <si>
    <t>9th in West</t>
  </si>
  <si>
    <t>12th in West</t>
  </si>
  <si>
    <t>Brian Shaw / Melvin Hunt</t>
  </si>
  <si>
    <t>Brian Shaw</t>
  </si>
  <si>
    <t>George Karl</t>
  </si>
  <si>
    <t>Lost to GSW in first round (4-2)</t>
  </si>
  <si>
    <t>Lost to LAL in first round (4-3)</t>
  </si>
  <si>
    <t>5th in West</t>
  </si>
  <si>
    <t>Blake Griffin</t>
  </si>
  <si>
    <t>Traded from LAC on 1/29/18</t>
  </si>
  <si>
    <t>Bird Rights (LAC)</t>
  </si>
  <si>
    <t>15% Trade Kicker (activated, addl. $215,000 in each of first four seasons of contract)</t>
  </si>
  <si>
    <r>
      <rPr>
        <u/>
        <sz val="12"/>
        <color theme="1"/>
        <rFont val="Calibri (Body)"/>
      </rPr>
      <t>87% PF</t>
    </r>
    <r>
      <rPr>
        <sz val="12"/>
        <color theme="1"/>
        <rFont val="Calibri"/>
        <family val="2"/>
        <scheme val="minor"/>
      </rPr>
      <t>, 13% C</t>
    </r>
  </si>
  <si>
    <t>Traded from CLE on 2/6/20</t>
  </si>
  <si>
    <t>Bird Rights (PHX)</t>
  </si>
  <si>
    <r>
      <rPr>
        <u/>
        <sz val="12"/>
        <color theme="1"/>
        <rFont val="Calibri (Body)"/>
      </rPr>
      <t>95% PG</t>
    </r>
    <r>
      <rPr>
        <sz val="12"/>
        <color theme="1"/>
        <rFont val="Calibri"/>
        <family val="2"/>
        <scheme val="minor"/>
      </rPr>
      <t>, 5% SG</t>
    </r>
  </si>
  <si>
    <t>New Mexico</t>
  </si>
  <si>
    <t>Bird Rights (MIL)</t>
  </si>
  <si>
    <r>
      <t xml:space="preserve">25% SG, </t>
    </r>
    <r>
      <rPr>
        <u/>
        <sz val="12"/>
        <color theme="1"/>
        <rFont val="Calibri (Body)"/>
      </rPr>
      <t>69% SF</t>
    </r>
    <r>
      <rPr>
        <sz val="12"/>
        <color theme="1"/>
        <rFont val="Calibri"/>
        <family val="2"/>
        <scheme val="minor"/>
      </rPr>
      <t>, 6% PF</t>
    </r>
  </si>
  <si>
    <r>
      <rPr>
        <u/>
        <sz val="12"/>
        <color theme="1"/>
        <rFont val="Calibri (Body)"/>
      </rPr>
      <t>80% PF</t>
    </r>
    <r>
      <rPr>
        <sz val="12"/>
        <color theme="1"/>
        <rFont val="Calibri"/>
        <family val="2"/>
        <scheme val="minor"/>
      </rPr>
      <t>, 20% C</t>
    </r>
  </si>
  <si>
    <t>Signed on 7/6/17</t>
  </si>
  <si>
    <r>
      <t xml:space="preserve">31% PG, </t>
    </r>
    <r>
      <rPr>
        <u/>
        <sz val="12"/>
        <color theme="1"/>
        <rFont val="Calibri (Body)"/>
      </rPr>
      <t>66% SG</t>
    </r>
    <r>
      <rPr>
        <sz val="12"/>
        <color theme="1"/>
        <rFont val="Calibri"/>
        <family val="2"/>
        <scheme val="minor"/>
      </rPr>
      <t>, 3% SF</t>
    </r>
  </si>
  <si>
    <t>Derrick Rose</t>
  </si>
  <si>
    <r>
      <rPr>
        <u/>
        <sz val="12"/>
        <color theme="1"/>
        <rFont val="Calibri (Body)"/>
      </rPr>
      <t>98% PG</t>
    </r>
    <r>
      <rPr>
        <sz val="12"/>
        <color theme="1"/>
        <rFont val="Calibri"/>
        <family val="2"/>
        <scheme val="minor"/>
      </rPr>
      <t>, 2% SG</t>
    </r>
  </si>
  <si>
    <t>Luke Kennard</t>
  </si>
  <si>
    <r>
      <rPr>
        <u/>
        <sz val="12"/>
        <color theme="1"/>
        <rFont val="Calibri (Body)"/>
      </rPr>
      <t>53% SG</t>
    </r>
    <r>
      <rPr>
        <sz val="12"/>
        <color theme="1"/>
        <rFont val="Calibri"/>
        <family val="2"/>
        <scheme val="minor"/>
      </rPr>
      <t>, 47% SF</t>
    </r>
  </si>
  <si>
    <t>Orangeville Prep (Canada)</t>
  </si>
  <si>
    <t>Traded from MIL on 2/7/19</t>
  </si>
  <si>
    <r>
      <t xml:space="preserve">11% PF, </t>
    </r>
    <r>
      <rPr>
        <u/>
        <sz val="12"/>
        <color theme="1"/>
        <rFont val="Calibri (Body)"/>
      </rPr>
      <t>89% C</t>
    </r>
  </si>
  <si>
    <t>Sekou Doumbouya</t>
  </si>
  <si>
    <t>Limoges CSP (France)</t>
  </si>
  <si>
    <t>2019 Draft (#15 pick)</t>
  </si>
  <si>
    <r>
      <t xml:space="preserve">15% SF, </t>
    </r>
    <r>
      <rPr>
        <u/>
        <sz val="12"/>
        <color theme="1"/>
        <rFont val="Calibri (Body)"/>
      </rPr>
      <t>86% PF</t>
    </r>
  </si>
  <si>
    <t>UNLV</t>
  </si>
  <si>
    <r>
      <t xml:space="preserve">47% PF, </t>
    </r>
    <r>
      <rPr>
        <u/>
        <sz val="12"/>
        <color theme="1"/>
        <rFont val="Calibri (Body)"/>
      </rPr>
      <t>53% C</t>
    </r>
  </si>
  <si>
    <t>Melbourne United (Australia)</t>
  </si>
  <si>
    <t>Claimed off waivers on 3/4/20</t>
  </si>
  <si>
    <r>
      <t xml:space="preserve">4% PG, </t>
    </r>
    <r>
      <rPr>
        <u/>
        <sz val="12"/>
        <color theme="1"/>
        <rFont val="Calibri (Body)"/>
      </rPr>
      <t>70% SG</t>
    </r>
    <r>
      <rPr>
        <sz val="12"/>
        <color theme="1"/>
        <rFont val="Calibri"/>
        <family val="2"/>
        <scheme val="minor"/>
      </rPr>
      <t>, 26% SF</t>
    </r>
  </si>
  <si>
    <t>Creighton</t>
  </si>
  <si>
    <t>2018 Draft (#38 pick)</t>
  </si>
  <si>
    <r>
      <t xml:space="preserve">6% PG, 23% SG, </t>
    </r>
    <r>
      <rPr>
        <u/>
        <sz val="12"/>
        <color theme="1"/>
        <rFont val="Calibri (Body)"/>
      </rPr>
      <t>71% SF</t>
    </r>
  </si>
  <si>
    <r>
      <t xml:space="preserve">26% PG, </t>
    </r>
    <r>
      <rPr>
        <u/>
        <sz val="12"/>
        <color theme="1"/>
        <rFont val="Calibri (Body)"/>
      </rPr>
      <t>57% SG</t>
    </r>
    <r>
      <rPr>
        <sz val="12"/>
        <color theme="1"/>
        <rFont val="Calibri"/>
        <family val="2"/>
        <scheme val="minor"/>
      </rPr>
      <t>, 18% SF</t>
    </r>
  </si>
  <si>
    <t>Svi Mykhailiuk</t>
  </si>
  <si>
    <t>Traded from LAL on 2/6/19</t>
  </si>
  <si>
    <t>Cap Space (LAL)</t>
  </si>
  <si>
    <r>
      <t xml:space="preserve">3% SG, </t>
    </r>
    <r>
      <rPr>
        <u/>
        <sz val="12"/>
        <color theme="1"/>
        <rFont val="Calibri (Body)"/>
      </rPr>
      <t>85% SF</t>
    </r>
    <r>
      <rPr>
        <sz val="12"/>
        <color theme="1"/>
        <rFont val="Calibri"/>
        <family val="2"/>
        <scheme val="minor"/>
      </rPr>
      <t>, 11% PF</t>
    </r>
  </si>
  <si>
    <t>Louis King</t>
  </si>
  <si>
    <t>Signed on 7/4/19</t>
  </si>
  <si>
    <r>
      <t xml:space="preserve">32% SG, </t>
    </r>
    <r>
      <rPr>
        <u/>
        <sz val="12"/>
        <color theme="1"/>
        <rFont val="Calibri (Body)"/>
      </rPr>
      <t>67% SF</t>
    </r>
    <r>
      <rPr>
        <sz val="12"/>
        <color theme="1"/>
        <rFont val="Calibri"/>
        <family val="2"/>
        <scheme val="minor"/>
      </rPr>
      <t>, 1% PF</t>
    </r>
  </si>
  <si>
    <t>Jordan Bone</t>
  </si>
  <si>
    <t>2019 Draft (#57 pick)</t>
  </si>
  <si>
    <r>
      <rPr>
        <u/>
        <sz val="12"/>
        <color theme="1"/>
        <rFont val="Calibri (Body)"/>
      </rPr>
      <t>97% PG</t>
    </r>
    <r>
      <rPr>
        <sz val="12"/>
        <color theme="1"/>
        <rFont val="Calibri"/>
        <family val="2"/>
        <scheme val="minor"/>
      </rPr>
      <t>, 3% SG</t>
    </r>
  </si>
  <si>
    <t>Dwane Casey</t>
  </si>
  <si>
    <t>Lost to MIL in first round (4-0)</t>
  </si>
  <si>
    <t>Stan Van Gundy</t>
  </si>
  <si>
    <t>Maurice Cheeks / John Loyer</t>
  </si>
  <si>
    <t>Lawrence Frank</t>
  </si>
  <si>
    <t>John Kuester</t>
  </si>
  <si>
    <t>Stephen Curry</t>
  </si>
  <si>
    <t>Davidson</t>
  </si>
  <si>
    <t>2009 Draft (#7 pick)</t>
  </si>
  <si>
    <t>Klay Thompson</t>
  </si>
  <si>
    <t>Washington State</t>
  </si>
  <si>
    <t>2011 Draft (#11 pick)</t>
  </si>
  <si>
    <r>
      <t xml:space="preserve">7% PG, </t>
    </r>
    <r>
      <rPr>
        <u/>
        <sz val="12"/>
        <color theme="1"/>
        <rFont val="Calibri (Body)"/>
      </rPr>
      <t>80% SG</t>
    </r>
    <r>
      <rPr>
        <sz val="12"/>
        <color theme="1"/>
        <rFont val="Calibri"/>
        <family val="2"/>
        <scheme val="minor"/>
      </rPr>
      <t>, 13% SF, 1% PF</t>
    </r>
  </si>
  <si>
    <t>Andrew Wiggins</t>
  </si>
  <si>
    <t>Traded from MIN on 2/6/20</t>
  </si>
  <si>
    <t>Bird Rights (MIN)</t>
  </si>
  <si>
    <r>
      <t xml:space="preserve">17% SG, </t>
    </r>
    <r>
      <rPr>
        <u/>
        <sz val="12"/>
        <color theme="1"/>
        <rFont val="Calibri (Body)"/>
      </rPr>
      <t>80% SF</t>
    </r>
    <r>
      <rPr>
        <sz val="12"/>
        <color theme="1"/>
        <rFont val="Calibri"/>
        <family val="2"/>
        <scheme val="minor"/>
      </rPr>
      <t>, 2% PF</t>
    </r>
  </si>
  <si>
    <t>Draymond Green</t>
  </si>
  <si>
    <t>2012 Draft (#35 pick)</t>
  </si>
  <si>
    <r>
      <t xml:space="preserve">23% SF, </t>
    </r>
    <r>
      <rPr>
        <u/>
        <sz val="12"/>
        <color theme="1"/>
        <rFont val="Calibri (Body)"/>
      </rPr>
      <t>73% PF</t>
    </r>
    <r>
      <rPr>
        <sz val="12"/>
        <color theme="1"/>
        <rFont val="Calibri"/>
        <family val="2"/>
        <scheme val="minor"/>
      </rPr>
      <t>, 4% C</t>
    </r>
  </si>
  <si>
    <t>Kevon Looney</t>
  </si>
  <si>
    <t>2015 Draft (#30 pick)</t>
  </si>
  <si>
    <r>
      <t xml:space="preserve">12% PF, </t>
    </r>
    <r>
      <rPr>
        <u/>
        <sz val="12"/>
        <color theme="1"/>
        <rFont val="Calibri (Body)"/>
      </rPr>
      <t>88% C</t>
    </r>
  </si>
  <si>
    <t>Jordan Poole</t>
  </si>
  <si>
    <t>2019 Draft (#28 pick)</t>
  </si>
  <si>
    <r>
      <t xml:space="preserve">35% PG, </t>
    </r>
    <r>
      <rPr>
        <u/>
        <sz val="12"/>
        <color theme="1"/>
        <rFont val="Calibri (Body)"/>
      </rPr>
      <t>63% SG</t>
    </r>
    <r>
      <rPr>
        <sz val="12"/>
        <color theme="1"/>
        <rFont val="Calibri"/>
        <family val="2"/>
        <scheme val="minor"/>
      </rPr>
      <t>, 2% SF, 1% PF</t>
    </r>
  </si>
  <si>
    <t>Eric Paschall</t>
  </si>
  <si>
    <t>2019 Draft (#41 pick)</t>
  </si>
  <si>
    <r>
      <t xml:space="preserve">13% SF, </t>
    </r>
    <r>
      <rPr>
        <u/>
        <sz val="12"/>
        <color theme="1"/>
        <rFont val="Calibri (Body)"/>
      </rPr>
      <t>72% PF</t>
    </r>
    <r>
      <rPr>
        <sz val="12"/>
        <color theme="1"/>
        <rFont val="Calibri"/>
        <family val="2"/>
        <scheme val="minor"/>
      </rPr>
      <t>, 15% C</t>
    </r>
  </si>
  <si>
    <t>Alen Smailagic</t>
  </si>
  <si>
    <t>Santa Cruz Warriors</t>
  </si>
  <si>
    <t>2019 Draft (#39 pick)</t>
  </si>
  <si>
    <r>
      <t xml:space="preserve">15% PF, </t>
    </r>
    <r>
      <rPr>
        <u/>
        <sz val="12"/>
        <color theme="1"/>
        <rFont val="Calibri (Body)"/>
      </rPr>
      <t>85% C</t>
    </r>
  </si>
  <si>
    <t>Signed on 7/14/18</t>
  </si>
  <si>
    <t>Year 1/3 of 3 yr/$5M from 19-20 season</t>
  </si>
  <si>
    <r>
      <t xml:space="preserve">11% PG, </t>
    </r>
    <r>
      <rPr>
        <u/>
        <sz val="12"/>
        <color theme="1"/>
        <rFont val="Calibri (Body)"/>
      </rPr>
      <t>70% SG</t>
    </r>
    <r>
      <rPr>
        <sz val="12"/>
        <color theme="1"/>
        <rFont val="Calibri"/>
        <family val="2"/>
        <scheme val="minor"/>
      </rPr>
      <t>, 18% SF</t>
    </r>
  </si>
  <si>
    <t>Signed on 9/30/19</t>
  </si>
  <si>
    <t>Boston College</t>
  </si>
  <si>
    <t>Year 1/3 of 3 yr/$4M from 19-20 season</t>
  </si>
  <si>
    <t>Monterrey Royal Force (Mexico)</t>
  </si>
  <si>
    <r>
      <t>1% SG,</t>
    </r>
    <r>
      <rPr>
        <u/>
        <sz val="12"/>
        <color theme="1"/>
        <rFont val="Calibri (Body)"/>
      </rPr>
      <t xml:space="preserve"> 59% SF</t>
    </r>
    <r>
      <rPr>
        <sz val="12"/>
        <color theme="1"/>
        <rFont val="Calibri"/>
        <family val="2"/>
        <scheme val="minor"/>
      </rPr>
      <t>, 39% PF</t>
    </r>
  </si>
  <si>
    <t>Signed on 3/10/20</t>
  </si>
  <si>
    <t>Year 1/3 of 3 yr/$3M from 19-20 season</t>
  </si>
  <si>
    <r>
      <rPr>
        <u/>
        <sz val="12"/>
        <color theme="1"/>
        <rFont val="Calibri (Body)"/>
      </rPr>
      <t>87% PG</t>
    </r>
    <r>
      <rPr>
        <sz val="12"/>
        <color theme="1"/>
        <rFont val="Calibri"/>
        <family val="2"/>
        <scheme val="minor"/>
      </rPr>
      <t>, 9% SG, 3% SF</t>
    </r>
  </si>
  <si>
    <t>Steve Kerr</t>
  </si>
  <si>
    <t>GRIII/Burks trade</t>
  </si>
  <si>
    <t>2021 1st from Minnesota (protected 1-3, unprotected in 2022)</t>
  </si>
  <si>
    <t>D'Lo/Wiggins trade</t>
  </si>
  <si>
    <t>2021 2nd from Minnesota (unprotected)</t>
  </si>
  <si>
    <t>2021 2nd from Denver (unprotected)</t>
  </si>
  <si>
    <t>2022 2nd from Toronto (unprotected)</t>
  </si>
  <si>
    <t>2021 2nd to Utah (for sure)</t>
  </si>
  <si>
    <t>Smailagic draft night</t>
  </si>
  <si>
    <t>2023 2nd to Cleveland / Detroit (for sure)</t>
  </si>
  <si>
    <t>2024 1st to Memphis (protected 1-4 in 2024, 1 in 2025, unprotected in 2026)</t>
  </si>
  <si>
    <t>Iguodala salary dump</t>
  </si>
  <si>
    <t>2024 2nd to Houston (for sure)</t>
  </si>
  <si>
    <t>Paschall draft night</t>
  </si>
  <si>
    <t>2025 2nd to Brooklyn (for sure)</t>
  </si>
  <si>
    <t>Kevin Durant sign-and-trade, was 2020 top 20 protected 1st</t>
  </si>
  <si>
    <t>2026 2nd to Atlanta (for sure)</t>
  </si>
  <si>
    <t>Spellman for Jones</t>
  </si>
  <si>
    <t>15th in West</t>
  </si>
  <si>
    <t>1st in West</t>
  </si>
  <si>
    <t>Beat LAC in first round (4-2), Beat HOU in semifinals (4-2), Beat POR in WCF (4-0), lost to TOR in NBA Finals (4-2)</t>
  </si>
  <si>
    <t>Beat SAS in first round (4-1), Beat NOP in semifinals (4-1), Beat HOU in WCF (4-3), beat CLE in NBA Finals (4-0)</t>
  </si>
  <si>
    <t>Beat POR in first round (4-0), Beat UTA in semifinals (4-0), Beat SAS in WCF (4-0), beat CLE in NBA Finals (4-1)</t>
  </si>
  <si>
    <t>Beat HOU in first round (4-1), Beat POR in semifinals (4-1), Beat OKC in WCF (4-3), lost to CLE in NBA Finals (4-3)</t>
  </si>
  <si>
    <t>Beat NOP in first round (4-0), Beat MEM in semifinals (4-2), Beat HOU in WCF (4-1), beat CLE in NBA Finals (4-2)</t>
  </si>
  <si>
    <t>Mark Jackson</t>
  </si>
  <si>
    <t>Lost to LAC in first round (4-3)</t>
  </si>
  <si>
    <t>Beat DEN in first round (4-2), Lost to SAS in semifinals (4-2)</t>
  </si>
  <si>
    <t>Keith Smart</t>
  </si>
  <si>
    <t>Steve Kerr's record (79% not including 19-20 season)</t>
  </si>
  <si>
    <t>Mark Jackson / Keith Smart</t>
  </si>
  <si>
    <t>Russell Westbrook</t>
  </si>
  <si>
    <t>Traded from OKC on 7/16/19</t>
  </si>
  <si>
    <t>15% trade kicker (voided with OKC-HOU trade)</t>
  </si>
  <si>
    <t>James Harden</t>
  </si>
  <si>
    <t>Arizona State</t>
  </si>
  <si>
    <t>Traded from OKC on 10/27/12</t>
  </si>
  <si>
    <r>
      <t xml:space="preserve">1% PG, 40% SG, </t>
    </r>
    <r>
      <rPr>
        <u/>
        <sz val="12"/>
        <color theme="1"/>
        <rFont val="Calibri (Body)"/>
      </rPr>
      <t>55% SF</t>
    </r>
    <r>
      <rPr>
        <sz val="12"/>
        <color theme="1"/>
        <rFont val="Calibri"/>
        <family val="2"/>
        <scheme val="minor"/>
      </rPr>
      <t>, 5% PF</t>
    </r>
  </si>
  <si>
    <t>Signed on 7/9/16</t>
  </si>
  <si>
    <r>
      <t xml:space="preserve">10% SG, </t>
    </r>
    <r>
      <rPr>
        <u/>
        <sz val="12"/>
        <color theme="1"/>
        <rFont val="Calibri (Body)"/>
      </rPr>
      <t>49% SG</t>
    </r>
    <r>
      <rPr>
        <sz val="12"/>
        <color theme="1"/>
        <rFont val="Calibri"/>
        <family val="2"/>
        <scheme val="minor"/>
      </rPr>
      <t>, 34% SF, 7% PF</t>
    </r>
  </si>
  <si>
    <t>Robert Covington</t>
  </si>
  <si>
    <t>Tennessee State</t>
  </si>
  <si>
    <t>Bird Rights (PHI)</t>
  </si>
  <si>
    <t>PJ Tucker</t>
  </si>
  <si>
    <r>
      <t xml:space="preserve">1% SF, </t>
    </r>
    <r>
      <rPr>
        <u/>
        <sz val="12"/>
        <color theme="1"/>
        <rFont val="Calibri (Body)"/>
      </rPr>
      <t>71% PF</t>
    </r>
    <r>
      <rPr>
        <sz val="12"/>
        <color theme="1"/>
        <rFont val="Calibri"/>
        <family val="2"/>
        <scheme val="minor"/>
      </rPr>
      <t>, 28% C</t>
    </r>
  </si>
  <si>
    <t>Danuel House Jr.</t>
  </si>
  <si>
    <t>Signed on 11/26/18</t>
  </si>
  <si>
    <r>
      <t xml:space="preserve">1% SG, </t>
    </r>
    <r>
      <rPr>
        <u/>
        <sz val="12"/>
        <color theme="1"/>
        <rFont val="Calibri (Body)"/>
      </rPr>
      <t>60% SF</t>
    </r>
    <r>
      <rPr>
        <sz val="12"/>
        <color theme="1"/>
        <rFont val="Calibri"/>
        <family val="2"/>
        <scheme val="minor"/>
      </rPr>
      <t>, 38% PF, 1% C</t>
    </r>
  </si>
  <si>
    <r>
      <t xml:space="preserve">16% PG, </t>
    </r>
    <r>
      <rPr>
        <u/>
        <sz val="12"/>
        <color theme="1"/>
        <rFont val="Calibri (Body)"/>
      </rPr>
      <t>59% SG</t>
    </r>
    <r>
      <rPr>
        <sz val="12"/>
        <color theme="1"/>
        <rFont val="Calibri"/>
        <family val="2"/>
        <scheme val="minor"/>
      </rPr>
      <t>, 25% SF, 1% PF</t>
    </r>
  </si>
  <si>
    <t>Signed on 7/23/19</t>
  </si>
  <si>
    <r>
      <t xml:space="preserve">44% PG, </t>
    </r>
    <r>
      <rPr>
        <u/>
        <sz val="12"/>
        <color theme="1"/>
        <rFont val="Calibri (Body)"/>
      </rPr>
      <t>55% SG</t>
    </r>
    <r>
      <rPr>
        <sz val="12"/>
        <color theme="1"/>
        <rFont val="Calibri"/>
        <family val="2"/>
        <scheme val="minor"/>
      </rPr>
      <t>, 2% SF</t>
    </r>
  </si>
  <si>
    <t>Pinheiros Basquete (Brazil)</t>
  </si>
  <si>
    <t>Traded from MEM on 2/6/20</t>
  </si>
  <si>
    <r>
      <t>10% SF,</t>
    </r>
    <r>
      <rPr>
        <u/>
        <sz val="12"/>
        <color theme="1"/>
        <rFont val="Calibri (Body)"/>
      </rPr>
      <t xml:space="preserve"> 55% PF</t>
    </r>
    <r>
      <rPr>
        <sz val="12"/>
        <color theme="1"/>
        <rFont val="Calibri"/>
        <family val="2"/>
        <scheme val="minor"/>
      </rPr>
      <t>, 36% C</t>
    </r>
  </si>
  <si>
    <t>Dominguez HS</t>
  </si>
  <si>
    <t>Signed on 7/19/19</t>
  </si>
  <si>
    <t>Pallacanestro Biella (Italy)</t>
  </si>
  <si>
    <t>Signed on 9/23/19</t>
  </si>
  <si>
    <r>
      <t xml:space="preserve">5% SF, </t>
    </r>
    <r>
      <rPr>
        <u/>
        <sz val="12"/>
        <color theme="1"/>
        <rFont val="Calibri (Body)"/>
      </rPr>
      <t>78% PF</t>
    </r>
    <r>
      <rPr>
        <sz val="12"/>
        <color theme="1"/>
        <rFont val="Calibri"/>
        <family val="2"/>
        <scheme val="minor"/>
      </rPr>
      <t>, 17% C</t>
    </r>
  </si>
  <si>
    <t>Campbell - North Carolina</t>
  </si>
  <si>
    <t>Signed on 7/3/19</t>
  </si>
  <si>
    <t>Signed on 2/20/20</t>
  </si>
  <si>
    <r>
      <rPr>
        <sz val="12"/>
        <color theme="1"/>
        <rFont val="Calibri (Body)"/>
      </rPr>
      <t xml:space="preserve">44% SF, </t>
    </r>
    <r>
      <rPr>
        <u/>
        <sz val="12"/>
        <color theme="1"/>
        <rFont val="Calibri (Body)"/>
      </rPr>
      <t>56% PF</t>
    </r>
  </si>
  <si>
    <t>Michael Frazier</t>
  </si>
  <si>
    <t>Scaligera Basket Verona (Italy)</t>
  </si>
  <si>
    <t>Signed on 4/6/19</t>
  </si>
  <si>
    <t>34% PG, 50% SG, 16% SF</t>
  </si>
  <si>
    <t>William Howard</t>
  </si>
  <si>
    <t>Signed on 12/27/19</t>
  </si>
  <si>
    <t>Mike D'Antoni</t>
  </si>
  <si>
    <t>2021 2nd from Philadelphia (right to swap)</t>
  </si>
  <si>
    <t>2024 2nd from Golden State (unprotected)</t>
  </si>
  <si>
    <t>2021 1st to Oklahoma City (Houston receives least favorable of own pick, OKC pick, and Miami pick, Houston pick protected 1-4)</t>
  </si>
  <si>
    <t>2022 2nd to Cleveland (unprotected)</t>
  </si>
  <si>
    <t>2023 2nd to Memphis (MEM has right to swap, protected 31-32)</t>
  </si>
  <si>
    <t>2024 1st to Oklahoma City (protected 1-4, if not conveyed becomes 2024 and 2025 2nds)</t>
  </si>
  <si>
    <t>2025 1st to Oklahoma City (OKC has right to swap, Houston pick protected 1-10)</t>
  </si>
  <si>
    <t>2026 1st to Oklahoma City (protected 1-4, if not conveyed becomes 2026 2nd)</t>
  </si>
  <si>
    <t>4th in West</t>
  </si>
  <si>
    <t>Beat UTA in first round (4-1), lost to GSW in semifinals (4-2)</t>
  </si>
  <si>
    <t>Beat MIN in first round (4-1), beat UTA in semifinals (4-1), lost to GSW in WCF (4-3)</t>
  </si>
  <si>
    <t>Beat OKC in first round (4-1), lost to SAS in semifinals (4-2)</t>
  </si>
  <si>
    <t>Kevin McHale / JB Bickerstaff</t>
  </si>
  <si>
    <t>Lost to GSW in first round (4-1)</t>
  </si>
  <si>
    <t>Kevin McHale</t>
  </si>
  <si>
    <t>Beat DAL in first round (4-1), beat LAC in semifinals (4-3), lost to GSW in WCF (4-1)</t>
  </si>
  <si>
    <t>Lost to POR in first round (4-2)</t>
  </si>
  <si>
    <t>Lost to OKC in first round (4-2)</t>
  </si>
  <si>
    <t>Rick Adelman</t>
  </si>
  <si>
    <t>Traded from OKC on 7/6/17</t>
  </si>
  <si>
    <t>$250,000 annual unlikely incentives (regular / postseason games played)</t>
  </si>
  <si>
    <r>
      <rPr>
        <u/>
        <sz val="12"/>
        <color theme="1"/>
        <rFont val="Calibri (Body)"/>
      </rPr>
      <t>74% SG</t>
    </r>
    <r>
      <rPr>
        <sz val="12"/>
        <color theme="1"/>
        <rFont val="Calibri"/>
        <family val="2"/>
        <scheme val="minor"/>
      </rPr>
      <t>, 26% SF</t>
    </r>
  </si>
  <si>
    <t>Malcolm Brogdon</t>
  </si>
  <si>
    <t>Signed-and-traded from MIL on 7/6/19</t>
  </si>
  <si>
    <r>
      <rPr>
        <u/>
        <sz val="12"/>
        <color theme="1"/>
        <rFont val="Calibri (Body)"/>
      </rPr>
      <t>66% PG</t>
    </r>
    <r>
      <rPr>
        <sz val="12"/>
        <color theme="1"/>
        <rFont val="Calibri"/>
        <family val="2"/>
        <scheme val="minor"/>
      </rPr>
      <t>, 34% SG, 1% SF</t>
    </r>
  </si>
  <si>
    <t>2015 Draft (#11 pick)</t>
  </si>
  <si>
    <t>$500,000 annual likely incentives, $2,000,000 annual unlikely incentives</t>
  </si>
  <si>
    <t>T.J. Warren</t>
  </si>
  <si>
    <t>NC State</t>
  </si>
  <si>
    <t>Traded from PHX on 7/6/19</t>
  </si>
  <si>
    <r>
      <t xml:space="preserve">1% SG, </t>
    </r>
    <r>
      <rPr>
        <u/>
        <sz val="12"/>
        <color theme="1"/>
        <rFont val="Calibri (Body)"/>
      </rPr>
      <t>64% SF</t>
    </r>
    <r>
      <rPr>
        <sz val="12"/>
        <color theme="1"/>
        <rFont val="Calibri"/>
        <family val="2"/>
        <scheme val="minor"/>
      </rPr>
      <t>, 34% PF, 1% C</t>
    </r>
  </si>
  <si>
    <t>Jeremy Lamb</t>
  </si>
  <si>
    <r>
      <rPr>
        <u/>
        <sz val="12"/>
        <color theme="1"/>
        <rFont val="Calibri (Body)"/>
      </rPr>
      <t>95% SG</t>
    </r>
    <r>
      <rPr>
        <sz val="12"/>
        <color theme="1"/>
        <rFont val="Calibri"/>
        <family val="2"/>
        <scheme val="minor"/>
      </rPr>
      <t>, 5% SF</t>
    </r>
  </si>
  <si>
    <t>Doug McDermott</t>
  </si>
  <si>
    <t>Signed on 7/6/18</t>
  </si>
  <si>
    <r>
      <t xml:space="preserve">13% SF, </t>
    </r>
    <r>
      <rPr>
        <u/>
        <sz val="12"/>
        <color theme="1"/>
        <rFont val="Calibri (Body)"/>
      </rPr>
      <t>87% PF</t>
    </r>
    <r>
      <rPr>
        <sz val="12"/>
        <color theme="1"/>
        <rFont val="Calibri"/>
        <family val="2"/>
        <scheme val="minor"/>
      </rPr>
      <t>, 1% C</t>
    </r>
  </si>
  <si>
    <t>Szolnoki Olaj (Hungary)</t>
  </si>
  <si>
    <r>
      <t xml:space="preserve">22% SG, </t>
    </r>
    <r>
      <rPr>
        <u/>
        <sz val="12"/>
        <color theme="1"/>
        <rFont val="Calibri (Body)"/>
      </rPr>
      <t>76% SF</t>
    </r>
    <r>
      <rPr>
        <sz val="12"/>
        <color theme="1"/>
        <rFont val="Calibri"/>
        <family val="2"/>
        <scheme val="minor"/>
      </rPr>
      <t>, 2% PF</t>
    </r>
  </si>
  <si>
    <t>Gonzaga</t>
  </si>
  <si>
    <t>$1,300,000 annual likely incentives (All-Star), $1,300,000 annual unlikely incentives (All-NBA)</t>
  </si>
  <si>
    <r>
      <rPr>
        <u/>
        <sz val="12"/>
        <color theme="1"/>
        <rFont val="Calibri (Body)"/>
      </rPr>
      <t>53% PF</t>
    </r>
    <r>
      <rPr>
        <sz val="12"/>
        <color theme="1"/>
        <rFont val="Calibri"/>
        <family val="2"/>
        <scheme val="minor"/>
      </rPr>
      <t>, 47% C</t>
    </r>
  </si>
  <si>
    <r>
      <rPr>
        <u/>
        <sz val="12"/>
        <color theme="1"/>
        <rFont val="Calibri (Body)"/>
      </rPr>
      <t>60% PG</t>
    </r>
    <r>
      <rPr>
        <sz val="12"/>
        <color theme="1"/>
        <rFont val="Calibri"/>
        <family val="2"/>
        <scheme val="minor"/>
      </rPr>
      <t>, 40% SG</t>
    </r>
  </si>
  <si>
    <t>Goga Bitadze</t>
  </si>
  <si>
    <t>Buducnost (Montenegro)</t>
  </si>
  <si>
    <t>2019 Draft (#18 pick)</t>
  </si>
  <si>
    <t>T.J. Leaf</t>
  </si>
  <si>
    <r>
      <rPr>
        <u/>
        <sz val="12"/>
        <color theme="1"/>
        <rFont val="Calibri (Body)"/>
      </rPr>
      <t>61% PF</t>
    </r>
    <r>
      <rPr>
        <sz val="12"/>
        <color theme="1"/>
        <rFont val="Calibri"/>
        <family val="2"/>
        <scheme val="minor"/>
      </rPr>
      <t>, 39% C</t>
    </r>
  </si>
  <si>
    <t>Aaron Holiday</t>
  </si>
  <si>
    <t>2018 Draft (#23 pick)</t>
  </si>
  <si>
    <t>Edmond Sumner</t>
  </si>
  <si>
    <t>Xavier</t>
  </si>
  <si>
    <t>Signed on 7/15/17</t>
  </si>
  <si>
    <r>
      <t xml:space="preserve">19% PG, </t>
    </r>
    <r>
      <rPr>
        <u/>
        <sz val="12"/>
        <color theme="1"/>
        <rFont val="Calibri (Body)"/>
      </rPr>
      <t>80% SG</t>
    </r>
    <r>
      <rPr>
        <sz val="12"/>
        <color theme="1"/>
        <rFont val="Calibri"/>
        <family val="2"/>
        <scheme val="minor"/>
      </rPr>
      <t>, 1% SF</t>
    </r>
  </si>
  <si>
    <t>St. John's</t>
  </si>
  <si>
    <t>Signed on 8/2/19</t>
  </si>
  <si>
    <r>
      <rPr>
        <u/>
        <sz val="12"/>
        <color theme="1"/>
        <rFont val="Calibri (Body)"/>
      </rPr>
      <t>78% SF</t>
    </r>
    <r>
      <rPr>
        <sz val="12"/>
        <color theme="1"/>
        <rFont val="Calibri"/>
        <family val="2"/>
        <scheme val="minor"/>
      </rPr>
      <t>, 21% PF, 1% C</t>
    </r>
  </si>
  <si>
    <t>Missouri State</t>
  </si>
  <si>
    <r>
      <t xml:space="preserve">15% SG, </t>
    </r>
    <r>
      <rPr>
        <u/>
        <sz val="12"/>
        <color theme="1"/>
        <rFont val="Calibri (Body)"/>
      </rPr>
      <t>78% SF</t>
    </r>
    <r>
      <rPr>
        <sz val="12"/>
        <color theme="1"/>
        <rFont val="Calibri"/>
        <family val="2"/>
        <scheme val="minor"/>
      </rPr>
      <t>, 8% PF</t>
    </r>
  </si>
  <si>
    <t>Brian Bowen II</t>
  </si>
  <si>
    <t>La Lumiere - Indiana</t>
  </si>
  <si>
    <t>Signed on 7/1/19</t>
  </si>
  <si>
    <t>Naz Mitrou-Long</t>
  </si>
  <si>
    <t>Nate McMillan</t>
  </si>
  <si>
    <t>2025 2nd to Milwaukee (for sure)</t>
  </si>
  <si>
    <t>Lost to BOS in first round (4-0)</t>
  </si>
  <si>
    <t>Lost to CLE in first round (4-3)</t>
  </si>
  <si>
    <t>Frank Vogel</t>
  </si>
  <si>
    <t>Lost to TOR in first round (4-3)</t>
  </si>
  <si>
    <t>Beat ATL in first round (4-3), Beat WSH in second round (4-2), lost to MIA in ECF (4-2)</t>
  </si>
  <si>
    <t>Beat ATL in first round (4-2), Beat NYK in second round (4-2), lost to MIA in ECF (4-3)</t>
  </si>
  <si>
    <t>Beat ORL in first round (4-1), lost to MIA in second round (4-2)</t>
  </si>
  <si>
    <t>Jim O'Brien / Frank Vogel</t>
  </si>
  <si>
    <t>Lost to CHI in first round (4-1)</t>
  </si>
  <si>
    <t>Paul George</t>
  </si>
  <si>
    <t>Fresno State</t>
  </si>
  <si>
    <t>Traded from OKC on 7/10/19</t>
  </si>
  <si>
    <r>
      <t xml:space="preserve">1% SG, 46% SF, </t>
    </r>
    <r>
      <rPr>
        <u/>
        <sz val="12"/>
        <color theme="1"/>
        <rFont val="Calibri (Body)"/>
      </rPr>
      <t>54% PF</t>
    </r>
  </si>
  <si>
    <t>Kawhi Leonard</t>
  </si>
  <si>
    <r>
      <t xml:space="preserve">18% SG, </t>
    </r>
    <r>
      <rPr>
        <u/>
        <sz val="12"/>
        <color theme="1"/>
        <rFont val="Calibri (Body)"/>
      </rPr>
      <t>63% SF</t>
    </r>
    <r>
      <rPr>
        <sz val="12"/>
        <color theme="1"/>
        <rFont val="Calibri"/>
        <family val="2"/>
        <scheme val="minor"/>
      </rPr>
      <t>, 19% PF</t>
    </r>
  </si>
  <si>
    <t>Traded from NYK on 2/6/20</t>
  </si>
  <si>
    <r>
      <rPr>
        <u/>
        <sz val="12"/>
        <color theme="1"/>
        <rFont val="Calibri (Body)"/>
      </rPr>
      <t>96% PF</t>
    </r>
    <r>
      <rPr>
        <sz val="12"/>
        <color theme="1"/>
        <rFont val="Calibri"/>
        <family val="2"/>
        <scheme val="minor"/>
      </rPr>
      <t>, 4% C</t>
    </r>
  </si>
  <si>
    <t>Patrick Beverley</t>
  </si>
  <si>
    <t>Spartak St. Petersburg (Russia)</t>
  </si>
  <si>
    <t>Traded from HOU on 6/28/17</t>
  </si>
  <si>
    <r>
      <rPr>
        <u/>
        <sz val="12"/>
        <color theme="1"/>
        <rFont val="Calibri (Body)"/>
      </rPr>
      <t>99% PG</t>
    </r>
    <r>
      <rPr>
        <sz val="12"/>
        <color theme="1"/>
        <rFont val="Calibri"/>
        <family val="2"/>
        <scheme val="minor"/>
      </rPr>
      <t>, 1% SG</t>
    </r>
  </si>
  <si>
    <t>Lou Williams</t>
  </si>
  <si>
    <t>South Gwinett HS</t>
  </si>
  <si>
    <r>
      <rPr>
        <u/>
        <sz val="12"/>
        <color theme="1"/>
        <rFont val="Calibri (Body)"/>
      </rPr>
      <t>61% PG</t>
    </r>
    <r>
      <rPr>
        <sz val="12"/>
        <color theme="1"/>
        <rFont val="Calibri"/>
        <family val="2"/>
        <scheme val="minor"/>
      </rPr>
      <t>, 38% SG, 1% SF</t>
    </r>
  </si>
  <si>
    <t>Ivica Zubac</t>
  </si>
  <si>
    <t>Traded from LAL on 2/7/19</t>
  </si>
  <si>
    <t>Rodney McGruder</t>
  </si>
  <si>
    <t>Atomeromu (Hungary)</t>
  </si>
  <si>
    <r>
      <t xml:space="preserve">6% PG, 41% SG, </t>
    </r>
    <r>
      <rPr>
        <u/>
        <sz val="12"/>
        <color theme="1"/>
        <rFont val="Calibri (Body)"/>
      </rPr>
      <t>52% SF,</t>
    </r>
    <r>
      <rPr>
        <sz val="12"/>
        <color theme="1"/>
        <rFont val="Calibri"/>
        <family val="2"/>
        <scheme val="minor"/>
      </rPr>
      <t xml:space="preserve"> 1% PF</t>
    </r>
  </si>
  <si>
    <t>Chorale Roanne (France)</t>
  </si>
  <si>
    <r>
      <t xml:space="preserve">2% SF, </t>
    </r>
    <r>
      <rPr>
        <u/>
        <sz val="12"/>
        <color theme="1"/>
        <rFont val="Calibri (Body)"/>
      </rPr>
      <t>95% PF</t>
    </r>
    <r>
      <rPr>
        <sz val="12"/>
        <color theme="1"/>
        <rFont val="Calibri"/>
        <family val="2"/>
        <scheme val="minor"/>
      </rPr>
      <t>, 3% C</t>
    </r>
  </si>
  <si>
    <t>Landry Shamet</t>
  </si>
  <si>
    <t>Wichita State</t>
  </si>
  <si>
    <t>Rookie Scale (PHI)</t>
  </si>
  <si>
    <r>
      <t xml:space="preserve">16% PG, </t>
    </r>
    <r>
      <rPr>
        <u/>
        <sz val="12"/>
        <color theme="1"/>
        <rFont val="Calibri (Body)"/>
      </rPr>
      <t>67% SG</t>
    </r>
    <r>
      <rPr>
        <sz val="12"/>
        <color theme="1"/>
        <rFont val="Calibri"/>
        <family val="2"/>
        <scheme val="minor"/>
      </rPr>
      <t>, 17% SF</t>
    </r>
  </si>
  <si>
    <t>Mfiondu Kabengele</t>
  </si>
  <si>
    <t>2019 Draft (#27 pick)</t>
  </si>
  <si>
    <r>
      <t>15% PF,</t>
    </r>
    <r>
      <rPr>
        <u/>
        <sz val="12"/>
        <color theme="1"/>
        <rFont val="Calibri (Body)"/>
      </rPr>
      <t xml:space="preserve"> 86% C</t>
    </r>
  </si>
  <si>
    <t>Signed on 8/15/19</t>
  </si>
  <si>
    <t>Terance Mann</t>
  </si>
  <si>
    <t>2019 Draft (#48 pick)</t>
  </si>
  <si>
    <r>
      <t xml:space="preserve">5% PG, 36% SG, </t>
    </r>
    <r>
      <rPr>
        <u/>
        <sz val="12"/>
        <color theme="1"/>
        <rFont val="Calibri (Body)"/>
      </rPr>
      <t>58% SF</t>
    </r>
    <r>
      <rPr>
        <sz val="12"/>
        <color theme="1"/>
        <rFont val="Calibri"/>
        <family val="2"/>
        <scheme val="minor"/>
      </rPr>
      <t>, 1% PF</t>
    </r>
  </si>
  <si>
    <t>Amir Coffey</t>
  </si>
  <si>
    <t>Minnesota</t>
  </si>
  <si>
    <r>
      <t xml:space="preserve">17% SG, </t>
    </r>
    <r>
      <rPr>
        <u/>
        <sz val="12"/>
        <color theme="1"/>
        <rFont val="Calibri (Body)"/>
      </rPr>
      <t>76% SF</t>
    </r>
    <r>
      <rPr>
        <sz val="12"/>
        <color theme="1"/>
        <rFont val="Calibri"/>
        <family val="2"/>
        <scheme val="minor"/>
      </rPr>
      <t>, 7% PF</t>
    </r>
  </si>
  <si>
    <t>Johnathan Motley</t>
  </si>
  <si>
    <t>Traded from DAL on 7/23/18</t>
  </si>
  <si>
    <r>
      <t xml:space="preserve">7% SF, </t>
    </r>
    <r>
      <rPr>
        <u/>
        <sz val="12"/>
        <color theme="1"/>
        <rFont val="Calibri (Body)"/>
      </rPr>
      <t>76% PF</t>
    </r>
    <r>
      <rPr>
        <sz val="12"/>
        <color theme="1"/>
        <rFont val="Calibri"/>
        <family val="2"/>
        <scheme val="minor"/>
      </rPr>
      <t>, 17% C</t>
    </r>
  </si>
  <si>
    <t>Joakim Noah</t>
  </si>
  <si>
    <t>2022 2nd from Atlanta (protected 31-55)</t>
  </si>
  <si>
    <t>2023 2nd from Detroit (unprotected)</t>
  </si>
  <si>
    <t>2021 1st to New York (NYK has right to swap, LAC pick protected 1-4, because of course NYK will be better than LAC lol)</t>
  </si>
  <si>
    <t>2022 1st to Oklahoma City (unprotected)</t>
  </si>
  <si>
    <t>2023 1st to Oklahoma City (right to swap picks)</t>
  </si>
  <si>
    <t>2024 1st to Oklahoma City (unprotected)</t>
  </si>
  <si>
    <t>2025 1st to Oklahoma City (right to swap picks)</t>
  </si>
  <si>
    <t>2026 1st to Oklahoma City (unprotected)</t>
  </si>
  <si>
    <t>Vinny Del Negro</t>
  </si>
  <si>
    <t>LeBron James</t>
  </si>
  <si>
    <t>St. Vincent-St. Mary's HS</t>
  </si>
  <si>
    <t>Signed on 7/9/18</t>
  </si>
  <si>
    <r>
      <rPr>
        <u/>
        <sz val="12"/>
        <color theme="1"/>
        <rFont val="Calibri (Body)"/>
      </rPr>
      <t>57% PG</t>
    </r>
    <r>
      <rPr>
        <sz val="12"/>
        <color theme="1"/>
        <rFont val="Calibri"/>
        <family val="2"/>
        <scheme val="minor"/>
      </rPr>
      <t>, 36% SG, 7% SF</t>
    </r>
  </si>
  <si>
    <t>Traded from NOP on 7/6/19</t>
  </si>
  <si>
    <r>
      <rPr>
        <u/>
        <sz val="12"/>
        <color theme="1"/>
        <rFont val="Calibri (Body)"/>
      </rPr>
      <t>62% PF</t>
    </r>
    <r>
      <rPr>
        <sz val="12"/>
        <color theme="1"/>
        <rFont val="Calibri"/>
        <family val="2"/>
        <scheme val="minor"/>
      </rPr>
      <t>, 38% C</t>
    </r>
  </si>
  <si>
    <t>Danny Green</t>
  </si>
  <si>
    <r>
      <rPr>
        <u/>
        <sz val="12"/>
        <color theme="1"/>
        <rFont val="Calibri (Body)"/>
      </rPr>
      <t>86% SF</t>
    </r>
    <r>
      <rPr>
        <sz val="12"/>
        <color theme="1"/>
        <rFont val="Calibri"/>
        <family val="2"/>
        <scheme val="minor"/>
      </rPr>
      <t>, 13% PF</t>
    </r>
  </si>
  <si>
    <r>
      <t xml:space="preserve">33% SG, </t>
    </r>
    <r>
      <rPr>
        <u/>
        <sz val="12"/>
        <color theme="1"/>
        <rFont val="Calibri (Body)"/>
      </rPr>
      <t>60% SF</t>
    </r>
    <r>
      <rPr>
        <sz val="12"/>
        <color theme="1"/>
        <rFont val="Calibri"/>
        <family val="2"/>
        <scheme val="minor"/>
      </rPr>
      <t>, 7% PF</t>
    </r>
  </si>
  <si>
    <r>
      <rPr>
        <u/>
        <sz val="12"/>
        <color theme="1"/>
        <rFont val="Calibri (Body)"/>
      </rPr>
      <t>85% SG</t>
    </r>
    <r>
      <rPr>
        <sz val="12"/>
        <color theme="1"/>
        <rFont val="Calibri"/>
        <family val="2"/>
        <scheme val="minor"/>
      </rPr>
      <t>, 14% SF, 1% PF</t>
    </r>
  </si>
  <si>
    <t>JaVale McGee</t>
  </si>
  <si>
    <t>Signed on 7/10/18</t>
  </si>
  <si>
    <t>Signed fon 7/6/19</t>
  </si>
  <si>
    <t>Alex Caruso</t>
  </si>
  <si>
    <r>
      <t xml:space="preserve">48% PG, </t>
    </r>
    <r>
      <rPr>
        <u/>
        <sz val="12"/>
        <color theme="1"/>
        <rFont val="Calibri (Body)"/>
      </rPr>
      <t>51% SG</t>
    </r>
    <r>
      <rPr>
        <sz val="12"/>
        <color theme="1"/>
        <rFont val="Calibri"/>
        <family val="2"/>
        <scheme val="minor"/>
      </rPr>
      <t>, 1% SF</t>
    </r>
  </si>
  <si>
    <t>Kyle Kuzma</t>
  </si>
  <si>
    <t>2017 Draft (#27 pick)</t>
  </si>
  <si>
    <t>Rookie</t>
  </si>
  <si>
    <r>
      <t xml:space="preserve">7% SF, </t>
    </r>
    <r>
      <rPr>
        <u/>
        <sz val="12"/>
        <color theme="1"/>
        <rFont val="Calibri (Body)"/>
      </rPr>
      <t>89% PF,</t>
    </r>
    <r>
      <rPr>
        <sz val="12"/>
        <color theme="1"/>
        <rFont val="Calibri"/>
        <family val="2"/>
        <scheme val="minor"/>
      </rPr>
      <t xml:space="preserve"> 4% C</t>
    </r>
  </si>
  <si>
    <t>Signed on 2/23/20</t>
  </si>
  <si>
    <r>
      <t xml:space="preserve">1% SF, </t>
    </r>
    <r>
      <rPr>
        <u/>
        <sz val="12"/>
        <color theme="1"/>
        <rFont val="Calibri (Body)"/>
      </rPr>
      <t>78% PF</t>
    </r>
    <r>
      <rPr>
        <sz val="12"/>
        <color theme="1"/>
        <rFont val="Calibri"/>
        <family val="2"/>
        <scheme val="minor"/>
      </rPr>
      <t>, 22% C</t>
    </r>
  </si>
  <si>
    <r>
      <t xml:space="preserve">16% SF, </t>
    </r>
    <r>
      <rPr>
        <u/>
        <sz val="12"/>
        <color theme="1"/>
        <rFont val="Calibri (Body)"/>
      </rPr>
      <t>80% PF</t>
    </r>
    <r>
      <rPr>
        <sz val="12"/>
        <color theme="1"/>
        <rFont val="Calibri"/>
        <family val="2"/>
        <scheme val="minor"/>
      </rPr>
      <t>, 4% C</t>
    </r>
  </si>
  <si>
    <t>SW Atlanta Christian Academy HS</t>
  </si>
  <si>
    <t>Talen Horton-Tucker</t>
  </si>
  <si>
    <t>2019 Draft (#46 pick)</t>
  </si>
  <si>
    <t>Signed on 3/6/20</t>
  </si>
  <si>
    <t>Devontae Cacok</t>
  </si>
  <si>
    <t>UNC Wilmington</t>
  </si>
  <si>
    <t>Signed on 12/11/19</t>
  </si>
  <si>
    <t>Year 1/2 of two way from 19-20 season</t>
  </si>
  <si>
    <t>Kostas Antetokounmpo</t>
  </si>
  <si>
    <t>Claimed off waivers on 7/21/19</t>
  </si>
  <si>
    <t>None</t>
  </si>
  <si>
    <t>2021 1st to New Orleans (protected 8-30 in 2021, unprotected in 2022)</t>
  </si>
  <si>
    <t>2022 2nd to Washington/Chicago (for sure to one of these teams)</t>
  </si>
  <si>
    <t>2023 1st to New Orleans (NOP has right to swap, unprotected)</t>
  </si>
  <si>
    <t>2024 1st to New Orleans (unprotected, NOP has right to defer to 2025)</t>
  </si>
  <si>
    <t>Luke Walton</t>
  </si>
  <si>
    <t>Mike Brown, Bernie Bickerstaff, Mike D'Antoni</t>
  </si>
  <si>
    <t>Lost to SAS in first round (4-0)</t>
  </si>
  <si>
    <t>Beat DEN in first round (4-3), Lost to OKC in second round (4-1)</t>
  </si>
  <si>
    <t>Phil Jackson</t>
  </si>
  <si>
    <t>Beat NOP in first round (4-2), Lost to DAL in second round (4-0)</t>
  </si>
  <si>
    <t>Gorgui Dieng</t>
  </si>
  <si>
    <r>
      <t xml:space="preserve">16% PF, </t>
    </r>
    <r>
      <rPr>
        <u/>
        <sz val="12"/>
        <color theme="1"/>
        <rFont val="Calibri (Body)"/>
      </rPr>
      <t>84% C</t>
    </r>
  </si>
  <si>
    <t>Jonas Valanciunas</t>
  </si>
  <si>
    <t>BC Rytas (Lithuania)</t>
  </si>
  <si>
    <t>Traded from TOR on 2/7/19</t>
  </si>
  <si>
    <t>Justise Winslow</t>
  </si>
  <si>
    <t>Traded from MIA on 2/6/20</t>
  </si>
  <si>
    <t>Bird Rights (MIA)</t>
  </si>
  <si>
    <r>
      <t>5% PG, 24% SG,</t>
    </r>
    <r>
      <rPr>
        <u/>
        <sz val="12"/>
        <color theme="1"/>
        <rFont val="Calibri (Body)"/>
      </rPr>
      <t xml:space="preserve"> 58% SF</t>
    </r>
    <r>
      <rPr>
        <sz val="12"/>
        <color theme="1"/>
        <rFont val="Calibri (Body)"/>
      </rPr>
      <t>, 13% PF</t>
    </r>
  </si>
  <si>
    <t>Signed from MIN on 7/11/19</t>
  </si>
  <si>
    <t>$850,000 annual likely incentives</t>
  </si>
  <si>
    <t>Kyle Anderson</t>
  </si>
  <si>
    <t>Signed from SAS on 7/6/18</t>
  </si>
  <si>
    <r>
      <t xml:space="preserve">14% SF, </t>
    </r>
    <r>
      <rPr>
        <u/>
        <sz val="12"/>
        <color theme="1"/>
        <rFont val="Calibri (Body)"/>
      </rPr>
      <t>62% PF</t>
    </r>
    <r>
      <rPr>
        <sz val="12"/>
        <color theme="1"/>
        <rFont val="Calibri (Body)"/>
      </rPr>
      <t>, 24% C</t>
    </r>
  </si>
  <si>
    <t>Ja Morant</t>
  </si>
  <si>
    <t>Murray State</t>
  </si>
  <si>
    <t>2019 Draft (#2 pick)</t>
  </si>
  <si>
    <r>
      <rPr>
        <u/>
        <sz val="12"/>
        <color theme="1"/>
        <rFont val="Calibri (Body)"/>
      </rPr>
      <t>96% PG</t>
    </r>
    <r>
      <rPr>
        <sz val="12"/>
        <color theme="1"/>
        <rFont val="Calibri (Body)"/>
      </rPr>
      <t>, 5% SG</t>
    </r>
  </si>
  <si>
    <t>Traded from PHX on 7/7/19</t>
  </si>
  <si>
    <r>
      <t>1% SG,</t>
    </r>
    <r>
      <rPr>
        <u/>
        <sz val="12"/>
        <color theme="1"/>
        <rFont val="Calibri (Body)"/>
      </rPr>
      <t xml:space="preserve"> 80% SF</t>
    </r>
    <r>
      <rPr>
        <sz val="12"/>
        <color theme="1"/>
        <rFont val="Calibri (Body)"/>
      </rPr>
      <t>, 18% PF</t>
    </r>
  </si>
  <si>
    <t>Jaren Jackson Jr.</t>
  </si>
  <si>
    <t>2018 Draft (#4 pick)</t>
  </si>
  <si>
    <r>
      <t xml:space="preserve">46% PF, </t>
    </r>
    <r>
      <rPr>
        <u/>
        <sz val="12"/>
        <color theme="1"/>
        <rFont val="Calibri (Body)"/>
      </rPr>
      <t>54% C</t>
    </r>
  </si>
  <si>
    <t>Marko Guduric</t>
  </si>
  <si>
    <r>
      <rPr>
        <u/>
        <sz val="12"/>
        <color theme="1"/>
        <rFont val="Calibri (Body)"/>
      </rPr>
      <t>70% SG</t>
    </r>
    <r>
      <rPr>
        <sz val="12"/>
        <color theme="1"/>
        <rFont val="Calibri (Body)"/>
      </rPr>
      <t>, 30% SF, 1% PF</t>
    </r>
  </si>
  <si>
    <t>Brandon Clarke</t>
  </si>
  <si>
    <t>2019 Draft (#21 pick)</t>
  </si>
  <si>
    <r>
      <t xml:space="preserve">19% SF, </t>
    </r>
    <r>
      <rPr>
        <u/>
        <sz val="12"/>
        <color theme="1"/>
        <rFont val="Calibri (Body)"/>
      </rPr>
      <t>71% PF</t>
    </r>
    <r>
      <rPr>
        <sz val="12"/>
        <color theme="1"/>
        <rFont val="Calibri (Body)"/>
      </rPr>
      <t>, 10% C</t>
    </r>
  </si>
  <si>
    <t>Grayson Allen</t>
  </si>
  <si>
    <t>Traded from UTA on 7/6/19</t>
  </si>
  <si>
    <t>Rookie Scale (UTA)</t>
  </si>
  <si>
    <r>
      <t xml:space="preserve">1% PG, </t>
    </r>
    <r>
      <rPr>
        <u/>
        <sz val="12"/>
        <color theme="1"/>
        <rFont val="Calibri (Body)"/>
      </rPr>
      <t>78% SG</t>
    </r>
    <r>
      <rPr>
        <sz val="12"/>
        <color theme="1"/>
        <rFont val="Calibri (Body)"/>
      </rPr>
      <t>, 22% SF</t>
    </r>
  </si>
  <si>
    <t>Dillon Brooks</t>
  </si>
  <si>
    <t>2017 Draft (#45 pick)</t>
  </si>
  <si>
    <t>MLE / Bird Rights</t>
  </si>
  <si>
    <r>
      <rPr>
        <u/>
        <sz val="12"/>
        <color theme="1"/>
        <rFont val="Calibri (Body)"/>
      </rPr>
      <t>71% SG</t>
    </r>
    <r>
      <rPr>
        <sz val="12"/>
        <color theme="1"/>
        <rFont val="Calibri (Body)"/>
      </rPr>
      <t>, 29% SF</t>
    </r>
  </si>
  <si>
    <r>
      <t xml:space="preserve">17% PG, </t>
    </r>
    <r>
      <rPr>
        <u/>
        <sz val="12"/>
        <color theme="1"/>
        <rFont val="Calibri (Body)"/>
      </rPr>
      <t>82% SG</t>
    </r>
    <r>
      <rPr>
        <sz val="12"/>
        <color theme="1"/>
        <rFont val="Calibri (Body)"/>
      </rPr>
      <t>, 1% SF</t>
    </r>
  </si>
  <si>
    <t>Yuta Watanabe</t>
  </si>
  <si>
    <t>George Washington</t>
  </si>
  <si>
    <t>Signed on 7/20/18</t>
  </si>
  <si>
    <r>
      <rPr>
        <u/>
        <sz val="12"/>
        <color theme="1"/>
        <rFont val="Calibri (Body)"/>
      </rPr>
      <t>70% SF</t>
    </r>
    <r>
      <rPr>
        <sz val="12"/>
        <color theme="1"/>
        <rFont val="Calibri (Body)"/>
      </rPr>
      <t>, 26% PF, 5% C</t>
    </r>
  </si>
  <si>
    <t>John Konchar</t>
  </si>
  <si>
    <t>Purdue Fort Wayne</t>
  </si>
  <si>
    <r>
      <t xml:space="preserve">8% PG, </t>
    </r>
    <r>
      <rPr>
        <u/>
        <sz val="12"/>
        <color theme="1"/>
        <rFont val="Calibri (Body)"/>
      </rPr>
      <t>80% SG</t>
    </r>
    <r>
      <rPr>
        <sz val="12"/>
        <color theme="1"/>
        <rFont val="Calibri (Body)"/>
      </rPr>
      <t>, 12% SF</t>
    </r>
  </si>
  <si>
    <t>Andre Iguodala</t>
  </si>
  <si>
    <t>Mike Conley</t>
  </si>
  <si>
    <t>Taylor Jenkins</t>
  </si>
  <si>
    <t>2021 2nd from Phoenix (protected 36-60)</t>
  </si>
  <si>
    <t>2021 2nd from Portland (unprotected)</t>
  </si>
  <si>
    <t>2022 2nd from Detroit/Chicago (less favorable)</t>
  </si>
  <si>
    <t>2023 2nd from Dallas / Miami (less favorable) or HOU (protected 31-32)</t>
  </si>
  <si>
    <t>2024 1st from Golden State (protected 1-4 in 2024, 1 in 2025, unprotected in 2026)</t>
  </si>
  <si>
    <t>2024 2nd from Toronto</t>
  </si>
  <si>
    <t>2021 2nd to Sacramento (for sure)</t>
  </si>
  <si>
    <t>2024 2nd to Oklahoma City (for sure)</t>
  </si>
  <si>
    <t>David Fizdale / J.B. Bickerstaff</t>
  </si>
  <si>
    <t>David Fizdale</t>
  </si>
  <si>
    <t>Lost to SAS in first round (4-2)</t>
  </si>
  <si>
    <t>Dave Joerger</t>
  </si>
  <si>
    <t>Beat POR in first round (4-1), lost to GSW in second round (4-2)</t>
  </si>
  <si>
    <t>Lost to OKC in first round (4-3)</t>
  </si>
  <si>
    <t>Beat LAC in first round (4-2), beat OKC in second round (4-1), lost to SAS in WCF (4-0)</t>
  </si>
  <si>
    <t>Beat SAS in first round (4-2), lost to OKC in second round (4-3)</t>
  </si>
  <si>
    <t>Jimmy Butler</t>
  </si>
  <si>
    <t>Marquette</t>
  </si>
  <si>
    <t>Signed-and-traded from PHI on 7/6/19</t>
  </si>
  <si>
    <r>
      <rPr>
        <u/>
        <sz val="12"/>
        <color theme="1"/>
        <rFont val="Calibri"/>
        <family val="2"/>
      </rPr>
      <t>56% SF</t>
    </r>
    <r>
      <rPr>
        <sz val="12"/>
        <color theme="1"/>
        <rFont val="Calibri"/>
        <family val="2"/>
      </rPr>
      <t>, 44% PF, 1% C</t>
    </r>
  </si>
  <si>
    <t>Olimpija (Slovenia)</t>
  </si>
  <si>
    <t>Traded from PHX on 2/19/15</t>
  </si>
  <si>
    <r>
      <t xml:space="preserve">2% PG, </t>
    </r>
    <r>
      <rPr>
        <u/>
        <sz val="12"/>
        <color theme="1"/>
        <rFont val="Calibri"/>
        <family val="2"/>
      </rPr>
      <t>81% SG</t>
    </r>
    <r>
      <rPr>
        <sz val="12"/>
        <color theme="1"/>
        <rFont val="Calibri"/>
        <family val="2"/>
      </rPr>
      <t>, 17% SF</t>
    </r>
  </si>
  <si>
    <r>
      <t xml:space="preserve">18% SG, </t>
    </r>
    <r>
      <rPr>
        <u/>
        <sz val="12"/>
        <color theme="1"/>
        <rFont val="Calibri"/>
        <family val="2"/>
      </rPr>
      <t>67% SF</t>
    </r>
    <r>
      <rPr>
        <sz val="12"/>
        <color theme="1"/>
        <rFont val="Calibri"/>
        <family val="2"/>
      </rPr>
      <t>, 15% PF</t>
    </r>
  </si>
  <si>
    <t>Illinois</t>
  </si>
  <si>
    <t>Traded from POR on 7/6/19</t>
  </si>
  <si>
    <r>
      <t xml:space="preserve">35% SF, </t>
    </r>
    <r>
      <rPr>
        <u/>
        <sz val="12"/>
        <color theme="1"/>
        <rFont val="Calibri"/>
        <family val="2"/>
      </rPr>
      <t>60% PF</t>
    </r>
    <r>
      <rPr>
        <sz val="12"/>
        <color theme="1"/>
        <rFont val="Calibri"/>
        <family val="2"/>
      </rPr>
      <t>, 5% C</t>
    </r>
  </si>
  <si>
    <t>Tyler Herro</t>
  </si>
  <si>
    <t>2019 Draft (#13 pick)</t>
  </si>
  <si>
    <r>
      <t xml:space="preserve">16% PG, </t>
    </r>
    <r>
      <rPr>
        <u/>
        <sz val="12"/>
        <color theme="1"/>
        <rFont val="Calibri"/>
        <family val="2"/>
      </rPr>
      <t>78% SG</t>
    </r>
    <r>
      <rPr>
        <sz val="12"/>
        <color theme="1"/>
        <rFont val="Calibri"/>
        <family val="2"/>
      </rPr>
      <t>, 7% SF</t>
    </r>
  </si>
  <si>
    <t>Bam Adebayo</t>
  </si>
  <si>
    <t>2017 Draft (#14 pick)</t>
  </si>
  <si>
    <r>
      <rPr>
        <u/>
        <sz val="12"/>
        <color theme="1"/>
        <rFont val="Calibri"/>
        <family val="2"/>
      </rPr>
      <t>58% PF</t>
    </r>
    <r>
      <rPr>
        <sz val="12"/>
        <color theme="1"/>
        <rFont val="Calibri"/>
        <family val="2"/>
      </rPr>
      <t>, 42% C</t>
    </r>
  </si>
  <si>
    <r>
      <t>1% PG, 46% SG,</t>
    </r>
    <r>
      <rPr>
        <u/>
        <sz val="12"/>
        <color theme="1"/>
        <rFont val="Calibri"/>
        <family val="2"/>
      </rPr>
      <t xml:space="preserve"> 50% SF</t>
    </r>
    <r>
      <rPr>
        <sz val="12"/>
        <color theme="1"/>
        <rFont val="Calibri"/>
        <family val="2"/>
      </rPr>
      <t>, 3% PF</t>
    </r>
  </si>
  <si>
    <t>Elan Chalon (France)</t>
  </si>
  <si>
    <t>Signed on 8/1/03</t>
  </si>
  <si>
    <t>Year 2/3 of 3 yr/$3M from 18-19 season</t>
  </si>
  <si>
    <r>
      <t xml:space="preserve">38% SG, </t>
    </r>
    <r>
      <rPr>
        <u/>
        <sz val="12"/>
        <color theme="1"/>
        <rFont val="Calibri"/>
        <family val="2"/>
      </rPr>
      <t>50% SF</t>
    </r>
    <r>
      <rPr>
        <sz val="12"/>
        <color theme="1"/>
        <rFont val="Calibri"/>
        <family val="2"/>
      </rPr>
      <t>, 12% PF</t>
    </r>
  </si>
  <si>
    <t>Oakland</t>
  </si>
  <si>
    <t>Signed on 4/10/19</t>
  </si>
  <si>
    <r>
      <rPr>
        <u/>
        <sz val="12"/>
        <color theme="1"/>
        <rFont val="Calibri"/>
        <family val="2"/>
      </rPr>
      <t>73% PG</t>
    </r>
    <r>
      <rPr>
        <sz val="12"/>
        <color theme="1"/>
        <rFont val="Calibri"/>
        <family val="2"/>
      </rPr>
      <t>, 27% SG</t>
    </r>
  </si>
  <si>
    <t>KZ Okpala</t>
  </si>
  <si>
    <t>2019 Draft (#32 pick)</t>
  </si>
  <si>
    <r>
      <t xml:space="preserve">13% SF, </t>
    </r>
    <r>
      <rPr>
        <u/>
        <sz val="12"/>
        <color theme="1"/>
        <rFont val="Calibri"/>
        <family val="2"/>
      </rPr>
      <t>80% PF</t>
    </r>
    <r>
      <rPr>
        <sz val="12"/>
        <color theme="1"/>
        <rFont val="Calibri"/>
        <family val="2"/>
      </rPr>
      <t>, 7% C</t>
    </r>
  </si>
  <si>
    <t>Chris Silva</t>
  </si>
  <si>
    <t>Signed on 7/11/19</t>
  </si>
  <si>
    <r>
      <t xml:space="preserve">1% SF, </t>
    </r>
    <r>
      <rPr>
        <u/>
        <sz val="12"/>
        <color theme="1"/>
        <rFont val="Calibri"/>
        <family val="2"/>
      </rPr>
      <t>65% PF</t>
    </r>
    <r>
      <rPr>
        <sz val="12"/>
        <color theme="1"/>
        <rFont val="Calibri"/>
        <family val="2"/>
      </rPr>
      <t>, 34% C</t>
    </r>
  </si>
  <si>
    <t>Gabe Vincent</t>
  </si>
  <si>
    <t>UC Santa Barbara</t>
  </si>
  <si>
    <t>Signed on 1/9/20</t>
  </si>
  <si>
    <t>Kyle Alexander</t>
  </si>
  <si>
    <t>Erik Spoelstra</t>
  </si>
  <si>
    <t>2022 2nd from Philadelphia / Denver (less favorable)</t>
  </si>
  <si>
    <t>2021 1st to Oklahoma City/Houston (unprotected)</t>
  </si>
  <si>
    <t>2021 2nd to Atlanta (for sure)</t>
  </si>
  <si>
    <t>2022 2nd to Indiana (for sure)</t>
  </si>
  <si>
    <t>2023 1st to Oklahoma City (protected 1-14 in 2023-2025, unprotected in 2026)</t>
  </si>
  <si>
    <t>2023 2nd to Dallas/Memphis (for sure)</t>
  </si>
  <si>
    <t>2024 2nd to Atlanta/Philadelphia (only if 51-55)</t>
  </si>
  <si>
    <t>2025 2nd to Indiana (for sure)</t>
  </si>
  <si>
    <t>2026 2nd to Indiana (sure)</t>
  </si>
  <si>
    <t>Beat CHA in first round (4-3), lost to TOR in second round (4-3)</t>
  </si>
  <si>
    <t>Beat CHA in first round (4-0), beat BKN in second round (4-1), beat IND in ECF (4-2), lost to SAS in NBA Finals (4-1)</t>
  </si>
  <si>
    <t>Beat MIL in first round (4-0), beat CHI in second round (4-1), beat IND in ECF (4-3), beat SAS in NBA Finals (4-3)</t>
  </si>
  <si>
    <t>Beat NYK in first round (4-1), beat IND in second round (4-2), beat BOS in ECF (4-3), beat OKC in NBA Finals (4-1)</t>
  </si>
  <si>
    <t>Beat PHI in first round (4-1), beat BOS in second round (4-1), beat CHI in ECF (4-1), lost to DAL in NBA Finals (4-2)</t>
  </si>
  <si>
    <t>Khris Middleton</t>
  </si>
  <si>
    <t>Traded from DET on 7/31/13</t>
  </si>
  <si>
    <t>Giannis Antetokounmpo</t>
  </si>
  <si>
    <t>Zografou BC (Greece)</t>
  </si>
  <si>
    <t>2013 Draft (#15 pick)</t>
  </si>
  <si>
    <t>Eric Bledsoe</t>
  </si>
  <si>
    <t>Brook Lopez</t>
  </si>
  <si>
    <t>Signed from LAL on 7/17/18</t>
  </si>
  <si>
    <t>George Hill</t>
  </si>
  <si>
    <t>IUPUI</t>
  </si>
  <si>
    <r>
      <rPr>
        <u/>
        <sz val="12"/>
        <color theme="1"/>
        <rFont val="Calibri (Body)"/>
      </rPr>
      <t>87% PG</t>
    </r>
    <r>
      <rPr>
        <sz val="12"/>
        <color theme="1"/>
        <rFont val="Calibri"/>
        <family val="2"/>
        <scheme val="minor"/>
      </rPr>
      <t>, 13% SG</t>
    </r>
  </si>
  <si>
    <r>
      <t xml:space="preserve">3% SF, </t>
    </r>
    <r>
      <rPr>
        <u/>
        <sz val="12"/>
        <color theme="1"/>
        <rFont val="Calibri (Body)"/>
      </rPr>
      <t>86% PF</t>
    </r>
    <r>
      <rPr>
        <sz val="12"/>
        <color theme="1"/>
        <rFont val="Calibri"/>
        <family val="2"/>
        <scheme val="minor"/>
      </rPr>
      <t>, 12% C</t>
    </r>
  </si>
  <si>
    <t>D.J. Wilson</t>
  </si>
  <si>
    <t>63% PF, 38% C</t>
  </si>
  <si>
    <t>Donte DiVincenzo</t>
  </si>
  <si>
    <r>
      <t xml:space="preserve">33% PG, </t>
    </r>
    <r>
      <rPr>
        <u/>
        <sz val="12"/>
        <color theme="1"/>
        <rFont val="Calibri (Body)"/>
      </rPr>
      <t>64% SG</t>
    </r>
    <r>
      <rPr>
        <sz val="12"/>
        <color theme="1"/>
        <rFont val="Calibri (Body)"/>
      </rPr>
      <t>, 3% SF</t>
    </r>
  </si>
  <si>
    <t>Notre Dame</t>
  </si>
  <si>
    <t>Signed from POR on 8/1/18</t>
  </si>
  <si>
    <t>Signed from PHX on 7/25/19</t>
  </si>
  <si>
    <t>Thanasis Antetokounmpo</t>
  </si>
  <si>
    <t>Delaware 87ers</t>
  </si>
  <si>
    <t>Signed on 7/16/19</t>
  </si>
  <si>
    <t>Frank Mason III</t>
  </si>
  <si>
    <t>Signed on 7/26/19</t>
  </si>
  <si>
    <t>Cam Reynolds</t>
  </si>
  <si>
    <t>Tulane</t>
  </si>
  <si>
    <t>Mike Budenholzer</t>
  </si>
  <si>
    <t>2021 2nd from Indiana (could convey any time 2021-2024, will convey one year after IND conveys 2nd to BKN)</t>
  </si>
  <si>
    <t>2025 2nd from Indiana (unprotected)</t>
  </si>
  <si>
    <t>2021 2nd to Indiana (for sure)</t>
  </si>
  <si>
    <t>Beat DET in first round (4-0), Beat BOS in second round (4-1), lost to TOR in ECF (4-2)</t>
  </si>
  <si>
    <t>Jason Kidd / Joe Prunty</t>
  </si>
  <si>
    <t>Lost to BOS in first round (4-3)</t>
  </si>
  <si>
    <t>Lost to TOR in first round (4-2)</t>
  </si>
  <si>
    <t>Lost to CHI in first round (4-2)</t>
  </si>
  <si>
    <t>Scott Skiles / Jim Boylan</t>
  </si>
  <si>
    <t>Scott Skiles</t>
  </si>
  <si>
    <t>Karl-Anthony Towns</t>
  </si>
  <si>
    <t>2015 Draft (#1 pick)</t>
  </si>
  <si>
    <t>D'Angelo Russell</t>
  </si>
  <si>
    <t>Traded from GSW on 2/6/20</t>
  </si>
  <si>
    <t>Sign-and-Trade (GSW)</t>
  </si>
  <si>
    <r>
      <rPr>
        <u/>
        <sz val="12"/>
        <color theme="1"/>
        <rFont val="Calibri (Body)"/>
      </rPr>
      <t>89% PG</t>
    </r>
    <r>
      <rPr>
        <sz val="12"/>
        <color theme="1"/>
        <rFont val="Calibri"/>
        <family val="2"/>
        <scheme val="minor"/>
      </rPr>
      <t>, 11% SG</t>
    </r>
  </si>
  <si>
    <t>Traded from ATL on 2/5/20</t>
  </si>
  <si>
    <r>
      <rPr>
        <u/>
        <sz val="12"/>
        <color theme="1"/>
        <rFont val="Calibri (Body)"/>
      </rPr>
      <t>63% PG</t>
    </r>
    <r>
      <rPr>
        <sz val="12"/>
        <color theme="1"/>
        <rFont val="Calibri"/>
        <family val="2"/>
        <scheme val="minor"/>
      </rPr>
      <t>, 32% SG, 6% SF</t>
    </r>
  </si>
  <si>
    <t>Cap Space (MIA)</t>
  </si>
  <si>
    <r>
      <t xml:space="preserve">2% SF, </t>
    </r>
    <r>
      <rPr>
        <u/>
        <sz val="12"/>
        <color theme="1"/>
        <rFont val="Calibri (Body)"/>
      </rPr>
      <t>67% PF</t>
    </r>
    <r>
      <rPr>
        <sz val="12"/>
        <color theme="1"/>
        <rFont val="Calibri"/>
        <family val="2"/>
        <scheme val="minor"/>
      </rPr>
      <t>, 32% C</t>
    </r>
  </si>
  <si>
    <t>Jarrett Culver</t>
  </si>
  <si>
    <t>2019 Draft (#6 pick)</t>
  </si>
  <si>
    <r>
      <t xml:space="preserve">11% PG, </t>
    </r>
    <r>
      <rPr>
        <u/>
        <sz val="12"/>
        <color theme="1"/>
        <rFont val="Calibri (Body)"/>
      </rPr>
      <t>53% SG</t>
    </r>
    <r>
      <rPr>
        <sz val="12"/>
        <color theme="1"/>
        <rFont val="Calibri"/>
        <family val="2"/>
        <scheme val="minor"/>
      </rPr>
      <t>, 36% SF</t>
    </r>
  </si>
  <si>
    <t>Jake Layman</t>
  </si>
  <si>
    <t>Signed from POR on 7/8/19</t>
  </si>
  <si>
    <r>
      <t xml:space="preserve">9% SF, </t>
    </r>
    <r>
      <rPr>
        <u/>
        <sz val="12"/>
        <color theme="1"/>
        <rFont val="Calibri (Body)"/>
      </rPr>
      <t>91% PF</t>
    </r>
  </si>
  <si>
    <t>CB Estudiantes (Spain)</t>
  </si>
  <si>
    <t>Traded from DEN on 2/5/20</t>
  </si>
  <si>
    <r>
      <rPr>
        <u/>
        <sz val="12"/>
        <color theme="1"/>
        <rFont val="Calibri (Body)"/>
      </rPr>
      <t>60% PF</t>
    </r>
    <r>
      <rPr>
        <sz val="12"/>
        <color theme="1"/>
        <rFont val="Calibri"/>
        <family val="2"/>
        <scheme val="minor"/>
      </rPr>
      <t>, 40% C</t>
    </r>
  </si>
  <si>
    <r>
      <t xml:space="preserve">1% PG, </t>
    </r>
    <r>
      <rPr>
        <u/>
        <sz val="12"/>
        <color theme="1"/>
        <rFont val="Calibri (Body)"/>
      </rPr>
      <t>98% SG</t>
    </r>
    <r>
      <rPr>
        <sz val="12"/>
        <color theme="1"/>
        <rFont val="Calibri"/>
        <family val="2"/>
        <scheme val="minor"/>
      </rPr>
      <t>, 2% SF</t>
    </r>
  </si>
  <si>
    <t>Josh Okogie</t>
  </si>
  <si>
    <t>2018 Draft (#20 pick)</t>
  </si>
  <si>
    <r>
      <t xml:space="preserve">16% PG, </t>
    </r>
    <r>
      <rPr>
        <u/>
        <sz val="12"/>
        <color theme="1"/>
        <rFont val="Calibri (Body)"/>
      </rPr>
      <t>60% SG</t>
    </r>
    <r>
      <rPr>
        <sz val="12"/>
        <color theme="1"/>
        <rFont val="Calibri"/>
        <family val="2"/>
        <scheme val="minor"/>
      </rPr>
      <t>, 24% SF</t>
    </r>
  </si>
  <si>
    <t>Jacob Evans</t>
  </si>
  <si>
    <t>Cincinnati</t>
  </si>
  <si>
    <t>Omari Spellman</t>
  </si>
  <si>
    <t>Rookie Scale (ATL)</t>
  </si>
  <si>
    <r>
      <rPr>
        <u/>
        <sz val="12"/>
        <color theme="1"/>
        <rFont val="Calibri (Body)"/>
      </rPr>
      <t>59% PF</t>
    </r>
    <r>
      <rPr>
        <sz val="12"/>
        <color theme="1"/>
        <rFont val="Calibri"/>
        <family val="2"/>
        <scheme val="minor"/>
      </rPr>
      <t>, 41% C</t>
    </r>
  </si>
  <si>
    <t>Cap Space (DEN)</t>
  </si>
  <si>
    <r>
      <t xml:space="preserve">22% PF, </t>
    </r>
    <r>
      <rPr>
        <u/>
        <sz val="12"/>
        <color theme="1"/>
        <rFont val="Calibri (Body)"/>
      </rPr>
      <t>78% C</t>
    </r>
  </si>
  <si>
    <t>Washington</t>
  </si>
  <si>
    <t>2019 Draft (#43 pick)</t>
  </si>
  <si>
    <t>Year 1/4 of 4 yr/$7M from 2019 offseason</t>
  </si>
  <si>
    <r>
      <t xml:space="preserve">30% PG, </t>
    </r>
    <r>
      <rPr>
        <u/>
        <sz val="12"/>
        <color theme="1"/>
        <rFont val="Calibri (Body)"/>
      </rPr>
      <t>70% SG</t>
    </r>
  </si>
  <si>
    <t>Jordan McLaughlin</t>
  </si>
  <si>
    <t>Kelan Martin</t>
  </si>
  <si>
    <t>Riesen Ludwigsburg (Germany)</t>
  </si>
  <si>
    <r>
      <t xml:space="preserve">4% SG, </t>
    </r>
    <r>
      <rPr>
        <u/>
        <sz val="12"/>
        <color theme="1"/>
        <rFont val="Calibri (Body)"/>
      </rPr>
      <t>65% SF</t>
    </r>
    <r>
      <rPr>
        <sz val="12"/>
        <color theme="1"/>
        <rFont val="Calibri"/>
        <family val="2"/>
        <scheme val="minor"/>
      </rPr>
      <t>, 31% PF</t>
    </r>
  </si>
  <si>
    <t>Ryan Saunders</t>
  </si>
  <si>
    <t>2022 2nd from Denver/Philadelphia (more favorable)</t>
  </si>
  <si>
    <t>2021 1st to Golden State (protected 1-3, unprotected in 2022)</t>
  </si>
  <si>
    <t>2021 2nd to Golden State (unprotected)</t>
  </si>
  <si>
    <t>Tom Thibodeau / Ryan Saunders</t>
  </si>
  <si>
    <t>Sam Mitchell</t>
  </si>
  <si>
    <t>Flip Saunders</t>
  </si>
  <si>
    <t>Kurt Rambis</t>
  </si>
  <si>
    <t>$765,000 annual unlikely incentives ($510,000 for 66 reg/post games + 2075 MIN, $255,000 for 67 games + 7.3 APG + 3.2 RPG), $100,000 annual likely incentives (All-Defensive Team), lots of TBD incentives but = $4,700,000 total</t>
  </si>
  <si>
    <t>J.J. Redick</t>
  </si>
  <si>
    <r>
      <t xml:space="preserve">31% PG, </t>
    </r>
    <r>
      <rPr>
        <u/>
        <sz val="12"/>
        <color theme="1"/>
        <rFont val="Calibri (Body)"/>
      </rPr>
      <t>60% SG</t>
    </r>
    <r>
      <rPr>
        <sz val="12"/>
        <color theme="1"/>
        <rFont val="Calibri"/>
        <family val="2"/>
        <scheme val="minor"/>
      </rPr>
      <t>, 9% SF, 1% PF</t>
    </r>
  </si>
  <si>
    <t>Zion Williamson</t>
  </si>
  <si>
    <t>2019 Draft (#1 pick)</t>
  </si>
  <si>
    <r>
      <rPr>
        <u/>
        <sz val="12"/>
        <color theme="1"/>
        <rFont val="Calibri (Body)"/>
      </rPr>
      <t>92% PF</t>
    </r>
    <r>
      <rPr>
        <sz val="12"/>
        <color theme="1"/>
        <rFont val="Calibri"/>
        <family val="2"/>
        <scheme val="minor"/>
      </rPr>
      <t>, 9% C</t>
    </r>
  </si>
  <si>
    <t>Lonzo Ball</t>
  </si>
  <si>
    <t>Traded from LAL on 7/6/19</t>
  </si>
  <si>
    <t>Rookie Scale (LAL)</t>
  </si>
  <si>
    <r>
      <rPr>
        <u/>
        <sz val="12"/>
        <color theme="1"/>
        <rFont val="Calibri (Body)"/>
      </rPr>
      <t>85% PG</t>
    </r>
    <r>
      <rPr>
        <sz val="12"/>
        <color theme="1"/>
        <rFont val="Calibri"/>
        <family val="2"/>
        <scheme val="minor"/>
      </rPr>
      <t>, 15% SG</t>
    </r>
  </si>
  <si>
    <t>Benetton Treviso (Italy)</t>
  </si>
  <si>
    <r>
      <t>38% PG,</t>
    </r>
    <r>
      <rPr>
        <u/>
        <sz val="12"/>
        <color theme="1"/>
        <rFont val="Calibri (Body)"/>
      </rPr>
      <t xml:space="preserve"> 52% SG</t>
    </r>
    <r>
      <rPr>
        <sz val="12"/>
        <color theme="1"/>
        <rFont val="Calibri"/>
        <family val="2"/>
        <scheme val="minor"/>
      </rPr>
      <t>, 10% SF</t>
    </r>
  </si>
  <si>
    <r>
      <t xml:space="preserve">38% SF, </t>
    </r>
    <r>
      <rPr>
        <u/>
        <sz val="12"/>
        <color theme="1"/>
        <rFont val="Calibri (Body)"/>
      </rPr>
      <t>62% PF</t>
    </r>
    <r>
      <rPr>
        <sz val="12"/>
        <color theme="1"/>
        <rFont val="Calibri"/>
        <family val="2"/>
        <scheme val="minor"/>
      </rPr>
      <t>, 1% C</t>
    </r>
  </si>
  <si>
    <r>
      <rPr>
        <u/>
        <sz val="12"/>
        <color theme="1"/>
        <rFont val="Calibri (Body)"/>
      </rPr>
      <t>63% SF</t>
    </r>
    <r>
      <rPr>
        <sz val="12"/>
        <color theme="1"/>
        <rFont val="Calibri"/>
        <family val="2"/>
        <scheme val="minor"/>
      </rPr>
      <t>, 37% PF</t>
    </r>
  </si>
  <si>
    <t>Jaxson Hayes</t>
  </si>
  <si>
    <t>2019 Draft (#8 pick)</t>
  </si>
  <si>
    <t>Nicolo Melli</t>
  </si>
  <si>
    <r>
      <t xml:space="preserve">39% PF, </t>
    </r>
    <r>
      <rPr>
        <u/>
        <sz val="12"/>
        <color theme="1"/>
        <rFont val="Calibri (Body)"/>
      </rPr>
      <t>61% C</t>
    </r>
  </si>
  <si>
    <t>Nickeil Alexander-Walker</t>
  </si>
  <si>
    <t>Virginia Tech</t>
  </si>
  <si>
    <t>2019 Draft (#17 pick)</t>
  </si>
  <si>
    <r>
      <t xml:space="preserve">2% PG, 45% SG, </t>
    </r>
    <r>
      <rPr>
        <u/>
        <sz val="12"/>
        <color theme="1"/>
        <rFont val="Calibri (Body)"/>
      </rPr>
      <t>50% SF</t>
    </r>
    <r>
      <rPr>
        <sz val="12"/>
        <color theme="1"/>
        <rFont val="Calibri"/>
        <family val="2"/>
        <scheme val="minor"/>
      </rPr>
      <t>, 4% PF</t>
    </r>
  </si>
  <si>
    <t>Josh Hart</t>
  </si>
  <si>
    <r>
      <t xml:space="preserve">5% SG, </t>
    </r>
    <r>
      <rPr>
        <u/>
        <sz val="12"/>
        <color theme="1"/>
        <rFont val="Calibri (Body)"/>
      </rPr>
      <t>77% SF</t>
    </r>
    <r>
      <rPr>
        <sz val="12"/>
        <color theme="1"/>
        <rFont val="Calibri"/>
        <family val="2"/>
        <scheme val="minor"/>
      </rPr>
      <t>, 17% PF</t>
    </r>
  </si>
  <si>
    <t>2017 Draft (#31 pick)</t>
  </si>
  <si>
    <t>TCU</t>
  </si>
  <si>
    <r>
      <t xml:space="preserve">4% SF, </t>
    </r>
    <r>
      <rPr>
        <u/>
        <sz val="12"/>
        <color theme="1"/>
        <rFont val="Calibri (Body)"/>
      </rPr>
      <t>91% PF</t>
    </r>
    <r>
      <rPr>
        <sz val="12"/>
        <color theme="1"/>
        <rFont val="Calibri"/>
        <family val="2"/>
        <scheme val="minor"/>
      </rPr>
      <t>, 6% C</t>
    </r>
  </si>
  <si>
    <t>Zylan Cheatham</t>
  </si>
  <si>
    <t>Josh Gray</t>
  </si>
  <si>
    <t>Changwon Sakers (South Korea)</t>
  </si>
  <si>
    <t>Alvin Gentry</t>
  </si>
  <si>
    <t>2021 1st from LA Lakers (protected 8-30, if not conveyed this becomes 2022 unprotected 1st)</t>
  </si>
  <si>
    <t>2021 2nd from Washington (unprotected)</t>
  </si>
  <si>
    <t>2023 1st from LA Lakers (right to swap picks, unprotected)</t>
  </si>
  <si>
    <t>2023 2nd from Washington (unprotected)</t>
  </si>
  <si>
    <t>2024 1st from LA Lakers (unprotected, NOP has right to defer unprotected pick to 2025)</t>
  </si>
  <si>
    <t>2021 2nd to Chicago (CHI has right to swap)</t>
  </si>
  <si>
    <t>2023 2nd to Atlanta (protected 31-45)</t>
  </si>
  <si>
    <t>Beat POR in first round (4-0), lost to GSW in second round (4-1)</t>
  </si>
  <si>
    <t>Monty Williams</t>
  </si>
  <si>
    <t>Lost to GSW in first round (4-0)</t>
  </si>
  <si>
    <t>Lost to LAL in first round (4-2)</t>
  </si>
  <si>
    <t>$1,800,000 annual unlikely incentives ($900,000 for All-Star, other $900,000 unknown)</t>
  </si>
  <si>
    <r>
      <rPr>
        <u/>
        <sz val="12"/>
        <color theme="1"/>
        <rFont val="Calibri (Body)"/>
      </rPr>
      <t>95% PF</t>
    </r>
    <r>
      <rPr>
        <sz val="12"/>
        <color theme="1"/>
        <rFont val="Calibri"/>
        <family val="2"/>
        <scheme val="minor"/>
      </rPr>
      <t>, 5% C</t>
    </r>
  </si>
  <si>
    <r>
      <t xml:space="preserve">43% PF, </t>
    </r>
    <r>
      <rPr>
        <u/>
        <sz val="12"/>
        <color theme="1"/>
        <rFont val="Calibri (Body)"/>
      </rPr>
      <t>57% C</t>
    </r>
  </si>
  <si>
    <t>Traded from LAC on 2/6/20</t>
  </si>
  <si>
    <r>
      <rPr>
        <u/>
        <sz val="12"/>
        <color theme="1"/>
        <rFont val="Calibri (Body)"/>
      </rPr>
      <t>94% SF</t>
    </r>
    <r>
      <rPr>
        <sz val="12"/>
        <color theme="1"/>
        <rFont val="Calibri"/>
        <family val="2"/>
        <scheme val="minor"/>
      </rPr>
      <t>, 7% PF</t>
    </r>
  </si>
  <si>
    <r>
      <t xml:space="preserve">14% PF, </t>
    </r>
    <r>
      <rPr>
        <u/>
        <sz val="12"/>
        <color theme="1"/>
        <rFont val="Calibri (Body)"/>
      </rPr>
      <t>86% C</t>
    </r>
  </si>
  <si>
    <r>
      <t xml:space="preserve">12% PG, </t>
    </r>
    <r>
      <rPr>
        <u/>
        <sz val="12"/>
        <color theme="1"/>
        <rFont val="Calibri (Body)"/>
      </rPr>
      <t>85% SG</t>
    </r>
    <r>
      <rPr>
        <sz val="12"/>
        <color theme="1"/>
        <rFont val="Calibri"/>
        <family val="2"/>
        <scheme val="minor"/>
      </rPr>
      <t>, 3% SF</t>
    </r>
  </si>
  <si>
    <t>Louisiana Lafayette</t>
  </si>
  <si>
    <t>R.J. Barrett</t>
  </si>
  <si>
    <t>2019 Draft (#3 pick)</t>
  </si>
  <si>
    <r>
      <rPr>
        <u/>
        <sz val="12"/>
        <color theme="1"/>
        <rFont val="Calibri (Body)"/>
      </rPr>
      <t>72% SG</t>
    </r>
    <r>
      <rPr>
        <sz val="12"/>
        <color theme="1"/>
        <rFont val="Calibri"/>
        <family val="2"/>
        <scheme val="minor"/>
      </rPr>
      <t>, 27% SF, 1% PF</t>
    </r>
  </si>
  <si>
    <t>Frank Ntilikina</t>
  </si>
  <si>
    <t>SIG Strasbourg (France)</t>
  </si>
  <si>
    <t>2017 Draft (#8 pick)</t>
  </si>
  <si>
    <r>
      <rPr>
        <u/>
        <sz val="12"/>
        <color theme="1"/>
        <rFont val="Calibri (Body)"/>
      </rPr>
      <t>92% PG</t>
    </r>
    <r>
      <rPr>
        <sz val="12"/>
        <color theme="1"/>
        <rFont val="Calibri"/>
        <family val="2"/>
        <scheme val="minor"/>
      </rPr>
      <t>, 8% SG</t>
    </r>
  </si>
  <si>
    <t>Dennis Smith Jr.</t>
  </si>
  <si>
    <t>Traded from DAL on 1/31/19</t>
  </si>
  <si>
    <t>Rookie Scale (DAL)</t>
  </si>
  <si>
    <t>Kevin Knox</t>
  </si>
  <si>
    <t>2018 Draft (#9 pick)</t>
  </si>
  <si>
    <r>
      <t xml:space="preserve">3% SG, </t>
    </r>
    <r>
      <rPr>
        <u/>
        <sz val="12"/>
        <color theme="1"/>
        <rFont val="Calibri (Body)"/>
      </rPr>
      <t>77% SF</t>
    </r>
    <r>
      <rPr>
        <sz val="12"/>
        <color theme="1"/>
        <rFont val="Calibri"/>
        <family val="2"/>
        <scheme val="minor"/>
      </rPr>
      <t>, 19% PF</t>
    </r>
  </si>
  <si>
    <r>
      <t xml:space="preserve">2% PG, </t>
    </r>
    <r>
      <rPr>
        <u/>
        <sz val="12"/>
        <color theme="1"/>
        <rFont val="Calibri (Body)"/>
      </rPr>
      <t>72% SG</t>
    </r>
    <r>
      <rPr>
        <sz val="12"/>
        <color theme="1"/>
        <rFont val="Calibri"/>
        <family val="2"/>
        <scheme val="minor"/>
      </rPr>
      <t>, 26% SF</t>
    </r>
  </si>
  <si>
    <t>Houston</t>
  </si>
  <si>
    <r>
      <t xml:space="preserve">3% PG, </t>
    </r>
    <r>
      <rPr>
        <u/>
        <sz val="12"/>
        <color theme="1"/>
        <rFont val="Calibri (Body)"/>
      </rPr>
      <t>81% SG</t>
    </r>
    <r>
      <rPr>
        <sz val="12"/>
        <color theme="1"/>
        <rFont val="Calibri"/>
        <family val="2"/>
        <scheme val="minor"/>
      </rPr>
      <t>, 16% SF</t>
    </r>
  </si>
  <si>
    <t>2018 Draft (#36 pick)</t>
  </si>
  <si>
    <t>Ignas Brazdeikis</t>
  </si>
  <si>
    <t>2019 Draft (#47 pick)</t>
  </si>
  <si>
    <r>
      <rPr>
        <u/>
        <sz val="12"/>
        <color theme="1"/>
        <rFont val="Calibri (Body)"/>
      </rPr>
      <t>92% SF</t>
    </r>
    <r>
      <rPr>
        <sz val="12"/>
        <color theme="1"/>
        <rFont val="Calibri"/>
        <family val="2"/>
        <scheme val="minor"/>
      </rPr>
      <t>, 8% PF</t>
    </r>
  </si>
  <si>
    <t>Kenny Wooten</t>
  </si>
  <si>
    <t>Signed on 1/14/20</t>
  </si>
  <si>
    <t>2021 1st from Dallas (unprotected)</t>
  </si>
  <si>
    <t>2021 1st from LA Clippers (right to swap, protected 1-4, lol)</t>
  </si>
  <si>
    <t>2021 2nd from Detroit (unprotected)</t>
  </si>
  <si>
    <t>2021 2nd from Charlotte (unprotected)</t>
  </si>
  <si>
    <t>2023 1st from Dallas (protected 1-10 in 2023-2025, if not conveyed becomes 2025 2nd)</t>
  </si>
  <si>
    <t>David Fizdale / Mike Miller</t>
  </si>
  <si>
    <t>Jeff Hornacek</t>
  </si>
  <si>
    <t>Derek Fisher / Kurt Rambis</t>
  </si>
  <si>
    <t>Derek Fisher</t>
  </si>
  <si>
    <t>Mike Woodson</t>
  </si>
  <si>
    <t>Beat BOS in first round (4-2), lost to IND in second round (4-2)</t>
  </si>
  <si>
    <t>Mike D'Antoni / Mike Woodson</t>
  </si>
  <si>
    <t>Lost to MIA in first round (4-1)</t>
  </si>
  <si>
    <t>Chris Paul</t>
  </si>
  <si>
    <r>
      <rPr>
        <u/>
        <sz val="12"/>
        <color theme="1"/>
        <rFont val="Calibri (Body)"/>
      </rPr>
      <t>51% PG</t>
    </r>
    <r>
      <rPr>
        <sz val="12"/>
        <color theme="1"/>
        <rFont val="Calibri"/>
        <family val="2"/>
        <scheme val="minor"/>
      </rPr>
      <t>, 49% SG</t>
    </r>
  </si>
  <si>
    <t>Steven Adams</t>
  </si>
  <si>
    <t>Pittsburgh</t>
  </si>
  <si>
    <t>7.5% trade kicker</t>
  </si>
  <si>
    <t>Olimpia Milano (Italy)</t>
  </si>
  <si>
    <t>Traded from LAC on 7/10/19</t>
  </si>
  <si>
    <r>
      <rPr>
        <u/>
        <sz val="12"/>
        <color theme="1"/>
        <rFont val="Calibri (Body)"/>
      </rPr>
      <t>98% PF</t>
    </r>
    <r>
      <rPr>
        <sz val="12"/>
        <color theme="1"/>
        <rFont val="Calibri"/>
        <family val="2"/>
        <scheme val="minor"/>
      </rPr>
      <t>, 2% C</t>
    </r>
  </si>
  <si>
    <t>Phantoms Braunschweig (Germany)</t>
  </si>
  <si>
    <t>Bird Rights (ATL)</t>
  </si>
  <si>
    <t>2013 Draft (#26 pick)</t>
  </si>
  <si>
    <r>
      <rPr>
        <u/>
        <sz val="12"/>
        <color theme="1"/>
        <rFont val="Calibri (Body)"/>
      </rPr>
      <t>83% SG</t>
    </r>
    <r>
      <rPr>
        <sz val="12"/>
        <color theme="1"/>
        <rFont val="Calibri"/>
        <family val="2"/>
        <scheme val="minor"/>
      </rPr>
      <t>, 17% SF</t>
    </r>
  </si>
  <si>
    <t>Shai Gilgeous-Alexander</t>
  </si>
  <si>
    <t>Rookie Scale (LAC)</t>
  </si>
  <si>
    <r>
      <rPr>
        <sz val="12"/>
        <color theme="1"/>
        <rFont val="Calibri (Body)"/>
      </rPr>
      <t xml:space="preserve">3% PG, </t>
    </r>
    <r>
      <rPr>
        <u/>
        <sz val="12"/>
        <color theme="1"/>
        <rFont val="Calibri (Body)"/>
      </rPr>
      <t>79% SG</t>
    </r>
    <r>
      <rPr>
        <sz val="12"/>
        <color theme="1"/>
        <rFont val="Calibri (Body)"/>
      </rPr>
      <t>, 18% SF</t>
    </r>
  </si>
  <si>
    <t>Terrance Ferguson</t>
  </si>
  <si>
    <t>Adelaide 36ers (Australia)</t>
  </si>
  <si>
    <r>
      <t xml:space="preserve">2% SG, </t>
    </r>
    <r>
      <rPr>
        <u/>
        <sz val="12"/>
        <color theme="1"/>
        <rFont val="Calibri (Body)"/>
      </rPr>
      <t>91% SF</t>
    </r>
    <r>
      <rPr>
        <sz val="12"/>
        <color theme="1"/>
        <rFont val="Calibri"/>
        <family val="2"/>
        <scheme val="minor"/>
      </rPr>
      <t>, 7% PF</t>
    </r>
  </si>
  <si>
    <t>Darius Bazley</t>
  </si>
  <si>
    <t>New Balance Internship</t>
  </si>
  <si>
    <t>2019 Draft (#23 pick)</t>
  </si>
  <si>
    <r>
      <rPr>
        <sz val="12"/>
        <color theme="1"/>
        <rFont val="Calibri (Body)"/>
      </rPr>
      <t xml:space="preserve">3% SF, </t>
    </r>
    <r>
      <rPr>
        <u/>
        <sz val="12"/>
        <color theme="1"/>
        <rFont val="Calibri (Body)"/>
      </rPr>
      <t>97% PF</t>
    </r>
    <r>
      <rPr>
        <sz val="12"/>
        <color theme="1"/>
        <rFont val="Calibri (Body)"/>
      </rPr>
      <t>, 1% C</t>
    </r>
  </si>
  <si>
    <t>Obradoiro CAB (Spain)</t>
  </si>
  <si>
    <t>1% PF, 99% C</t>
  </si>
  <si>
    <t>Cap Space (BOS)</t>
  </si>
  <si>
    <r>
      <t xml:space="preserve">2% SG, </t>
    </r>
    <r>
      <rPr>
        <u/>
        <sz val="12"/>
        <color theme="1"/>
        <rFont val="Calibri (Body)"/>
      </rPr>
      <t>58% SF</t>
    </r>
    <r>
      <rPr>
        <sz val="12"/>
        <color theme="1"/>
        <rFont val="Calibri"/>
        <family val="2"/>
        <scheme val="minor"/>
      </rPr>
      <t>, 40% PF</t>
    </r>
  </si>
  <si>
    <t>Isaiah Roby</t>
  </si>
  <si>
    <t>Nebraska</t>
  </si>
  <si>
    <t>Traded from DAL on 1/24/20</t>
  </si>
  <si>
    <t>MLE (DAL)</t>
  </si>
  <si>
    <t>100% PF</t>
  </si>
  <si>
    <t>2018 Draft (#45 pick)</t>
  </si>
  <si>
    <r>
      <t xml:space="preserve">15% SG, </t>
    </r>
    <r>
      <rPr>
        <u/>
        <sz val="12"/>
        <color theme="1"/>
        <rFont val="Calibri (Body)"/>
      </rPr>
      <t>76% SF</t>
    </r>
    <r>
      <rPr>
        <sz val="12"/>
        <color theme="1"/>
        <rFont val="Calibri"/>
        <family val="2"/>
        <scheme val="minor"/>
      </rPr>
      <t>, 8% PF</t>
    </r>
  </si>
  <si>
    <t>Wonju DB Promy (South Korea)</t>
  </si>
  <si>
    <t>Signed on 7/7/18</t>
  </si>
  <si>
    <r>
      <t xml:space="preserve">12% PG, 37% SG, </t>
    </r>
    <r>
      <rPr>
        <u/>
        <sz val="12"/>
        <color theme="1"/>
        <rFont val="Calibri (Body)"/>
      </rPr>
      <t>45% SF</t>
    </r>
    <r>
      <rPr>
        <sz val="12"/>
        <color theme="1"/>
        <rFont val="Calibri"/>
        <family val="2"/>
        <scheme val="minor"/>
      </rPr>
      <t>, 7% PF</t>
    </r>
  </si>
  <si>
    <t>Luguentz Dort</t>
  </si>
  <si>
    <r>
      <t xml:space="preserve">3% PG, 16% SG, </t>
    </r>
    <r>
      <rPr>
        <u/>
        <sz val="12"/>
        <color theme="1"/>
        <rFont val="Calibri (Body)"/>
      </rPr>
      <t>79% SF</t>
    </r>
    <r>
      <rPr>
        <sz val="12"/>
        <color theme="1"/>
        <rFont val="Calibri"/>
        <family val="2"/>
        <scheme val="minor"/>
      </rPr>
      <t>, 2% PF</t>
    </r>
  </si>
  <si>
    <t>Kevin Hervey</t>
  </si>
  <si>
    <t>UT-Arlington</t>
  </si>
  <si>
    <t>Signed on 12/12/19</t>
  </si>
  <si>
    <r>
      <t xml:space="preserve">49% PF, </t>
    </r>
    <r>
      <rPr>
        <u/>
        <sz val="12"/>
        <color theme="1"/>
        <rFont val="Calibri (Body)"/>
      </rPr>
      <t>51% C</t>
    </r>
  </si>
  <si>
    <t>Billy Donovan</t>
  </si>
  <si>
    <t>2021 1st from Miami and/or Houston (OKC receives two most favorable of own pick, MIA pick, and HOU pick protected 1-4)</t>
  </si>
  <si>
    <t>2022 1st from LA Clippers (unprotected)</t>
  </si>
  <si>
    <t>2023 1st from LA Clippers (right to swap, unprotected)</t>
  </si>
  <si>
    <t>2023 1st from Miami (protected 1-14 in 2023-2025, unprotected in 2026)</t>
  </si>
  <si>
    <t>2024 1st from Houston (protected 1-4, becomes 2024 and 2025 2nds)</t>
  </si>
  <si>
    <t>2024 1st from LA Clippers (unprotected)</t>
  </si>
  <si>
    <t>2024 2nd from Memphis (unprotected)</t>
  </si>
  <si>
    <t>2025 1st from Houston/LA Clippers (OKC has right to swap its pick with LAC or HOU pick protected 1-10)</t>
  </si>
  <si>
    <t>2026 1st from Houston (protected 1-4, becomes 2026 2nd)</t>
  </si>
  <si>
    <t>2026 1st from LA Clippers (unprotected)</t>
  </si>
  <si>
    <t>2022 1st to Atlanta (protected 1-14, becomes 2024 and 2025 2nds)</t>
  </si>
  <si>
    <t>Lost to POR in first round (4-1)</t>
  </si>
  <si>
    <t>Lost to UTA in first round (4-2)</t>
  </si>
  <si>
    <t>Beat DAL in first round (4-1), Beat SAS in second round (4-2), lost to GSW in WCF (4-3)</t>
  </si>
  <si>
    <t>Scott Brooks</t>
  </si>
  <si>
    <t>Beat MEM in first round (4-3), Beat OKC in second round (4-2), lost to SAS in WCF (4-2)</t>
  </si>
  <si>
    <t>Beat HOU in first round (4-2), lost to MEM in second round (4-1)</t>
  </si>
  <si>
    <t>Beat DAL in first round (4-0), Beat LAL in second round (4-1), Beat SAS in WCF (4-2), lost to MIA in NBA Finals (4-1)</t>
  </si>
  <si>
    <t>Beat DEN in first round (4-1), Beat MEM in second round (4-3), lost to DAL in WCF (4-1)</t>
  </si>
  <si>
    <t>Nikola Vucevic</t>
  </si>
  <si>
    <t>Traded from PHI on 8/10/12</t>
  </si>
  <si>
    <t>2014 Draft (#4 pick)</t>
  </si>
  <si>
    <t>$1,000,000 annual unlikely incentives (unknown)</t>
  </si>
  <si>
    <r>
      <t xml:space="preserve">15% SF, </t>
    </r>
    <r>
      <rPr>
        <u/>
        <sz val="12"/>
        <color theme="1"/>
        <rFont val="Calibri"/>
        <family val="2"/>
      </rPr>
      <t>83% PF</t>
    </r>
    <r>
      <rPr>
        <sz val="12"/>
        <color theme="1"/>
        <rFont val="Calibri"/>
        <family val="2"/>
      </rPr>
      <t>, 2% C</t>
    </r>
  </si>
  <si>
    <t>Poitiers Basket 86 (France)</t>
  </si>
  <si>
    <t>Traded from DEN on 6/26/14</t>
  </si>
  <si>
    <t>$150,000 annual likely incentives (playoffs), $1,000,000 annual unlikely incentives ($500,000 for championship, $500,000 for All-Star)</t>
  </si>
  <si>
    <r>
      <rPr>
        <u/>
        <sz val="12"/>
        <color theme="1"/>
        <rFont val="Calibri"/>
        <family val="2"/>
      </rPr>
      <t>53% SG</t>
    </r>
    <r>
      <rPr>
        <sz val="12"/>
        <color theme="1"/>
        <rFont val="Calibri"/>
        <family val="2"/>
      </rPr>
      <t>, 47% SF</t>
    </r>
  </si>
  <si>
    <t>Traded from TOR on 2/14/17</t>
  </si>
  <si>
    <r>
      <t xml:space="preserve">2% PG, </t>
    </r>
    <r>
      <rPr>
        <u/>
        <sz val="12"/>
        <color theme="1"/>
        <rFont val="Calibri"/>
        <family val="2"/>
      </rPr>
      <t>71% SG</t>
    </r>
    <r>
      <rPr>
        <sz val="12"/>
        <color theme="1"/>
        <rFont val="Calibri"/>
        <family val="2"/>
      </rPr>
      <t>, 27% SF</t>
    </r>
  </si>
  <si>
    <t>Markelle Fultz</t>
  </si>
  <si>
    <t>Traded from PHI on 2/7/19</t>
  </si>
  <si>
    <r>
      <rPr>
        <u/>
        <sz val="12"/>
        <color theme="1"/>
        <rFont val="Calibri"/>
        <family val="2"/>
      </rPr>
      <t>87% PG</t>
    </r>
    <r>
      <rPr>
        <sz val="12"/>
        <color theme="1"/>
        <rFont val="Calibri"/>
        <family val="2"/>
      </rPr>
      <t>, 13% SG</t>
    </r>
  </si>
  <si>
    <t>Al-Farouq Aminu</t>
  </si>
  <si>
    <r>
      <rPr>
        <u/>
        <sz val="12"/>
        <color theme="1"/>
        <rFont val="Calibri"/>
        <family val="2"/>
      </rPr>
      <t>98% PF</t>
    </r>
    <r>
      <rPr>
        <sz val="12"/>
        <color theme="1"/>
        <rFont val="Calibri"/>
        <family val="2"/>
      </rPr>
      <t>, 2% C</t>
    </r>
  </si>
  <si>
    <t>Signed on 7/7/16</t>
  </si>
  <si>
    <t>Jonathan Isaac</t>
  </si>
  <si>
    <t>2017 Draft (#6 pick)</t>
  </si>
  <si>
    <r>
      <rPr>
        <u/>
        <sz val="12"/>
        <color theme="1"/>
        <rFont val="Calibri"/>
        <family val="2"/>
      </rPr>
      <t>56% SF</t>
    </r>
    <r>
      <rPr>
        <sz val="12"/>
        <color theme="1"/>
        <rFont val="Calibri"/>
        <family val="2"/>
      </rPr>
      <t>, 44% PF</t>
    </r>
  </si>
  <si>
    <t>Mo Bamba</t>
  </si>
  <si>
    <t>2018 Draft (#6 pick)</t>
  </si>
  <si>
    <t>Khem Birch</t>
  </si>
  <si>
    <t>Olympiacos (Greece)</t>
  </si>
  <si>
    <t>Signed on 7/27/17</t>
  </si>
  <si>
    <r>
      <t xml:space="preserve">43% PF, </t>
    </r>
    <r>
      <rPr>
        <u/>
        <sz val="12"/>
        <color theme="1"/>
        <rFont val="Calibri"/>
        <family val="2"/>
      </rPr>
      <t>58% C</t>
    </r>
  </si>
  <si>
    <t>Perth Wildcats (Australia)</t>
  </si>
  <si>
    <t>Traded from PHI on 2/6/20</t>
  </si>
  <si>
    <r>
      <rPr>
        <u/>
        <sz val="12"/>
        <color theme="1"/>
        <rFont val="Calibri"/>
        <family val="2"/>
      </rPr>
      <t>67% SF</t>
    </r>
    <r>
      <rPr>
        <sz val="12"/>
        <color theme="1"/>
        <rFont val="Calibri"/>
        <family val="2"/>
      </rPr>
      <t>, 33% PF</t>
    </r>
  </si>
  <si>
    <t>Syracuase</t>
  </si>
  <si>
    <t>Signed on 3/15/19</t>
  </si>
  <si>
    <r>
      <t xml:space="preserve">33% PG, </t>
    </r>
    <r>
      <rPr>
        <u/>
        <sz val="12"/>
        <color theme="1"/>
        <rFont val="Calibri"/>
        <family val="2"/>
      </rPr>
      <t>66% SG</t>
    </r>
    <r>
      <rPr>
        <sz val="12"/>
        <color theme="1"/>
        <rFont val="Calibri"/>
        <family val="2"/>
      </rPr>
      <t>, 1% SF</t>
    </r>
  </si>
  <si>
    <r>
      <t xml:space="preserve">1% PG, 9% SG, </t>
    </r>
    <r>
      <rPr>
        <u/>
        <sz val="12"/>
        <color theme="1"/>
        <rFont val="Calibri"/>
        <family val="2"/>
      </rPr>
      <t>82% SF</t>
    </r>
    <r>
      <rPr>
        <sz val="12"/>
        <color theme="1"/>
        <rFont val="Calibri"/>
        <family val="2"/>
      </rPr>
      <t>, 8% PF</t>
    </r>
  </si>
  <si>
    <t>2018 Draft (#35 pick)</t>
  </si>
  <si>
    <r>
      <rPr>
        <u/>
        <sz val="12"/>
        <color theme="1"/>
        <rFont val="Calibri"/>
        <family val="2"/>
      </rPr>
      <t>91% SG</t>
    </r>
    <r>
      <rPr>
        <sz val="12"/>
        <color theme="1"/>
        <rFont val="Calibri"/>
        <family val="2"/>
      </rPr>
      <t>, 10% SF</t>
    </r>
  </si>
  <si>
    <t>Gary Clark</t>
  </si>
  <si>
    <r>
      <t xml:space="preserve">12% SF, </t>
    </r>
    <r>
      <rPr>
        <u/>
        <sz val="12"/>
        <color theme="1"/>
        <rFont val="Calibri"/>
        <family val="2"/>
      </rPr>
      <t>87% PF</t>
    </r>
    <r>
      <rPr>
        <sz val="12"/>
        <color theme="1"/>
        <rFont val="Calibri"/>
        <family val="2"/>
      </rPr>
      <t>, 1% C</t>
    </r>
  </si>
  <si>
    <t>B.J. Johnson</t>
  </si>
  <si>
    <t>La Salle</t>
  </si>
  <si>
    <t>Signed on 11/4/19</t>
  </si>
  <si>
    <r>
      <t>34% SG,</t>
    </r>
    <r>
      <rPr>
        <u/>
        <sz val="12"/>
        <color theme="1"/>
        <rFont val="Calibri"/>
        <family val="2"/>
      </rPr>
      <t xml:space="preserve"> 64% SF</t>
    </r>
    <r>
      <rPr>
        <sz val="12"/>
        <color theme="1"/>
        <rFont val="Calibri"/>
        <family val="2"/>
      </rPr>
      <t>, 2% PF</t>
    </r>
  </si>
  <si>
    <t>Vic Law</t>
  </si>
  <si>
    <t>Northwestern</t>
  </si>
  <si>
    <t>Signed on 1/11/20</t>
  </si>
  <si>
    <t>Chuma Okeke</t>
  </si>
  <si>
    <t>Lost to TOR in first round (4-1)</t>
  </si>
  <si>
    <t>Jacque Vaughn / James Borrego</t>
  </si>
  <si>
    <t>Lost to IND in first round (4-1)</t>
  </si>
  <si>
    <t>Tobias Harris</t>
  </si>
  <si>
    <t>Traded from LAC on 2/6/19</t>
  </si>
  <si>
    <t>Trade kicker (lesser value of 5% or $5,000,000)</t>
  </si>
  <si>
    <r>
      <t xml:space="preserve">23% SF, </t>
    </r>
    <r>
      <rPr>
        <u/>
        <sz val="12"/>
        <color theme="1"/>
        <rFont val="Calibri"/>
        <family val="2"/>
      </rPr>
      <t>74% PF</t>
    </r>
    <r>
      <rPr>
        <sz val="12"/>
        <color theme="1"/>
        <rFont val="Calibri"/>
        <family val="2"/>
      </rPr>
      <t>, 3% C</t>
    </r>
  </si>
  <si>
    <t>Al Horford</t>
  </si>
  <si>
    <r>
      <t xml:space="preserve">30% PF, </t>
    </r>
    <r>
      <rPr>
        <u/>
        <sz val="12"/>
        <color theme="1"/>
        <rFont val="Calibri"/>
        <family val="2"/>
      </rPr>
      <t>70% C</t>
    </r>
  </si>
  <si>
    <t>Joel Embiid</t>
  </si>
  <si>
    <t>2014 Draft (#3 pick)</t>
  </si>
  <si>
    <t>Josh Richardson</t>
  </si>
  <si>
    <r>
      <t xml:space="preserve">15% PG, </t>
    </r>
    <r>
      <rPr>
        <u/>
        <sz val="12"/>
        <color theme="1"/>
        <rFont val="Calibri"/>
        <family val="2"/>
      </rPr>
      <t>68% SG</t>
    </r>
    <r>
      <rPr>
        <sz val="12"/>
        <color theme="1"/>
        <rFont val="Calibri"/>
        <family val="2"/>
      </rPr>
      <t>, 17% SF</t>
    </r>
  </si>
  <si>
    <t>2016 Draft (#1 pick)</t>
  </si>
  <si>
    <t>15% trade kicker, 25% of cap max extension: becomes 28% w/ All-NBA 3rd, 29% w/ All-NBA 2nd, 30% w/ All-NBA 1st</t>
  </si>
  <si>
    <r>
      <rPr>
        <u/>
        <sz val="12"/>
        <color theme="1"/>
        <rFont val="Calibri"/>
        <family val="2"/>
      </rPr>
      <t>93% PG</t>
    </r>
    <r>
      <rPr>
        <sz val="12"/>
        <color theme="1"/>
        <rFont val="Calibri"/>
        <family val="2"/>
      </rPr>
      <t>, 7% SG</t>
    </r>
  </si>
  <si>
    <t>Mike Scott</t>
  </si>
  <si>
    <r>
      <t xml:space="preserve">29% SF, </t>
    </r>
    <r>
      <rPr>
        <u/>
        <sz val="12"/>
        <color theme="1"/>
        <rFont val="Calibri"/>
        <family val="2"/>
      </rPr>
      <t>68% PF</t>
    </r>
    <r>
      <rPr>
        <sz val="12"/>
        <color theme="1"/>
        <rFont val="Calibri"/>
        <family val="2"/>
      </rPr>
      <t>, 3% C</t>
    </r>
  </si>
  <si>
    <t>Zhaire Smith</t>
  </si>
  <si>
    <r>
      <t xml:space="preserve">44% SG, </t>
    </r>
    <r>
      <rPr>
        <u/>
        <sz val="12"/>
        <color theme="1"/>
        <rFont val="Calibri"/>
        <family val="2"/>
      </rPr>
      <t>57% SF</t>
    </r>
  </si>
  <si>
    <t>Matisse Thybulle</t>
  </si>
  <si>
    <t>2019 Draft (#20 pick)</t>
  </si>
  <si>
    <r>
      <t xml:space="preserve">16% PG, </t>
    </r>
    <r>
      <rPr>
        <u/>
        <sz val="12"/>
        <color theme="1"/>
        <rFont val="Calibri"/>
        <family val="2"/>
      </rPr>
      <t>81% SG</t>
    </r>
    <r>
      <rPr>
        <sz val="12"/>
        <color theme="1"/>
        <rFont val="Calibri"/>
        <family val="2"/>
      </rPr>
      <t>, 3% SF, 1% PF</t>
    </r>
  </si>
  <si>
    <r>
      <t xml:space="preserve">4% SG, </t>
    </r>
    <r>
      <rPr>
        <u/>
        <sz val="12"/>
        <color theme="1"/>
        <rFont val="Calibri"/>
        <family val="2"/>
      </rPr>
      <t>80% SF</t>
    </r>
    <r>
      <rPr>
        <sz val="12"/>
        <color theme="1"/>
        <rFont val="Calibri"/>
        <family val="2"/>
      </rPr>
      <t>, 17% PF</t>
    </r>
  </si>
  <si>
    <r>
      <t xml:space="preserve">1% PG, 19% SG, </t>
    </r>
    <r>
      <rPr>
        <u/>
        <sz val="12"/>
        <color theme="1"/>
        <rFont val="Calibri"/>
        <family val="2"/>
      </rPr>
      <t>79% SF</t>
    </r>
    <r>
      <rPr>
        <sz val="12"/>
        <color theme="1"/>
        <rFont val="Calibri"/>
        <family val="2"/>
      </rPr>
      <t>, 1% PF</t>
    </r>
  </si>
  <si>
    <t>Bandirma BIK (Turkey)</t>
  </si>
  <si>
    <t>2016 Draft (#26 pick) - signed on 7/4/17</t>
  </si>
  <si>
    <r>
      <t xml:space="preserve">1% PG, 41% SG, </t>
    </r>
    <r>
      <rPr>
        <u/>
        <sz val="12"/>
        <color theme="1"/>
        <rFont val="Calibri"/>
        <family val="2"/>
      </rPr>
      <t>55% SF</t>
    </r>
    <r>
      <rPr>
        <sz val="12"/>
        <color theme="1"/>
        <rFont val="Calibri"/>
        <family val="2"/>
      </rPr>
      <t>, 2% PF</t>
    </r>
  </si>
  <si>
    <t>UCAM Murcia CB (Spain)</t>
  </si>
  <si>
    <t>Signed on 7/12/19</t>
  </si>
  <si>
    <r>
      <rPr>
        <u/>
        <sz val="12"/>
        <color theme="1"/>
        <rFont val="Calibri"/>
        <family val="2"/>
      </rPr>
      <t>91% PG</t>
    </r>
    <r>
      <rPr>
        <sz val="12"/>
        <color theme="1"/>
        <rFont val="Calibri"/>
        <family val="2"/>
      </rPr>
      <t>, 9% SG</t>
    </r>
  </si>
  <si>
    <t>Norfolk State</t>
  </si>
  <si>
    <t>Shake Milton</t>
  </si>
  <si>
    <t>2018 Draft (#54 pick)</t>
  </si>
  <si>
    <r>
      <t xml:space="preserve">12% PG, </t>
    </r>
    <r>
      <rPr>
        <u/>
        <sz val="12"/>
        <color theme="1"/>
        <rFont val="Calibri"/>
        <family val="2"/>
      </rPr>
      <t>61% SG</t>
    </r>
    <r>
      <rPr>
        <sz val="12"/>
        <color theme="1"/>
        <rFont val="Calibri"/>
        <family val="2"/>
      </rPr>
      <t>, 25% SF, 2% PF</t>
    </r>
  </si>
  <si>
    <t>Homenetmen Beirut (Lebanon)</t>
  </si>
  <si>
    <r>
      <t xml:space="preserve">14% PF, </t>
    </r>
    <r>
      <rPr>
        <u/>
        <sz val="12"/>
        <color theme="1"/>
        <rFont val="Calibri"/>
        <family val="2"/>
      </rPr>
      <t>86% C</t>
    </r>
  </si>
  <si>
    <t>Marial Shayok</t>
  </si>
  <si>
    <t>2019 Draft (#54 pick)</t>
  </si>
  <si>
    <r>
      <rPr>
        <u/>
        <sz val="12"/>
        <color theme="1"/>
        <rFont val="Calibri"/>
        <family val="2"/>
      </rPr>
      <t>69% SG</t>
    </r>
    <r>
      <rPr>
        <sz val="12"/>
        <color theme="1"/>
        <rFont val="Calibri"/>
        <family val="2"/>
      </rPr>
      <t>, 27% SF, 4% PF</t>
    </r>
  </si>
  <si>
    <t>Brett Brown</t>
  </si>
  <si>
    <t>2021 2nd from New York</t>
  </si>
  <si>
    <t>2023 2nd from Atlanta / Charlotte / Brooklyn (most favorable)</t>
  </si>
  <si>
    <t>2024 2nd from Miami (protected 31-55)</t>
  </si>
  <si>
    <t>2021 2nd to Houston (Houston has the right to swap picks)</t>
  </si>
  <si>
    <t>2022 2nd to Minnesota / Miami</t>
  </si>
  <si>
    <t>Beat BKN in first round (4-1), lost to TOR in second round (4-3)</t>
  </si>
  <si>
    <t>Beat MIA in first round (4-1), lost to BOS in second round (4-1)</t>
  </si>
  <si>
    <t>Doug Collins</t>
  </si>
  <si>
    <t>Beat CHI in first round (4-2), lost to BOS in second round (4-3)</t>
  </si>
  <si>
    <t>Devin Booker</t>
  </si>
  <si>
    <t>2015 Draft (#13 pick)</t>
  </si>
  <si>
    <r>
      <t xml:space="preserve">1% PG, </t>
    </r>
    <r>
      <rPr>
        <u/>
        <sz val="12"/>
        <color theme="1"/>
        <rFont val="Calibri (Body)"/>
      </rPr>
      <t>88% SG</t>
    </r>
    <r>
      <rPr>
        <sz val="12"/>
        <color theme="1"/>
        <rFont val="Calibri"/>
        <family val="2"/>
        <scheme val="minor"/>
      </rPr>
      <t>, 11% SF, 1% PF</t>
    </r>
  </si>
  <si>
    <t>Ricky Rubio</t>
  </si>
  <si>
    <r>
      <rPr>
        <u/>
        <sz val="12"/>
        <color theme="1"/>
        <rFont val="Calibri (Body)"/>
      </rPr>
      <t>90% PG</t>
    </r>
    <r>
      <rPr>
        <sz val="12"/>
        <color theme="1"/>
        <rFont val="Calibri"/>
        <family val="2"/>
        <scheme val="minor"/>
      </rPr>
      <t>, 10% SG</t>
    </r>
  </si>
  <si>
    <t>Kelly Oubre Jr.</t>
  </si>
  <si>
    <r>
      <t xml:space="preserve">2% SG, </t>
    </r>
    <r>
      <rPr>
        <u/>
        <sz val="12"/>
        <color theme="1"/>
        <rFont val="Calibri (Body)"/>
      </rPr>
      <t>61% SF</t>
    </r>
    <r>
      <rPr>
        <sz val="12"/>
        <color theme="1"/>
        <rFont val="Calibri"/>
        <family val="2"/>
        <scheme val="minor"/>
      </rPr>
      <t>, 37% PF</t>
    </r>
  </si>
  <si>
    <t>DeAndre Ayton</t>
  </si>
  <si>
    <t>2018 Draft (#1 pick)</t>
  </si>
  <si>
    <t>Frank Kaminksy</t>
  </si>
  <si>
    <t>Wisconsin</t>
  </si>
  <si>
    <t>Mikal Bridges</t>
  </si>
  <si>
    <t>2018 Draft (#10 pick)</t>
  </si>
  <si>
    <r>
      <t xml:space="preserve">14% SG, </t>
    </r>
    <r>
      <rPr>
        <u/>
        <sz val="12"/>
        <color theme="1"/>
        <rFont val="Calibri (Body)"/>
      </rPr>
      <t>78% SF</t>
    </r>
    <r>
      <rPr>
        <sz val="12"/>
        <color theme="1"/>
        <rFont val="Calibri"/>
        <family val="2"/>
        <scheme val="minor"/>
      </rPr>
      <t>, 8% PF</t>
    </r>
  </si>
  <si>
    <t>Cam Johnson</t>
  </si>
  <si>
    <t>2019 Draft (#11 pick)</t>
  </si>
  <si>
    <r>
      <t xml:space="preserve">21% SF, </t>
    </r>
    <r>
      <rPr>
        <u/>
        <sz val="12"/>
        <color theme="1"/>
        <rFont val="Calibri (Body)"/>
      </rPr>
      <t>78% PF</t>
    </r>
    <r>
      <rPr>
        <sz val="12"/>
        <color theme="1"/>
        <rFont val="Calibri"/>
        <family val="2"/>
        <scheme val="minor"/>
      </rPr>
      <t>, 1% C</t>
    </r>
  </si>
  <si>
    <t>Traded from MIN on 7/6/19</t>
  </si>
  <si>
    <t>Ty Jerome</t>
  </si>
  <si>
    <r>
      <t xml:space="preserve">36% PG, </t>
    </r>
    <r>
      <rPr>
        <u/>
        <sz val="12"/>
        <color theme="1"/>
        <rFont val="Calibri (Body)"/>
      </rPr>
      <t>36% SG</t>
    </r>
    <r>
      <rPr>
        <sz val="12"/>
        <color theme="1"/>
        <rFont val="Calibri"/>
        <family val="2"/>
        <scheme val="minor"/>
      </rPr>
      <t>, 26% SF, 2% PF</t>
    </r>
  </si>
  <si>
    <t>Signed from NOP on 7/23/19</t>
  </si>
  <si>
    <r>
      <t xml:space="preserve">18% PF, </t>
    </r>
    <r>
      <rPr>
        <u/>
        <sz val="12"/>
        <color theme="1"/>
        <rFont val="Calibri (Body)"/>
      </rPr>
      <t>82% C</t>
    </r>
  </si>
  <si>
    <t>West Virginia</t>
  </si>
  <si>
    <t>Traded from MEM on 7/7/19</t>
  </si>
  <si>
    <t>Elan Bearnais (France)</t>
  </si>
  <si>
    <t>2018 Draft (#31 pick)</t>
  </si>
  <si>
    <r>
      <rPr>
        <u/>
        <sz val="12"/>
        <color theme="1"/>
        <rFont val="Calibri (Body)"/>
      </rPr>
      <t>60% PG</t>
    </r>
    <r>
      <rPr>
        <sz val="12"/>
        <color theme="1"/>
        <rFont val="Calibri"/>
        <family val="2"/>
        <scheme val="minor"/>
      </rPr>
      <t>, 36% SG, 4% SF</t>
    </r>
  </si>
  <si>
    <t>Jalen Lecque</t>
  </si>
  <si>
    <t>Brewster Academy HS</t>
  </si>
  <si>
    <t>Tariq Owens</t>
  </si>
  <si>
    <r>
      <t>69% PF</t>
    </r>
    <r>
      <rPr>
        <sz val="12"/>
        <color theme="1"/>
        <rFont val="Calibri (Body)"/>
      </rPr>
      <t>, 31% C</t>
    </r>
  </si>
  <si>
    <t>2021 2nd to Memphis or Brooklyn</t>
  </si>
  <si>
    <t>Igor Kokoskov</t>
  </si>
  <si>
    <t>Earl Watson / Jay Triano</t>
  </si>
  <si>
    <t>Earl Watson</t>
  </si>
  <si>
    <t>Jeff Hornacek / Earl Watson</t>
  </si>
  <si>
    <t>Alvin Gentry / Lindsey Hunter</t>
  </si>
  <si>
    <t>Damian Lillard</t>
  </si>
  <si>
    <t>Weber State</t>
  </si>
  <si>
    <t>2012 Draft (#6 pick)</t>
  </si>
  <si>
    <t>Bird Rights / Bird Rights</t>
  </si>
  <si>
    <t>CJ McCollum</t>
  </si>
  <si>
    <t>Lehigh</t>
  </si>
  <si>
    <t>2013 Draft (#10 pick)</t>
  </si>
  <si>
    <t>Marshall</t>
  </si>
  <si>
    <t>Traded from DEN on 2/13/17</t>
  </si>
  <si>
    <t>Traded from SAC on 1/21/20</t>
  </si>
  <si>
    <r>
      <t xml:space="preserve">4% SG, </t>
    </r>
    <r>
      <rPr>
        <u/>
        <sz val="12"/>
        <color theme="1"/>
        <rFont val="Calibri (Body)"/>
      </rPr>
      <t>88% SF</t>
    </r>
    <r>
      <rPr>
        <sz val="12"/>
        <color theme="1"/>
        <rFont val="Calibri (Body)"/>
      </rPr>
      <t>, 9% PF</t>
    </r>
  </si>
  <si>
    <t>Traded from CLE on 2/4/19</t>
  </si>
  <si>
    <t>Zach Collins</t>
  </si>
  <si>
    <t>2017 Draft (#10 pick)</t>
  </si>
  <si>
    <t>Anfernee Simons</t>
  </si>
  <si>
    <t>IMG Academy</t>
  </si>
  <si>
    <t>2018 Draft (#24 pick)</t>
  </si>
  <si>
    <t>Nassir Little</t>
  </si>
  <si>
    <t>2019 Draft (#25 pick)</t>
  </si>
  <si>
    <t>Caleb Swanigan</t>
  </si>
  <si>
    <r>
      <t xml:space="preserve">23% SF, </t>
    </r>
    <r>
      <rPr>
        <u/>
        <sz val="12"/>
        <color theme="1"/>
        <rFont val="Calibri (Body)"/>
      </rPr>
      <t>74% PF</t>
    </r>
    <r>
      <rPr>
        <sz val="12"/>
        <color theme="1"/>
        <rFont val="Calibri (Body)"/>
      </rPr>
      <t>, 3% C</t>
    </r>
  </si>
  <si>
    <t>Gary Trent Jr.</t>
  </si>
  <si>
    <t>2018 Draft (#37 pick)</t>
  </si>
  <si>
    <t>Signed on 11/15/19</t>
  </si>
  <si>
    <r>
      <rPr>
        <u/>
        <sz val="12"/>
        <color theme="1"/>
        <rFont val="Calibri (Body)"/>
      </rPr>
      <t>86% PF</t>
    </r>
    <r>
      <rPr>
        <sz val="12"/>
        <color theme="1"/>
        <rFont val="Calibri (Body)"/>
      </rPr>
      <t>, 14% C</t>
    </r>
  </si>
  <si>
    <t>Moses Brown</t>
  </si>
  <si>
    <t>Jaylen Hoard</t>
  </si>
  <si>
    <t>Terry Stotts</t>
  </si>
  <si>
    <t>2024 2nd from Atlanta (protected 31-55)</t>
  </si>
  <si>
    <t>2021 2nd to Memphis</t>
  </si>
  <si>
    <t>2023 2nd to Detroit</t>
  </si>
  <si>
    <t>2024 2nd to Sacramento</t>
  </si>
  <si>
    <t>2025 2nd to Sacramento</t>
  </si>
  <si>
    <t>Beat OKC in first round (4-1), beat DEN in second round (4-3), lost to GSW in WCF (4-0)</t>
  </si>
  <si>
    <t>Lost to NOP in first round (4-0)</t>
  </si>
  <si>
    <t>Beat LAC in first round (4-2), lost to GSW in second round (4-1)</t>
  </si>
  <si>
    <t>Lost to MEM in first round (4-1)</t>
  </si>
  <si>
    <t>Beat HOU in first round (4-2), lost to SAS in second round (4-1)</t>
  </si>
  <si>
    <t>Nate McMillan / Kaleb Canales</t>
  </si>
  <si>
    <t>Lost to DAL in first round (4-2)</t>
  </si>
  <si>
    <t>Harrison Barnes</t>
  </si>
  <si>
    <t>Traded from DAL on 2/7/19</t>
  </si>
  <si>
    <r>
      <t xml:space="preserve">43% SF, </t>
    </r>
    <r>
      <rPr>
        <u/>
        <sz val="12"/>
        <color theme="1"/>
        <rFont val="Calibri"/>
        <family val="2"/>
      </rPr>
      <t>54% PF</t>
    </r>
    <r>
      <rPr>
        <sz val="12"/>
        <color theme="1"/>
        <rFont val="Calibri"/>
        <family val="2"/>
      </rPr>
      <t>, 3% C</t>
    </r>
  </si>
  <si>
    <t>Old Dominion</t>
  </si>
  <si>
    <t>Cap Space (ATL)</t>
  </si>
  <si>
    <r>
      <rPr>
        <u/>
        <sz val="12"/>
        <color theme="1"/>
        <rFont val="Calibri"/>
        <family val="2"/>
      </rPr>
      <t>88% SG</t>
    </r>
    <r>
      <rPr>
        <sz val="12"/>
        <color theme="1"/>
        <rFont val="Calibri"/>
        <family val="2"/>
      </rPr>
      <t>, 12% SF</t>
    </r>
  </si>
  <si>
    <t>Cory Joseph</t>
  </si>
  <si>
    <t>Signed from IND on 7/6/19</t>
  </si>
  <si>
    <r>
      <rPr>
        <u/>
        <sz val="12"/>
        <color theme="1"/>
        <rFont val="Calibri"/>
        <family val="2"/>
      </rPr>
      <t>75% PG</t>
    </r>
    <r>
      <rPr>
        <sz val="12"/>
        <color theme="1"/>
        <rFont val="Calibri"/>
        <family val="2"/>
      </rPr>
      <t>, 25% SG</t>
    </r>
  </si>
  <si>
    <t>Marvin Bagley III</t>
  </si>
  <si>
    <t>2018 Draft (#2 pick)</t>
  </si>
  <si>
    <r>
      <t xml:space="preserve">12% PF, </t>
    </r>
    <r>
      <rPr>
        <u/>
        <sz val="12"/>
        <color theme="1"/>
        <rFont val="Calibri"/>
        <family val="2"/>
      </rPr>
      <t>88% C</t>
    </r>
  </si>
  <si>
    <r>
      <t xml:space="preserve">40% SG, </t>
    </r>
    <r>
      <rPr>
        <u/>
        <sz val="12"/>
        <color theme="1"/>
        <rFont val="Calibri"/>
        <family val="2"/>
      </rPr>
      <t>55% SF</t>
    </r>
    <r>
      <rPr>
        <sz val="12"/>
        <color theme="1"/>
        <rFont val="Calibri"/>
        <family val="2"/>
      </rPr>
      <t>, 5% PF</t>
    </r>
  </si>
  <si>
    <t>Signed from MIN on 7/21/18</t>
  </si>
  <si>
    <r>
      <rPr>
        <u/>
        <sz val="12"/>
        <color theme="1"/>
        <rFont val="Calibri"/>
        <family val="2"/>
      </rPr>
      <t>83% PF</t>
    </r>
    <r>
      <rPr>
        <sz val="12"/>
        <color theme="1"/>
        <rFont val="Calibri"/>
        <family val="2"/>
      </rPr>
      <t>, 17% C</t>
    </r>
  </si>
  <si>
    <t>Traded from ATL on 2/6/20</t>
  </si>
  <si>
    <t>De'Aaron Fox</t>
  </si>
  <si>
    <t>2017 Draft (#5 pick)</t>
  </si>
  <si>
    <r>
      <rPr>
        <u/>
        <sz val="12"/>
        <color theme="1"/>
        <rFont val="Calibri"/>
        <family val="2"/>
      </rPr>
      <t>98% PG</t>
    </r>
    <r>
      <rPr>
        <sz val="12"/>
        <color theme="1"/>
        <rFont val="Calibri"/>
        <family val="2"/>
      </rPr>
      <t>, 2% SG</t>
    </r>
  </si>
  <si>
    <t>Traded from NOP on 2/20/17</t>
  </si>
  <si>
    <r>
      <t xml:space="preserve">3% PG, </t>
    </r>
    <r>
      <rPr>
        <u/>
        <sz val="12"/>
        <color theme="1"/>
        <rFont val="Calibri"/>
        <family val="2"/>
      </rPr>
      <t>74% SG</t>
    </r>
    <r>
      <rPr>
        <sz val="12"/>
        <color theme="1"/>
        <rFont val="Calibri"/>
        <family val="2"/>
      </rPr>
      <t>, 21% SF, 2% PF</t>
    </r>
  </si>
  <si>
    <t>Richaun Holmes</t>
  </si>
  <si>
    <t>Bowling Green</t>
  </si>
  <si>
    <t>Signed from PHX on 7/16/19</t>
  </si>
  <si>
    <t>Signed from DAL on 7/20/18</t>
  </si>
  <si>
    <t>Justin James</t>
  </si>
  <si>
    <r>
      <t xml:space="preserve">1% PG, </t>
    </r>
    <r>
      <rPr>
        <u/>
        <sz val="12"/>
        <color theme="1"/>
        <rFont val="Calibri"/>
        <family val="2"/>
      </rPr>
      <t>50% SG</t>
    </r>
    <r>
      <rPr>
        <sz val="12"/>
        <color theme="1"/>
        <rFont val="Calibri"/>
        <family val="2"/>
      </rPr>
      <t>, 45% SF, 4% PF, 1% C</t>
    </r>
  </si>
  <si>
    <t>DaQuan Jeffries</t>
  </si>
  <si>
    <t>Kyle Guy</t>
  </si>
  <si>
    <t>2019 Draft (#55 pick)</t>
  </si>
  <si>
    <t>2021 2nd from Memphis</t>
  </si>
  <si>
    <t>2024 2nd from Portland</t>
  </si>
  <si>
    <t>2025 2nd from Portland</t>
  </si>
  <si>
    <t>Mike Malone / Ty Corbin / George Karl</t>
  </si>
  <si>
    <t>Paul Westphal / Keith Smart</t>
  </si>
  <si>
    <t>Paul Westphal</t>
  </si>
  <si>
    <t>Traded from TOR on 7/25/18</t>
  </si>
  <si>
    <t>Bird Rights (TOR)</t>
  </si>
  <si>
    <t>Unknown incentives ($375,000 annually?)</t>
  </si>
  <si>
    <r>
      <rPr>
        <u/>
        <sz val="12"/>
        <color theme="1"/>
        <rFont val="Calibri (Body)"/>
      </rPr>
      <t>77% SF</t>
    </r>
    <r>
      <rPr>
        <sz val="12"/>
        <color theme="1"/>
        <rFont val="Calibri"/>
        <family val="2"/>
        <scheme val="minor"/>
      </rPr>
      <t>, 23% PF</t>
    </r>
  </si>
  <si>
    <t>LaMarcus Aldridge</t>
  </si>
  <si>
    <t>Signed on 7/9/15</t>
  </si>
  <si>
    <r>
      <t xml:space="preserve">6% PF, </t>
    </r>
    <r>
      <rPr>
        <u/>
        <sz val="12"/>
        <color theme="1"/>
        <rFont val="Calibri (Body)"/>
      </rPr>
      <t>94% C</t>
    </r>
  </si>
  <si>
    <t>$500,000 annual likely incentives, $1,500,000 annual unlikely incentives</t>
  </si>
  <si>
    <r>
      <t>1% SF,</t>
    </r>
    <r>
      <rPr>
        <u/>
        <sz val="12"/>
        <color theme="1"/>
        <rFont val="Calibri (Body)"/>
      </rPr>
      <t xml:space="preserve"> 93% PF</t>
    </r>
    <r>
      <rPr>
        <sz val="12"/>
        <color theme="1"/>
        <rFont val="Calibri"/>
        <family val="2"/>
        <scheme val="minor"/>
      </rPr>
      <t>, 6% C</t>
    </r>
  </si>
  <si>
    <t>Signed on 3/20/12</t>
  </si>
  <si>
    <t>Unknown statistical bonuses</t>
  </si>
  <si>
    <r>
      <rPr>
        <u/>
        <sz val="12"/>
        <color theme="1"/>
        <rFont val="Calibri (Body)"/>
      </rPr>
      <t>84% PF</t>
    </r>
    <r>
      <rPr>
        <sz val="12"/>
        <color theme="1"/>
        <rFont val="Calibri"/>
        <family val="2"/>
        <scheme val="minor"/>
      </rPr>
      <t>, 16% C</t>
    </r>
  </si>
  <si>
    <r>
      <t xml:space="preserve">26% PG, </t>
    </r>
    <r>
      <rPr>
        <u/>
        <sz val="12"/>
        <color theme="1"/>
        <rFont val="Calibri (Body)"/>
      </rPr>
      <t>74% SG</t>
    </r>
    <r>
      <rPr>
        <sz val="12"/>
        <color theme="1"/>
        <rFont val="Calibri"/>
        <family val="2"/>
        <scheme val="minor"/>
      </rPr>
      <t>, 1% SF</t>
    </r>
  </si>
  <si>
    <t>Lonnie Walker IV</t>
  </si>
  <si>
    <t>2018 Draft (#18 pick)</t>
  </si>
  <si>
    <r>
      <t>1% PG, 20% SG,</t>
    </r>
    <r>
      <rPr>
        <u/>
        <sz val="12"/>
        <color theme="1"/>
        <rFont val="Calibri (Body)"/>
      </rPr>
      <t xml:space="preserve"> 80% SF</t>
    </r>
  </si>
  <si>
    <t>Luka Samanic</t>
  </si>
  <si>
    <t>2019 Draft (#19 pick)</t>
  </si>
  <si>
    <t>Dejounte Murray</t>
  </si>
  <si>
    <t>2016 Draft (#29 pick)</t>
  </si>
  <si>
    <r>
      <rPr>
        <u/>
        <sz val="12"/>
        <color theme="1"/>
        <rFont val="Calibri (Body)"/>
      </rPr>
      <t>77% PG</t>
    </r>
    <r>
      <rPr>
        <sz val="12"/>
        <color theme="1"/>
        <rFont val="Calibri"/>
        <family val="2"/>
        <scheme val="minor"/>
      </rPr>
      <t>, 23% SG</t>
    </r>
  </si>
  <si>
    <t>Keldon Johnson</t>
  </si>
  <si>
    <t>2019 Draft (#29 pick)</t>
  </si>
  <si>
    <r>
      <t xml:space="preserve">1% SG, </t>
    </r>
    <r>
      <rPr>
        <u/>
        <sz val="12"/>
        <color theme="1"/>
        <rFont val="Calibri (Body)"/>
      </rPr>
      <t>64% SF</t>
    </r>
    <r>
      <rPr>
        <sz val="12"/>
        <color theme="1"/>
        <rFont val="Calibri"/>
        <family val="2"/>
        <scheme val="minor"/>
      </rPr>
      <t>, 35% PF</t>
    </r>
  </si>
  <si>
    <t>Derrick White</t>
  </si>
  <si>
    <t>2017 Draft (#29 pick)</t>
  </si>
  <si>
    <r>
      <t xml:space="preserve">7% PG, </t>
    </r>
    <r>
      <rPr>
        <u/>
        <sz val="12"/>
        <color theme="1"/>
        <rFont val="Calibri (Body)"/>
      </rPr>
      <t>86% SG</t>
    </r>
    <r>
      <rPr>
        <sz val="12"/>
        <color theme="1"/>
        <rFont val="Calibri"/>
        <family val="2"/>
        <scheme val="minor"/>
      </rPr>
      <t>, 8% SF</t>
    </r>
  </si>
  <si>
    <t>Chimezie Metu</t>
  </si>
  <si>
    <r>
      <t xml:space="preserve">2% SF, 41% PF, </t>
    </r>
    <r>
      <rPr>
        <u/>
        <sz val="12"/>
        <color theme="1"/>
        <rFont val="Calibri (Body)"/>
      </rPr>
      <t>58% C</t>
    </r>
  </si>
  <si>
    <t>Mississippi State</t>
  </si>
  <si>
    <t>2019 Draft (#49 pick)</t>
  </si>
  <si>
    <r>
      <t xml:space="preserve">24% PG, </t>
    </r>
    <r>
      <rPr>
        <u/>
        <sz val="12"/>
        <color theme="1"/>
        <rFont val="Calibri (Body)"/>
      </rPr>
      <t>76% SG</t>
    </r>
  </si>
  <si>
    <t>Drew Eubanks</t>
  </si>
  <si>
    <t>Oregon State</t>
  </si>
  <si>
    <t>Signed on 9/20/18</t>
  </si>
  <si>
    <t>Gregg Popovich</t>
  </si>
  <si>
    <t>11th</t>
  </si>
  <si>
    <t>25th</t>
  </si>
  <si>
    <t>2022 2nd to Cleveland</t>
  </si>
  <si>
    <t>Lost to DEN in first round (4-3)</t>
  </si>
  <si>
    <t>Beat MEM in first round (4-2), beat HOU in second round (4-2), lost to GSW in WCF (4-0)</t>
  </si>
  <si>
    <t>Beat MEM in first round (4-0), lost to OKC in second round (4-2)</t>
  </si>
  <si>
    <t>Beat DAL in first round (4-3), beat POR in second round (4-1), beat OKC in WCF (4-2), beat MIA in NBA Finals (4-1)</t>
  </si>
  <si>
    <t>Beat LAL in first round (4-0), beat GSW in second round (4-2), beat MEM in WCF (4-0), lost to MIA in NBA Finals (4-3)</t>
  </si>
  <si>
    <t>Beat UTA in first round (4-0), beat LAC in second round (4-0), lost to OKC in WCF (4-2)</t>
  </si>
  <si>
    <t>Lost to MEM in first round (4-2)</t>
  </si>
  <si>
    <t>Traded from HOU on 7/11/12</t>
  </si>
  <si>
    <t>CB Girona (Spain)</t>
  </si>
  <si>
    <t>Bird Rights (MEM)</t>
  </si>
  <si>
    <r>
      <t xml:space="preserve">9% PF, </t>
    </r>
    <r>
      <rPr>
        <u/>
        <sz val="12"/>
        <color theme="1"/>
        <rFont val="Calibri"/>
        <family val="2"/>
      </rPr>
      <t>91% C</t>
    </r>
  </si>
  <si>
    <t>Basquet Manresa (Spain)</t>
  </si>
  <si>
    <t>Normal Powell</t>
  </si>
  <si>
    <t>2015 Draft (#46 pick)</t>
  </si>
  <si>
    <r>
      <t xml:space="preserve">14% PG, </t>
    </r>
    <r>
      <rPr>
        <u/>
        <sz val="12"/>
        <color theme="1"/>
        <rFont val="Calibri"/>
        <family val="2"/>
      </rPr>
      <t>76% SG</t>
    </r>
    <r>
      <rPr>
        <sz val="12"/>
        <color theme="1"/>
        <rFont val="Calibri"/>
        <family val="2"/>
      </rPr>
      <t>, 10% SF</t>
    </r>
  </si>
  <si>
    <t>Signed on 7/18/16</t>
  </si>
  <si>
    <r>
      <t xml:space="preserve">46% PG, </t>
    </r>
    <r>
      <rPr>
        <u/>
        <sz val="12"/>
        <color theme="1"/>
        <rFont val="Calibri"/>
        <family val="2"/>
      </rPr>
      <t>54% SG</t>
    </r>
  </si>
  <si>
    <t>Patrick McCaw</t>
  </si>
  <si>
    <t>Signed on 1/9/19</t>
  </si>
  <si>
    <r>
      <t xml:space="preserve">24% SG, </t>
    </r>
    <r>
      <rPr>
        <u/>
        <sz val="12"/>
        <color theme="1"/>
        <rFont val="Calibri"/>
        <family val="2"/>
      </rPr>
      <t>70% SF</t>
    </r>
    <r>
      <rPr>
        <sz val="12"/>
        <color theme="1"/>
        <rFont val="Calibri"/>
        <family val="2"/>
      </rPr>
      <t>, 6% PF</t>
    </r>
  </si>
  <si>
    <r>
      <rPr>
        <u/>
        <sz val="12"/>
        <color theme="1"/>
        <rFont val="Calibri"/>
        <family val="2"/>
      </rPr>
      <t>93% PF</t>
    </r>
    <r>
      <rPr>
        <sz val="12"/>
        <color theme="1"/>
        <rFont val="Calibri"/>
        <family val="2"/>
      </rPr>
      <t>, 7% C</t>
    </r>
  </si>
  <si>
    <r>
      <t xml:space="preserve">5% SG, </t>
    </r>
    <r>
      <rPr>
        <u/>
        <sz val="12"/>
        <color theme="1"/>
        <rFont val="Calibri"/>
        <family val="2"/>
      </rPr>
      <t>63% SF</t>
    </r>
    <r>
      <rPr>
        <sz val="12"/>
        <color theme="1"/>
        <rFont val="Calibri"/>
        <family val="2"/>
      </rPr>
      <t>, 32% PF, 1% C</t>
    </r>
  </si>
  <si>
    <t>Pascal Siakam</t>
  </si>
  <si>
    <t>New Mexico State</t>
  </si>
  <si>
    <t>2016 Draft (#27 pick)</t>
  </si>
  <si>
    <r>
      <t xml:space="preserve">3% SF, </t>
    </r>
    <r>
      <rPr>
        <u/>
        <sz val="12"/>
        <color theme="1"/>
        <rFont val="Calibri"/>
        <family val="2"/>
      </rPr>
      <t>77% PF</t>
    </r>
    <r>
      <rPr>
        <sz val="12"/>
        <color theme="1"/>
        <rFont val="Calibri"/>
        <family val="2"/>
      </rPr>
      <t>, 20% C</t>
    </r>
  </si>
  <si>
    <t>OG Anunoby</t>
  </si>
  <si>
    <t>2017 Draft (#23 pick)</t>
  </si>
  <si>
    <r>
      <t xml:space="preserve">2% SG, </t>
    </r>
    <r>
      <rPr>
        <u/>
        <sz val="12"/>
        <color theme="1"/>
        <rFont val="Calibri"/>
        <family val="2"/>
      </rPr>
      <t>60% SF</t>
    </r>
    <r>
      <rPr>
        <sz val="12"/>
        <color theme="1"/>
        <rFont val="Calibri"/>
        <family val="2"/>
      </rPr>
      <t>, 36% PF, 1% C</t>
    </r>
  </si>
  <si>
    <r>
      <t xml:space="preserve">5% SF, 42% PF, </t>
    </r>
    <r>
      <rPr>
        <u/>
        <sz val="12"/>
        <color theme="1"/>
        <rFont val="Calibri"/>
        <family val="2"/>
      </rPr>
      <t>52% C</t>
    </r>
  </si>
  <si>
    <t>Alba Berlin (Germany)</t>
  </si>
  <si>
    <r>
      <t xml:space="preserve">23% SG, 36% SF, </t>
    </r>
    <r>
      <rPr>
        <u/>
        <sz val="12"/>
        <color theme="1"/>
        <rFont val="Calibri"/>
        <family val="2"/>
      </rPr>
      <t>41% PF</t>
    </r>
  </si>
  <si>
    <t>Valencia (Spain)</t>
  </si>
  <si>
    <r>
      <t xml:space="preserve">46% PG, </t>
    </r>
    <r>
      <rPr>
        <u/>
        <sz val="12"/>
        <color theme="1"/>
        <rFont val="Calibri"/>
        <family val="2"/>
      </rPr>
      <t>49% SG</t>
    </r>
    <r>
      <rPr>
        <sz val="12"/>
        <color theme="1"/>
        <rFont val="Calibri"/>
        <family val="2"/>
      </rPr>
      <t>, 5% SF</t>
    </r>
  </si>
  <si>
    <t>Terence Davis</t>
  </si>
  <si>
    <t>Ole Miss</t>
  </si>
  <si>
    <r>
      <t xml:space="preserve">6% PG, </t>
    </r>
    <r>
      <rPr>
        <u/>
        <sz val="12"/>
        <color theme="1"/>
        <rFont val="Calibri"/>
        <family val="2"/>
      </rPr>
      <t>65% SG</t>
    </r>
    <r>
      <rPr>
        <sz val="12"/>
        <color theme="1"/>
        <rFont val="Calibri"/>
        <family val="2"/>
      </rPr>
      <t>, 29% SF</t>
    </r>
  </si>
  <si>
    <t>Miami</t>
  </si>
  <si>
    <t>2019 Draft (#59 pick)</t>
  </si>
  <si>
    <t>OShae Brissett</t>
  </si>
  <si>
    <t>Signed on 7/20/19</t>
  </si>
  <si>
    <r>
      <t xml:space="preserve">2% SG, </t>
    </r>
    <r>
      <rPr>
        <u/>
        <sz val="12"/>
        <color theme="1"/>
        <rFont val="Calibri"/>
        <family val="2"/>
      </rPr>
      <t>55% SF</t>
    </r>
    <r>
      <rPr>
        <sz val="12"/>
        <color theme="1"/>
        <rFont val="Calibri"/>
        <family val="2"/>
      </rPr>
      <t>, 40% PF, 3% C</t>
    </r>
  </si>
  <si>
    <t>Paul Watson</t>
  </si>
  <si>
    <t>BG Gottingen (Germany)</t>
  </si>
  <si>
    <r>
      <t xml:space="preserve">38% SF, </t>
    </r>
    <r>
      <rPr>
        <u/>
        <sz val="12"/>
        <color theme="1"/>
        <rFont val="Calibri"/>
        <family val="2"/>
      </rPr>
      <t>62% PF</t>
    </r>
  </si>
  <si>
    <t>Nick Nurse</t>
  </si>
  <si>
    <t>2024 2nd to Memphis</t>
  </si>
  <si>
    <t>Beat ORL in first round (4-1), beat PHI in second round (4-3), beat MIL in ECF (4-2), beat GSW in NBA Finals (4-2)</t>
  </si>
  <si>
    <t>Beat WSH in first round (4-2), lost to CLE in second round (4-0)</t>
  </si>
  <si>
    <t>Beat MIL in first round (4-2), lost to CLE in second round (4-0)</t>
  </si>
  <si>
    <t>Beat IND in first round (4-3), beat MIA in second round (4-3), lost to CLE in ECF (4-2)</t>
  </si>
  <si>
    <t>Lost to WSH in first round (4-0)</t>
  </si>
  <si>
    <t>Lost to BKN in first round (4-3)</t>
  </si>
  <si>
    <t>Jay Triano</t>
  </si>
  <si>
    <t>Traded from MEM on 7/6/19</t>
  </si>
  <si>
    <t>Cholet Basket (France)</t>
  </si>
  <si>
    <t>2013 Draft (#27 pick)</t>
  </si>
  <si>
    <t>Bojan Bogdanovic</t>
  </si>
  <si>
    <r>
      <t xml:space="preserve">5% SG, </t>
    </r>
    <r>
      <rPr>
        <u/>
        <sz val="12"/>
        <color theme="1"/>
        <rFont val="Calibri (Body)"/>
      </rPr>
      <t>78% SF</t>
    </r>
    <r>
      <rPr>
        <sz val="12"/>
        <color theme="1"/>
        <rFont val="Calibri"/>
        <family val="2"/>
        <scheme val="minor"/>
      </rPr>
      <t>, 16% PF</t>
    </r>
  </si>
  <si>
    <t>Traded from CLE on 12/24/19</t>
  </si>
  <si>
    <r>
      <t xml:space="preserve">7% PG, </t>
    </r>
    <r>
      <rPr>
        <u/>
        <sz val="12"/>
        <color theme="1"/>
        <rFont val="Calibri (Body)"/>
      </rPr>
      <t>80% SG</t>
    </r>
    <r>
      <rPr>
        <sz val="12"/>
        <color theme="1"/>
        <rFont val="Calibri"/>
        <family val="2"/>
        <scheme val="minor"/>
      </rPr>
      <t>, 13% SF</t>
    </r>
  </si>
  <si>
    <t>Claimed off waivers on 10/27/14</t>
  </si>
  <si>
    <t>$250,000 for DRTG &lt; 100 + 65 games, other incentives unknown ($500,000 annual unlikely)</t>
  </si>
  <si>
    <r>
      <rPr>
        <u/>
        <sz val="12"/>
        <color theme="1"/>
        <rFont val="Calibri (Body)"/>
      </rPr>
      <t>56% SG</t>
    </r>
    <r>
      <rPr>
        <sz val="12"/>
        <color theme="1"/>
        <rFont val="Calibri"/>
        <family val="2"/>
        <scheme val="minor"/>
      </rPr>
      <t>, 42% SF, 2% PF</t>
    </r>
  </si>
  <si>
    <t>Ed Davis</t>
  </si>
  <si>
    <t>Donovan Mitchell</t>
  </si>
  <si>
    <t>2017 Draft (#13 pick)</t>
  </si>
  <si>
    <r>
      <t>49% PG,</t>
    </r>
    <r>
      <rPr>
        <u/>
        <sz val="12"/>
        <color theme="1"/>
        <rFont val="Calibri (Body)"/>
      </rPr>
      <t xml:space="preserve"> 51% SG</t>
    </r>
  </si>
  <si>
    <t>Tony Bradley</t>
  </si>
  <si>
    <t>Signed on 1/14/18</t>
  </si>
  <si>
    <r>
      <t xml:space="preserve">20% SF, </t>
    </r>
    <r>
      <rPr>
        <u/>
        <sz val="12"/>
        <color theme="1"/>
        <rFont val="Calibri (Body)"/>
      </rPr>
      <t>79% PF</t>
    </r>
    <r>
      <rPr>
        <sz val="12"/>
        <color theme="1"/>
        <rFont val="Calibri"/>
        <family val="2"/>
        <scheme val="minor"/>
      </rPr>
      <t>, 1% C</t>
    </r>
  </si>
  <si>
    <t>Royce O'Neale</t>
  </si>
  <si>
    <t>CB Gran Canaria (Spain)</t>
  </si>
  <si>
    <r>
      <t xml:space="preserve">15% SF, </t>
    </r>
    <r>
      <rPr>
        <u/>
        <sz val="12"/>
        <color theme="1"/>
        <rFont val="Calibri (Body)"/>
      </rPr>
      <t>85% PF</t>
    </r>
  </si>
  <si>
    <t>Yale</t>
  </si>
  <si>
    <t>2019 Draft (#58 pick)</t>
  </si>
  <si>
    <r>
      <t xml:space="preserve">6% PG, </t>
    </r>
    <r>
      <rPr>
        <u/>
        <sz val="12"/>
        <color theme="1"/>
        <rFont val="Calibri (Body)"/>
      </rPr>
      <t>72% SG</t>
    </r>
    <r>
      <rPr>
        <sz val="12"/>
        <color theme="1"/>
        <rFont val="Calibri"/>
        <family val="2"/>
        <scheme val="minor"/>
      </rPr>
      <t>, 21% SF</t>
    </r>
  </si>
  <si>
    <t>Signed on 11/21/19</t>
  </si>
  <si>
    <r>
      <rPr>
        <u/>
        <sz val="12"/>
        <color theme="1"/>
        <rFont val="Calibri (Body)"/>
      </rPr>
      <t>62% PF</t>
    </r>
    <r>
      <rPr>
        <sz val="12"/>
        <color theme="1"/>
        <rFont val="Calibri"/>
        <family val="2"/>
        <scheme val="minor"/>
      </rPr>
      <t>, 39% C</t>
    </r>
  </si>
  <si>
    <t>Arkansas-Little Rock</t>
  </si>
  <si>
    <t>Signed on 12/26/19</t>
  </si>
  <si>
    <t>Jarrell Brantley</t>
  </si>
  <si>
    <t>Charleston - SC</t>
  </si>
  <si>
    <t>2019 Draft (#50 pick)</t>
  </si>
  <si>
    <r>
      <rPr>
        <u/>
        <sz val="12"/>
        <color theme="1"/>
        <rFont val="Calibri (Body)"/>
      </rPr>
      <t>71% SF</t>
    </r>
    <r>
      <rPr>
        <sz val="12"/>
        <color theme="1"/>
        <rFont val="Calibri"/>
        <family val="2"/>
        <scheme val="minor"/>
      </rPr>
      <t>, 29% PF</t>
    </r>
  </si>
  <si>
    <t>Justin Wright-Foreman</t>
  </si>
  <si>
    <t>Hofstra</t>
  </si>
  <si>
    <t>2019 Draft (#53 pick)</t>
  </si>
  <si>
    <t>Quinn Snyder</t>
  </si>
  <si>
    <t>2021 2nd from Golden State</t>
  </si>
  <si>
    <t>2024 2nd from Cleveland (right to swap)</t>
  </si>
  <si>
    <t>2021 2nd to Indiana</t>
  </si>
  <si>
    <t>Beat OKC in first round (4-2), lost to HOU in second round (4-1)</t>
  </si>
  <si>
    <t>Beat LAC in first round (4-3), lost to GSW in second round (4-0)</t>
  </si>
  <si>
    <t>Tyrone Corbin</t>
  </si>
  <si>
    <t>Jerry Sloan / Tyrone Corbin</t>
  </si>
  <si>
    <t>John Wall</t>
  </si>
  <si>
    <t>2010 Draft (#1 pick)</t>
  </si>
  <si>
    <t>2012 Draft (#3 pick)</t>
  </si>
  <si>
    <t>15% trade kicker, 50% advance on 21-22 / 22-23 salary if opt in early</t>
  </si>
  <si>
    <r>
      <t xml:space="preserve">2% PG, </t>
    </r>
    <r>
      <rPr>
        <u/>
        <sz val="12"/>
        <color theme="1"/>
        <rFont val="Calibri"/>
        <family val="2"/>
      </rPr>
      <t>82% SG</t>
    </r>
    <r>
      <rPr>
        <sz val="12"/>
        <color theme="1"/>
        <rFont val="Calibri"/>
        <family val="2"/>
      </rPr>
      <t>, 16% SF</t>
    </r>
  </si>
  <si>
    <t>Thomas Bryant</t>
  </si>
  <si>
    <t>Claimed off waivers on 7/2/18</t>
  </si>
  <si>
    <r>
      <t xml:space="preserve">7% PF, </t>
    </r>
    <r>
      <rPr>
        <u/>
        <sz val="12"/>
        <color theme="1"/>
        <rFont val="Calibri"/>
        <family val="2"/>
      </rPr>
      <t>93% C</t>
    </r>
  </si>
  <si>
    <t>Traded from SAS on 7/6/19</t>
  </si>
  <si>
    <r>
      <rPr>
        <u/>
        <sz val="12"/>
        <color theme="1"/>
        <rFont val="Calibri"/>
        <family val="2"/>
      </rPr>
      <t>84% PF</t>
    </r>
    <r>
      <rPr>
        <sz val="12"/>
        <color theme="1"/>
        <rFont val="Calibri"/>
        <family val="2"/>
      </rPr>
      <t>, 16% C</t>
    </r>
  </si>
  <si>
    <t>Ish Smith</t>
  </si>
  <si>
    <r>
      <rPr>
        <u/>
        <sz val="12"/>
        <color theme="1"/>
        <rFont val="Calibri"/>
        <family val="2"/>
      </rPr>
      <t>94% PG</t>
    </r>
    <r>
      <rPr>
        <sz val="12"/>
        <color theme="1"/>
        <rFont val="Calibri"/>
        <family val="2"/>
      </rPr>
      <t>, 6% SG</t>
    </r>
  </si>
  <si>
    <t>Rui Hachimura</t>
  </si>
  <si>
    <t>2019 Draft (#9 pick)</t>
  </si>
  <si>
    <r>
      <t xml:space="preserve">25% SF, </t>
    </r>
    <r>
      <rPr>
        <u/>
        <sz val="12"/>
        <color theme="1"/>
        <rFont val="Calibri"/>
        <family val="2"/>
      </rPr>
      <t>73% PF</t>
    </r>
    <r>
      <rPr>
        <sz val="12"/>
        <color theme="1"/>
        <rFont val="Calibri"/>
        <family val="2"/>
      </rPr>
      <t>, 2% C</t>
    </r>
  </si>
  <si>
    <t>Jerome Robinson</t>
  </si>
  <si>
    <r>
      <t xml:space="preserve">10% PG, </t>
    </r>
    <r>
      <rPr>
        <u/>
        <sz val="12"/>
        <color theme="1"/>
        <rFont val="Calibri"/>
        <family val="2"/>
      </rPr>
      <t>90% SG</t>
    </r>
    <r>
      <rPr>
        <sz val="12"/>
        <color theme="1"/>
        <rFont val="Calibri"/>
        <family val="2"/>
      </rPr>
      <t>, 1% SF</t>
    </r>
  </si>
  <si>
    <t>Troy Brown Jr.</t>
  </si>
  <si>
    <t>2018 Draft (#15 pick)</t>
  </si>
  <si>
    <r>
      <t xml:space="preserve">14% SG, </t>
    </r>
    <r>
      <rPr>
        <u/>
        <sz val="12"/>
        <color theme="1"/>
        <rFont val="Calibri"/>
        <family val="2"/>
      </rPr>
      <t>74% SF</t>
    </r>
    <r>
      <rPr>
        <sz val="12"/>
        <color theme="1"/>
        <rFont val="Calibri"/>
        <family val="2"/>
      </rPr>
      <t>, 12% PF</t>
    </r>
  </si>
  <si>
    <t>Moritz Wagner</t>
  </si>
  <si>
    <t>Traded from DEN on 2/6/20</t>
  </si>
  <si>
    <t>Skyliners Frankfurt (Germany)</t>
  </si>
  <si>
    <r>
      <t xml:space="preserve">1% SG, </t>
    </r>
    <r>
      <rPr>
        <u/>
        <sz val="12"/>
        <color theme="1"/>
        <rFont val="Calibri"/>
        <family val="2"/>
      </rPr>
      <t>69% SF</t>
    </r>
    <r>
      <rPr>
        <sz val="12"/>
        <color theme="1"/>
        <rFont val="Calibri"/>
        <family val="2"/>
      </rPr>
      <t>, 29% PF, 1% C</t>
    </r>
  </si>
  <si>
    <t>Signed on 12/23/19</t>
  </si>
  <si>
    <r>
      <t xml:space="preserve">14% PG, </t>
    </r>
    <r>
      <rPr>
        <u/>
        <sz val="12"/>
        <color theme="1"/>
        <rFont val="Calibri"/>
        <family val="2"/>
      </rPr>
      <t>86% SG</t>
    </r>
    <r>
      <rPr>
        <sz val="12"/>
        <color theme="1"/>
        <rFont val="Calibri"/>
        <family val="2"/>
      </rPr>
      <t>, 1% SF</t>
    </r>
  </si>
  <si>
    <t>Admiral Schofield</t>
  </si>
  <si>
    <r>
      <t xml:space="preserve">1% SG, 23% SF, </t>
    </r>
    <r>
      <rPr>
        <u/>
        <sz val="12"/>
        <color theme="1"/>
        <rFont val="Calibri"/>
        <family val="2"/>
      </rPr>
      <t>68% PF</t>
    </r>
    <r>
      <rPr>
        <sz val="12"/>
        <color theme="1"/>
        <rFont val="Calibri"/>
        <family val="2"/>
      </rPr>
      <t>, 9% C</t>
    </r>
  </si>
  <si>
    <t>Signed on 10/16/19</t>
  </si>
  <si>
    <t>Garrison Mathews</t>
  </si>
  <si>
    <t>Lipscomb</t>
  </si>
  <si>
    <r>
      <t xml:space="preserve">6% PG, 43% SG, </t>
    </r>
    <r>
      <rPr>
        <u/>
        <sz val="12"/>
        <color theme="1"/>
        <rFont val="Calibri"/>
        <family val="2"/>
      </rPr>
      <t>48% SF</t>
    </r>
    <r>
      <rPr>
        <sz val="12"/>
        <color theme="1"/>
        <rFont val="Calibri"/>
        <family val="2"/>
      </rPr>
      <t>, 3% PF</t>
    </r>
  </si>
  <si>
    <t>Johnathan Williams</t>
  </si>
  <si>
    <t>2022 2nd from LA Lakers / Chicago / Detroit (most favorable)</t>
  </si>
  <si>
    <t>2023 2nd from Chicago</t>
  </si>
  <si>
    <t>2021 2nd to New Orleans</t>
  </si>
  <si>
    <t>2023 2nd to New Orleans</t>
  </si>
  <si>
    <t>Beat ATL in first round (4-2), lost to BOS in second round (4-3)</t>
  </si>
  <si>
    <t>Randy Whittman</t>
  </si>
  <si>
    <t>Beat TOR in first round (4-0), lost to ATL in second round (4-2)</t>
  </si>
  <si>
    <t>Beat CHI in first round (4-1), lost to IND in second round (4-2)</t>
  </si>
  <si>
    <t>Flip Saunders / Randy Whittman</t>
  </si>
  <si>
    <t>15% trade kicker, $250k annual likely incentives ($125k for 88.5% FT, $125k for 2.8 3PM), $750k annual unlikely ($125k for 70 G, $125k for 60 G+2.4- TO/G, $125k for 60 G+4.6+ FT/G, $125k for 2.1- F/G, $125k for 114+ ORTG, $125k for 106- DRTG), $1.05M for 20-21, $1.10M for 21-22, $1.15M for 22-23</t>
  </si>
  <si>
    <t>$500k annual likely incentives (body fat weigh-in, under 225 pounds?)</t>
  </si>
  <si>
    <t>$2.00M annual unlikely incentives ($1M Conference Finals+2k min, $500k 30% DREB%+2k min, $500k 65% FT)</t>
  </si>
  <si>
    <t>Extension: $3.00M annual unlikely incentives ($1.00M for 65 games + 49 wins + 2nd round of playoffs, $2.00M for MVP, DPOY, or All-NBA)</t>
  </si>
  <si>
    <t>15% trade kicker, $1.00M annual likely incentives (for any of make playoffs, win 43 games, 50+ games, All-Star), $1.05M for 20-21, $1.10M for 21-22, $1.15M for 22-23</t>
  </si>
  <si>
    <t>$669k annual unlikely incentives ($334k for 105- DRTG, $334k for 7.6 3PA/36 MIN + 41.5% 3PT), probably other unknown incentives</t>
  </si>
  <si>
    <t>50% advance in salary by 10/1</t>
  </si>
  <si>
    <t>$1.00M annual unlikely incentives ($150k for playoffs, $150k for 48 wins, also MVP / MIP / All-Defense)</t>
  </si>
  <si>
    <t>$1,050,000 annual unlikely incentives ($305k for All-Star, $305k for All-Defense, $305k for MIP)</t>
  </si>
  <si>
    <t>$300,000 annual unlikely incentives ($150k for All-Defense, $150k for 40% 3PT), $175k annual likely incentives ($100k for MIN/REB &gt; 4, $75k for 80%+ FT)</t>
  </si>
  <si>
    <t>Anthony Tolliver</t>
  </si>
  <si>
    <t>David Nwaba</t>
  </si>
  <si>
    <t>Cal Poly</t>
  </si>
  <si>
    <t>Signed on 6/23/20</t>
  </si>
  <si>
    <t>Tyler Johnson</t>
  </si>
  <si>
    <r>
      <t xml:space="preserve">37% PG, </t>
    </r>
    <r>
      <rPr>
        <u/>
        <sz val="12"/>
        <color theme="1"/>
        <rFont val="Calibri"/>
        <family val="2"/>
      </rPr>
      <t>58% SG</t>
    </r>
    <r>
      <rPr>
        <sz val="12"/>
        <color theme="1"/>
        <rFont val="Calibri"/>
        <family val="2"/>
      </rPr>
      <t>, 5% SF</t>
    </r>
  </si>
  <si>
    <t>2014 Draft (#41 pick)</t>
  </si>
  <si>
    <t>$931k annual likely incentives ($466k for playoff berth, $466k for 2nd round playoffs), $1.00M in 20-21, $1.07M in 21-22, $1.14M in 22-23</t>
  </si>
  <si>
    <t>Tyler Zeller</t>
  </si>
  <si>
    <t>Justin Patton</t>
  </si>
  <si>
    <t>Signed on 6/24/20</t>
  </si>
  <si>
    <r>
      <rPr>
        <sz val="12"/>
        <color theme="1"/>
        <rFont val="Calibri (Body)"/>
      </rPr>
      <t xml:space="preserve">22% SG, </t>
    </r>
    <r>
      <rPr>
        <u/>
        <sz val="12"/>
        <color theme="1"/>
        <rFont val="Calibri (Body)"/>
      </rPr>
      <t>53% SF</t>
    </r>
    <r>
      <rPr>
        <sz val="12"/>
        <color theme="1"/>
        <rFont val="Calibri (Body)"/>
      </rPr>
      <t>, 26% PF</t>
    </r>
  </si>
  <si>
    <t>Jared Harper</t>
  </si>
  <si>
    <t>$1.10M annual unlikely incentives ($500k for DPOY, $250k for All-Defense 1st, $150k for All-Defense 2nd, $100k for 50 wins, $100k for conference finals+playing in 75% of second round games)</t>
  </si>
  <si>
    <t>Devon Hall</t>
  </si>
  <si>
    <t>Cairns Taipans (Australia)</t>
  </si>
  <si>
    <t>2018 Draft (#53 pick)</t>
  </si>
  <si>
    <t>Ryan Broekhoff</t>
  </si>
  <si>
    <t>Lokomotiv Kuban (Russia)</t>
  </si>
  <si>
    <r>
      <t xml:space="preserve">4% SG, </t>
    </r>
    <r>
      <rPr>
        <u/>
        <sz val="12"/>
        <color theme="1"/>
        <rFont val="Calibri"/>
        <family val="2"/>
      </rPr>
      <t>76% SF</t>
    </r>
    <r>
      <rPr>
        <sz val="12"/>
        <color theme="1"/>
        <rFont val="Calibri"/>
        <family val="2"/>
      </rPr>
      <t>, 21% PF</t>
    </r>
  </si>
  <si>
    <t>Trey Burke</t>
  </si>
  <si>
    <t>Tyler Cook</t>
  </si>
  <si>
    <t>Iowa</t>
  </si>
  <si>
    <t>Claimed off waivers on 6/26/20</t>
  </si>
  <si>
    <t>Justin Anderson</t>
  </si>
  <si>
    <r>
      <t xml:space="preserve">35% SG, </t>
    </r>
    <r>
      <rPr>
        <u/>
        <sz val="12"/>
        <color theme="1"/>
        <rFont val="Calibri"/>
        <family val="2"/>
      </rPr>
      <t>65% SF</t>
    </r>
  </si>
  <si>
    <t>Year 1/2 of 2 yr/$3M from 19-20 season</t>
  </si>
  <si>
    <t>Signed on 6/27/20</t>
  </si>
  <si>
    <t>JR Smith</t>
  </si>
  <si>
    <t>St. Benedict's Prep HS</t>
  </si>
  <si>
    <t>Jordan Bell</t>
  </si>
  <si>
    <t>Cameron Payne</t>
  </si>
  <si>
    <t>Signed on 6/30/20</t>
  </si>
  <si>
    <t>Sindarius Thornwell</t>
  </si>
  <si>
    <t>Jaylen Adams</t>
  </si>
  <si>
    <t>St. Bonaventure</t>
  </si>
  <si>
    <t>Jerian Grant</t>
  </si>
  <si>
    <t>19-20 Info</t>
  </si>
  <si>
    <t>Guaranteed Contracts</t>
  </si>
  <si>
    <t>Draft Picks</t>
  </si>
  <si>
    <t>NG Contracts / PO's</t>
  </si>
  <si>
    <t>Year 2/4 of 4 yr/$85M from 2019 offseason</t>
  </si>
  <si>
    <t>Year 2/3 of 3 yr/$37M from 2019 offseason</t>
  </si>
  <si>
    <t>Year 3/4 of 4 yr/$36M from 2018 offseason</t>
  </si>
  <si>
    <t>Year 2/2 of 2 yr/$10M from 2019 offseason</t>
  </si>
  <si>
    <t>Year 3/4 of 4 yr/$160M from 2018 offseason</t>
  </si>
  <si>
    <t>Year 4/4 of 4 yr/$100M from 2016 offseason (extension)</t>
  </si>
  <si>
    <t>Year 4/4 of 4 yr/$62M from 2016 offseason (extension)</t>
  </si>
  <si>
    <t>Year 3/4 of 4 yr/$17M from 2018 offseason</t>
  </si>
  <si>
    <t>Year 4/4 of 4 yr/$10M from 2017 offseason</t>
  </si>
  <si>
    <t>Year 2/4 of 4 yr/$11M from 2019 offseason</t>
  </si>
  <si>
    <t>Year 2/4 of 4 yr/$5M from 19-20 season</t>
  </si>
  <si>
    <t>Year 2/4 of 4 yr/$7M from 2019 offseason</t>
  </si>
  <si>
    <t>Year 1/4 of 4 yr/$100M from 2019 offseason (extension)</t>
  </si>
  <si>
    <t>Year 4/5 of 5 yr/$201M from 2017 offseason</t>
  </si>
  <si>
    <t>Year 2/5 of 5 yr/$190M from 2019 offseason</t>
  </si>
  <si>
    <t>Year 3/5 of 5 yr/$148M from 2017 offseason</t>
  </si>
  <si>
    <t>Year 2/3 of 3 yr/$14M from 2019 offseason</t>
  </si>
  <si>
    <t>Year 2/4 of 4 yr/$10M from 2019 offseason</t>
  </si>
  <si>
    <t>Year 2/4 of 4 yr/$6M from 2019 offseason</t>
  </si>
  <si>
    <t>Year 1/4 of 4 yr/$103M from 2019 offseason (extension)</t>
  </si>
  <si>
    <t>Year 2/4 of 4 yr/$141M from 2019 offseason</t>
  </si>
  <si>
    <t>Year 3/4 of 4 yr/$52M from 2018 offseason</t>
  </si>
  <si>
    <t>Year 2/4 of 4 yr/$17M from 2019 offseason</t>
  </si>
  <si>
    <t>Year 2/2 of 2 yr/$5M from 2019 offseason</t>
  </si>
  <si>
    <t>Year 2/4 of 4 yr/$12M from 2019 offseason</t>
  </si>
  <si>
    <t>Year 3/4 of 4 yr/$9M from 2018 offseason</t>
  </si>
  <si>
    <t>Donta Hall</t>
  </si>
  <si>
    <t>Lance Thomas</t>
  </si>
  <si>
    <t>Jamal Crawford</t>
  </si>
  <si>
    <t>Signed on 7/18/20</t>
  </si>
  <si>
    <t>Signed on 7/14/20</t>
  </si>
  <si>
    <t>Signed on 7/10/20</t>
  </si>
  <si>
    <t>Signed on 7/9/20</t>
  </si>
  <si>
    <t>Year 1/2 of 2 yr/$25M from 2019 offseason (extension)</t>
  </si>
  <si>
    <t>Year 1/3 of 3 yr/$53M from 2019 offseason (extension)</t>
  </si>
  <si>
    <t>Year 2/4 of 4 yr/$164M from 2019 offseason</t>
  </si>
  <si>
    <t>Year 2/4 of 4 yr/$137M from 2019 offseason</t>
  </si>
  <si>
    <t>Year 2/3 of 3 yr/$34M from 18-19 season (extension)</t>
  </si>
  <si>
    <t>Year 2/4 of 4 yr/$40M from 2019 offseason</t>
  </si>
  <si>
    <t>Year 3/4 of 4 yr/$7M from 2018 offseason</t>
  </si>
  <si>
    <t>Year 2/3 of 3 yr/$57M from 2019 offseason</t>
  </si>
  <si>
    <t>Year 4/4 of 4 yr/$56M from 2016 offseason (extension)</t>
  </si>
  <si>
    <t>Year 4/4 of 4 yr/$16M from 2017 offseason</t>
  </si>
  <si>
    <t>Year 2/4 of 4 yr/$18M from 2019 offseason</t>
  </si>
  <si>
    <t>Year 3/4 of 4 yr/$16M from 2018 offseason</t>
  </si>
  <si>
    <t>Year 3/4 of 4 yr/$78M from 2018 offseason (CHI matched SAC offer sheet)</t>
  </si>
  <si>
    <t>Year 2/3 of 3 yr/$41M from 2019 offseason</t>
  </si>
  <si>
    <t>Year 2/3 of 3 yr/$30M from 2019 offseason</t>
  </si>
  <si>
    <t>Year 4/4 of 4 yr/$32M from 2017 offseason</t>
  </si>
  <si>
    <t>Year 4/4 of 4 yr/$20M from 2017 offseason</t>
  </si>
  <si>
    <t>Year 2/4 of 4 yr/$24M from 2019 offseason</t>
  </si>
  <si>
    <t>Year 3/4 of 4 yr/$22M from 2018 offseason</t>
  </si>
  <si>
    <t>Year 2/3 of 3 yr/$9M from 2019 offseason</t>
  </si>
  <si>
    <t>Year 3/4 of 4 yr/$11M from 2018 offseason</t>
  </si>
  <si>
    <t>Year 2/2 of 2 yr/$4.5M from 2019 offseason</t>
  </si>
  <si>
    <t>Jared Uthoff</t>
  </si>
  <si>
    <t>Signed on 7/17/20</t>
  </si>
  <si>
    <t>Signed on 7/1/20</t>
  </si>
  <si>
    <t>Year 5/5 of 5 yr/$127M from 2016 offseason, Year 0/2 of 2 yr/$72M from 2019 offseason (extension)</t>
  </si>
  <si>
    <t>Year 2/4 of 4 yr/$171M from 2017 offseason (extension)</t>
  </si>
  <si>
    <t>Year 2/3 of 3 yr/$25M from 2019 offseason</t>
  </si>
  <si>
    <t>Year 2/2 of 2 yr/$12M from 2019 offseason</t>
  </si>
  <si>
    <t>Year 2/4 of 4 yr/$20M from 2019 offseason</t>
  </si>
  <si>
    <t>Year 3/4 of 4 yr/$15M from 2018 offseason</t>
  </si>
  <si>
    <t>Year 3/4 of 4 yr/$10M from 2018 offseason</t>
  </si>
  <si>
    <t>Year 2/2 of 2 yr/$50M from 2017 offseason (extension)</t>
  </si>
  <si>
    <t>Year 2/2 of 2 yr/$29M from 2019 offseason</t>
  </si>
  <si>
    <t>Year 1/4 of 4 yr/$64M from 2019 offseason (extension)</t>
  </si>
  <si>
    <t>Year 4/4 of 4 yr/$48M from 2017 offseason</t>
  </si>
  <si>
    <t>Year 4/4 of 4 yr/$9M from 2017 offseason</t>
  </si>
  <si>
    <t>Year 3/4 of 4 yr/$12M from 2018 offseason</t>
  </si>
  <si>
    <t>Year 2/4 of 4 yr/$13M from 2019 offseason</t>
  </si>
  <si>
    <t>2023 1st to New York (protected 1-10 in 2023-2025, if not conveyed becomes 2025 2nd)</t>
  </si>
  <si>
    <t>28th</t>
  </si>
  <si>
    <t>4th</t>
  </si>
  <si>
    <t>Year 3/4 of 4 yr/$53M from 2018 offseason</t>
  </si>
  <si>
    <t>Year 3/3 of 3 yr/$4M from 2018 offseason</t>
  </si>
  <si>
    <t>3rd</t>
  </si>
  <si>
    <t>27th</t>
  </si>
  <si>
    <t>18th</t>
  </si>
  <si>
    <t>13th</t>
  </si>
  <si>
    <t>Year 3/5 of 5 yr/$148M from 2018 offseason</t>
  </si>
  <si>
    <t>Year 3/4 of 4 yr/84M from 2017 offseason (extension)</t>
  </si>
  <si>
    <t>Year 2/3 of 3 yr/$4M from 19-20 season</t>
  </si>
  <si>
    <t>Year 1/5 of 5 yr/$158M from 2019 offseason (extension)</t>
  </si>
  <si>
    <t>5th</t>
  </si>
  <si>
    <t>16th</t>
  </si>
  <si>
    <t>29th</t>
  </si>
  <si>
    <t>Year 2/5 of 5 yr/$158M from 2019 offseason</t>
  </si>
  <si>
    <t>Year 1/3 of 3 yr/$33M from 2019 offseason (extension)</t>
  </si>
  <si>
    <t>Year 2/3 of 3 yr/$28M from 2019 offseason</t>
  </si>
  <si>
    <t>Year 2/4 of 4 yr/$36M from 2019 offseason</t>
  </si>
  <si>
    <t>Year 3/4 of 4 yr/$32M from 2018 offseason</t>
  </si>
  <si>
    <t>Year 2/4 of 4 yr/$32M from 2019 offseason</t>
  </si>
  <si>
    <t>Year 4/4 of 4 yr/$11M from 2017 offseason</t>
  </si>
  <si>
    <t>Year 2/3 of 4 yr/$12M from 2019 offseason</t>
  </si>
  <si>
    <t>Year 2/2 of 2 yr/$7M from 2019 offseason</t>
  </si>
  <si>
    <t>Year 3/4 of 4 yr/$6M from 2018 offseason</t>
  </si>
  <si>
    <t>1st</t>
  </si>
  <si>
    <t>6th</t>
  </si>
  <si>
    <t>Exceptions</t>
  </si>
  <si>
    <t>7th</t>
  </si>
  <si>
    <t>Projected Exceptions</t>
  </si>
  <si>
    <t>Year 3/4 of 4 yr/$27M from 2018 offseason</t>
  </si>
  <si>
    <t>Year 2/4 of 4 yr/$19M from 2019 offseason</t>
  </si>
  <si>
    <t>Year 2/3 of 3 yr/$5M from 2019 offseason</t>
  </si>
  <si>
    <t>Roster Info</t>
  </si>
  <si>
    <t>17th</t>
  </si>
  <si>
    <t>2025 2nd from Golden State (unprotected)</t>
  </si>
  <si>
    <t>2021 2nd from Indiana (protected 45-60 in 2021 and 2022, unprotected in 2023)</t>
  </si>
  <si>
    <t>Historical Info</t>
  </si>
  <si>
    <t>2021 2nd to Charlotte (unprotected)</t>
  </si>
  <si>
    <t>22nd</t>
  </si>
  <si>
    <t>10th</t>
  </si>
  <si>
    <t>15th</t>
  </si>
  <si>
    <t>30th</t>
  </si>
  <si>
    <t>11st in East</t>
  </si>
  <si>
    <t>9th</t>
  </si>
  <si>
    <t>2022 2nd to New Orleans</t>
  </si>
  <si>
    <t>Year 1/4 of 4 yr/$31M from 19-20 season (extension)</t>
  </si>
  <si>
    <t>Year 2/4 of 4 yr/$120M from 2018 offseason (extension)</t>
  </si>
  <si>
    <t>Year 2/4 of 4 yr/$45M from 2018 offseason (extension)</t>
  </si>
  <si>
    <t>Year 3/3 of 3 yr/$33M from 2018 offseason</t>
  </si>
  <si>
    <t>Year 2/4 of 4 yr/$29M from 2019 offseason</t>
  </si>
  <si>
    <t>Year 3/4 of 4 yr/$20M from 2018 offseason</t>
  </si>
  <si>
    <t>Year 2/4 of 4 yr/$8M from 2019 offseason</t>
  </si>
  <si>
    <t>26th</t>
  </si>
  <si>
    <t>23rd</t>
  </si>
  <si>
    <t>2023 2nd from Miami (DAL has right to swap)</t>
  </si>
  <si>
    <t>2022 2nd to Minnesota or Miami</t>
  </si>
  <si>
    <t>2021 2nd to Philadelphia</t>
  </si>
  <si>
    <t>20th</t>
  </si>
  <si>
    <t>2021 2nd to New York</t>
  </si>
  <si>
    <t>2022 2nd to Memphis / Chicago / Washington</t>
  </si>
  <si>
    <t>2023 2nd to LA Clippers</t>
  </si>
  <si>
    <t>2021 2nd from LA Lakers</t>
  </si>
  <si>
    <t>2023 2nd from Golden State / Cleveland</t>
  </si>
  <si>
    <t>Year 4/5 of 5 yr/$171M from 2017 offseason</t>
  </si>
  <si>
    <t>Year 2/2 of 2 yr/$15M from 2019 offseason</t>
  </si>
  <si>
    <t>Year 4/4 of 4 yr/$15M from 2017 offseason</t>
  </si>
  <si>
    <t>Year 2/4 of 4 yr/$16M from 2019 offseason</t>
  </si>
  <si>
    <t>Signed on 7/6/20</t>
  </si>
  <si>
    <t>Year 3/5 of 5 yr/$207M from 2017 offseason (extension)</t>
  </si>
  <si>
    <t>Year 1/4 of 4 yr/$76M from 2019 offseason (extension)</t>
  </si>
  <si>
    <t>Year 3/4 of 4 yr/$47M from 17-18 season (extension)</t>
  </si>
  <si>
    <t>Year 4/4 of 4 yr/$43M from 2017 offseason</t>
  </si>
  <si>
    <t>Year 2/3 of 3 yr/$11M from 2019 offseason</t>
  </si>
  <si>
    <t>OKC…</t>
  </si>
  <si>
    <t>8th</t>
  </si>
  <si>
    <t>2nd</t>
  </si>
  <si>
    <t>Luc Richard Mbah a Moute</t>
  </si>
  <si>
    <t>19th</t>
  </si>
  <si>
    <t>2021 2nd from Milwaukee</t>
  </si>
  <si>
    <t>2021 2nd from Utah</t>
  </si>
  <si>
    <t>2022 2nd from Miami</t>
  </si>
  <si>
    <t>2025 2nd from Miami</t>
  </si>
  <si>
    <t>2026 2nd from Miami</t>
  </si>
  <si>
    <t>2021 2nd to Brooklyn (protected 45-60 in 2021 and 2022, unprotected in 2023)</t>
  </si>
  <si>
    <t>Year 4/4 of 4 yr/$85M from 2016 offseason</t>
  </si>
  <si>
    <t>Year 1/4 of 4 yr/$80M from 2019 offseason (extension)</t>
  </si>
  <si>
    <t>Year 2/4 of 4 yr/$72M from 2018 offseason</t>
  </si>
  <si>
    <t>Year 3/4 of 4 yr/$47M from 2017 offseason</t>
  </si>
  <si>
    <t>Year 2/3 of 3 yr/$32M from 2019 offseason</t>
  </si>
  <si>
    <t>Year 3/3 of 3 yr/$22M from 2018 offseason</t>
  </si>
  <si>
    <t>Year 4/4 of 4 yr/$12M from 2017 offseason</t>
  </si>
  <si>
    <t>Year 2/4 of 4 yr/$14M from 2019 offseason</t>
  </si>
  <si>
    <t>Year 2/3 of 3 yr/$6M from 2019 offseason</t>
  </si>
  <si>
    <t>Year 3/4 of 4 yr/$137M from 2018 offseason</t>
  </si>
  <si>
    <t>Year 2/3 of 3 yr/$103M from 2019 offseason</t>
  </si>
  <si>
    <t>Year 2/3 of 3 yr/$40M from 2019 offseason</t>
  </si>
  <si>
    <t>Year 3/3 of 3 yr/$24M from 17-18 season (extension)</t>
  </si>
  <si>
    <t>Year 2/4 of 4 yr/$28M from 2019 offseason</t>
  </si>
  <si>
    <t>Year 2/5 of 5 yr/$180M from 2019 offseason</t>
  </si>
  <si>
    <t>Year 3/5 of 5 yr/$148M from 2017 offseason (extension)</t>
  </si>
  <si>
    <t>Year 2/4 of 4 yr/$109M from 2019 offseason</t>
  </si>
  <si>
    <t>Year 1/5 of 5 yr/$170M from 2019 offseason (extension)</t>
  </si>
  <si>
    <t>Year 3/4 of 4 yr/$42M from 2017 offseason (extension)</t>
  </si>
  <si>
    <t>Tax MLE ($5,718,000), one TPE &lt; $2,000,000</t>
  </si>
  <si>
    <t>14th</t>
  </si>
  <si>
    <t>2021 1st from Utah (protected 1-7 and 15-30 in 2021, protected 1-6 in 2022, protected 1-3 in 2023, protected 1 in 2024, if not conveyed turns into 2025 2nd)</t>
  </si>
  <si>
    <t>21st</t>
  </si>
  <si>
    <t>Year 4/4 of 4 yr/$63M from 2016 offseason (extension)</t>
  </si>
  <si>
    <t>Year 2/3 of 3 yr/$45M from 2019 offseason</t>
  </si>
  <si>
    <t>Year 2/3 of 3 yr/$39M from 2018 offseason (extension)</t>
  </si>
  <si>
    <t>Year 1/3 of 3 yr/$35M from 19-20 season (extension)</t>
  </si>
  <si>
    <t>Year 3/4 of 4 yr/$37M from 2018 offseason</t>
  </si>
  <si>
    <t>Year 2/3 of 3 yr/$26M from 2019 offseason</t>
  </si>
  <si>
    <t>Year 3/4 of 4 yr/$29M from 2018 offseason</t>
  </si>
  <si>
    <t>12th</t>
  </si>
  <si>
    <t>Year 1/2 of 2 yr/$30M from 19-20 season (extension)</t>
  </si>
  <si>
    <t>Year 2/5 of 5 yr/$158M from 2018 offseason (extension)</t>
  </si>
  <si>
    <t>Year 2/4 of 4 yr/$117M from 2019 offseason</t>
  </si>
  <si>
    <t>Year 2/4 of 4 yr/$26M from 2019 offseason</t>
  </si>
  <si>
    <t>Year 4/4 of 4 yr/$98M from 2016 offseason (extension)</t>
  </si>
  <si>
    <t>Year 2/4 of 4 yr/$73M from 2019 offseason</t>
  </si>
  <si>
    <t>Year 4/4 of 4 yr/$50M from 2017 offseason, Year 0/1 of 1 yr/$13M from 2019 offseason (extension)</t>
  </si>
  <si>
    <t>Year 1/4 of 4 yr/$36M from 19-20 season (extension)</t>
  </si>
  <si>
    <t>2021 1st to Memphis (protected 1-7 and 15-30 in 2021, 1-6 in 2022, 1-3 in 2023, 1 in 2024, becomes 2025 2nd)</t>
  </si>
  <si>
    <t>24th</t>
  </si>
  <si>
    <r>
      <t xml:space="preserve">$1,750,000 annual likely incentives ($1,000,000 for All-Star, $500,000 for All-Defense 1st, $250,000 for REB target), </t>
    </r>
    <r>
      <rPr>
        <strike/>
        <sz val="12"/>
        <color theme="1"/>
        <rFont val="Calibri"/>
        <family val="2"/>
      </rPr>
      <t>$250,000 annual unlikely incentives (DRTG &lt; 100)</t>
    </r>
  </si>
  <si>
    <t>Guangdong Tigers (China)</t>
  </si>
  <si>
    <t>Year 2/4 of 4 yr/$100M from 2019 offseason</t>
  </si>
  <si>
    <t>Year 3/4 of 4 yr/$76M from 2018 offseason</t>
  </si>
  <si>
    <t>Year 2/4 of 4 yr/$50M from 2019 offseason</t>
  </si>
  <si>
    <t>Year 4/4 of 4 yr/$37M from 2017 offseason</t>
  </si>
  <si>
    <t>Year 2/3 of 3 yr/$29M from 2019 offseason</t>
  </si>
  <si>
    <t>Year 4/4 of 4 yr/$22M from 2017 offseason</t>
  </si>
  <si>
    <t>Year 3/4 of 4 yr/$24M from 2018 offseason</t>
  </si>
  <si>
    <t>Year 2/2 of 2 yr/$6M from 2019 offseason</t>
  </si>
  <si>
    <t>Historical Record</t>
  </si>
  <si>
    <t>Year 2/5 of 5 yr/$178M from 2019 offseason</t>
  </si>
  <si>
    <t>Year 2/4 of 4 yr/$70M from 18-19 season (extension)</t>
  </si>
  <si>
    <t>Year 2/4 of 4 yr/$52M from 2019 offseason</t>
  </si>
  <si>
    <t>Year 3/4 of 4 yr/$13M from 2018 offseason</t>
  </si>
  <si>
    <t>Year 2/2 of 2 yr/$3M from 2019 offseason</t>
  </si>
  <si>
    <t>Lost to TOR in first round (4-0)</t>
  </si>
  <si>
    <t>5% trade kicker</t>
  </si>
  <si>
    <t>2021 2nd from Cleveland (unprotected)</t>
  </si>
  <si>
    <t>2022 2nd from Cleveland (unprotected)</t>
  </si>
  <si>
    <t>Claimed off waivers on 6/25/20</t>
  </si>
  <si>
    <t xml:space="preserve">Year 2/3 of 3 yr/$51M from 2019 offseason </t>
  </si>
  <si>
    <t>Year 2/2 of 2 yr/$30M from 2019 offseason</t>
  </si>
  <si>
    <t>Year 3/4 of 4 yr/$40M from 2018 offseason</t>
  </si>
  <si>
    <t>Year 3/4 of 4 yr/$18M from 2018 offseason</t>
  </si>
  <si>
    <t>Year 1/1 of 1 yr/$31M from 2019 offseason (extension)</t>
  </si>
  <si>
    <t>Year 1/4 of 4 yr/$117M from 2019 offseason (extension)</t>
  </si>
  <si>
    <t>Year 2/2 of 2 yr/$8M from 2019 offseason</t>
  </si>
  <si>
    <t>$500,000 likely incentives (All-Star)</t>
  </si>
  <si>
    <t>Beat BKN in first round (4-0), BOS…</t>
  </si>
  <si>
    <t>2022 2nd to Golden State</t>
  </si>
  <si>
    <t>Malachi Richardson --&gt; Alec Burks</t>
  </si>
  <si>
    <t>Lost to LAL in first round (4-1)</t>
  </si>
  <si>
    <t>$1,250,000 annual unlikely incentives (70 GP + POR wins 50 games)</t>
  </si>
  <si>
    <t>Year 4/4 of 4 yr/$107M from 2016 offseason (extension), Year 0/3 of 3 yr/$100M from 2019 offseason (extension)</t>
  </si>
  <si>
    <t>Lost to MIL in first round (4-1)</t>
  </si>
  <si>
    <t>Lost to LAC in first round (4-2)</t>
  </si>
  <si>
    <t>Lost to UTA in first round (4-3)</t>
  </si>
  <si>
    <t>Beat SAS in first round (4-3), lost to HOU in second round (4-3)</t>
  </si>
  <si>
    <t>Beat GSW in first round (4-3), lost to OKC in second round (4-2)</t>
  </si>
  <si>
    <t>Beat MEM in first round (4-3), lost to SAS in second round (4-0)</t>
  </si>
  <si>
    <t>Five Year Record</t>
  </si>
  <si>
    <r>
      <t>$350k annual likely incentives (2nd round playoffs+60 games), $625k annual unlikely incentives (</t>
    </r>
    <r>
      <rPr>
        <strike/>
        <sz val="12"/>
        <color theme="1"/>
        <rFont val="Calibri"/>
        <family val="2"/>
      </rPr>
      <t>$225k for 57 wins+60 games</t>
    </r>
    <r>
      <rPr>
        <sz val="12"/>
        <color theme="1"/>
        <rFont val="Calibri"/>
        <family val="2"/>
      </rPr>
      <t>, $100k for CF+60 games, $100k for NBA Finals+60 games, $200k for Championships+60 games)</t>
    </r>
  </si>
  <si>
    <t>Beat DAL in first round (4-2), DEN…</t>
  </si>
  <si>
    <t>Lost to HOU in first round (4-3)</t>
  </si>
  <si>
    <t>Beat PHI in first round (4-0), beat TOR in semifinals (4-3), lost to MIA in ECF (4-2)</t>
  </si>
  <si>
    <t>Beat UTA in first round (4-3), Beat LAC in semifinals (4-3), Lost to LAL in WCF (4-1)</t>
  </si>
  <si>
    <t>num</t>
  </si>
  <si>
    <t>name</t>
  </si>
  <si>
    <t>position</t>
  </si>
  <si>
    <t>height</t>
  </si>
  <si>
    <t>wingspan</t>
  </si>
  <si>
    <t>weight</t>
  </si>
  <si>
    <t>dob</t>
  </si>
  <si>
    <t>age</t>
  </si>
  <si>
    <t>beforenba</t>
  </si>
  <si>
    <t>experience</t>
  </si>
  <si>
    <t>draftyear</t>
  </si>
  <si>
    <t>pick</t>
  </si>
  <si>
    <t>acquired</t>
  </si>
  <si>
    <t>signedusing</t>
  </si>
  <si>
    <t>currentcontract</t>
  </si>
  <si>
    <t>salary2021</t>
  </si>
  <si>
    <t>salary2122</t>
  </si>
  <si>
    <t>salary2223</t>
  </si>
  <si>
    <t>salary2324</t>
  </si>
  <si>
    <t>salary2425</t>
  </si>
  <si>
    <t>salary2526</t>
  </si>
  <si>
    <t>contractdetails</t>
  </si>
  <si>
    <t>positionbreakdown</t>
  </si>
  <si>
    <t>gp</t>
  </si>
  <si>
    <t>winpct</t>
  </si>
  <si>
    <t>ortg</t>
  </si>
  <si>
    <t>drtg</t>
  </si>
  <si>
    <t>nrtg</t>
  </si>
  <si>
    <t>mpg</t>
  </si>
  <si>
    <t>per</t>
  </si>
  <si>
    <t>tspct</t>
  </si>
  <si>
    <t>usgpct</t>
  </si>
  <si>
    <t>ows</t>
  </si>
  <si>
    <t>dws</t>
  </si>
  <si>
    <t>wsper48</t>
  </si>
  <si>
    <t>obpm</t>
  </si>
  <si>
    <t>dbpm</t>
  </si>
  <si>
    <t>vorp</t>
  </si>
  <si>
    <t>pie</t>
  </si>
  <si>
    <t>Traded from OKC on …</t>
  </si>
  <si>
    <t>Year 3/4 of 4 yr/$153M from 2018 offseason</t>
  </si>
  <si>
    <t>Year 2/2 of 2 yr/$2M from 2019 offseason</t>
  </si>
  <si>
    <t>Year 5/5 of 5 yr/$85M from 2016 offseason</t>
  </si>
  <si>
    <t>Year 4/4 of 4 yr/$107M from 2017 offseason (WSH matched BKN offer sheet)</t>
  </si>
  <si>
    <t>Year 4/4 of 4 yr/$46M from 2017 offseason</t>
  </si>
  <si>
    <t>Year 2/2 of 2 yr/$4M from 2019 offseason</t>
  </si>
  <si>
    <t>2021 2nd from Toronto</t>
  </si>
  <si>
    <t>2021 2nd to Detroit</t>
  </si>
  <si>
    <t>Greg Monroe --&gt; Bruce Brown</t>
  </si>
  <si>
    <t>MLE (DET)</t>
  </si>
  <si>
    <t>Rookie Scale (BKN)</t>
  </si>
  <si>
    <t>Cap Space (PHX)</t>
  </si>
  <si>
    <t>Rookie Scale (PHX)</t>
  </si>
  <si>
    <t>2022 1st from Phoenix (protected 1-12 in 2022, 1-10 in 2023, 1-8 in 2024, unprotected in 2025)</t>
  </si>
  <si>
    <t>2022 1st to Oklahoma City (protected 1-12 in 2022, 1-10 in 2023, 1-8 in 2024, unprotected in 2025)</t>
  </si>
  <si>
    <t>Year 4/4 of 4 yr/$6M from 2017 offseason</t>
  </si>
  <si>
    <t>Year 5/5 of 5 yr/$138M from 2016 offseason</t>
  </si>
  <si>
    <t>Year 1/4 of 4 yr/$15M from 2020 offseason</t>
  </si>
  <si>
    <t>2019 Draft (#16 pick) - signed on 11/16/20</t>
  </si>
  <si>
    <t>$500,000 annual likely incentives (for likely finals appearance), $1,500,000 annual unlikely incentives ($500,000 for 65+ games and All-Defense, other incentives unknown)</t>
  </si>
  <si>
    <t>Year 2/2 of 2 yr/$25M from 2019 offseason</t>
  </si>
  <si>
    <t>2021 1st from Portland (protections TBD)</t>
  </si>
  <si>
    <t>2021 1st to Houston (protections TBD)</t>
  </si>
  <si>
    <t>Traded from NOP on …</t>
  </si>
  <si>
    <t>Year 4/5 of 5 yr/$132M from 2017 offseason</t>
  </si>
  <si>
    <t>Cap Space (MIL)</t>
  </si>
  <si>
    <t>Year 2/2 of 2 yr/$27M from 2019 offseason</t>
  </si>
  <si>
    <t>Year 4/4 of 4 yr/$33M from 2017 offseason</t>
  </si>
  <si>
    <t>Year 2/4 of 4 yr/$44M from 2019 offseason</t>
  </si>
  <si>
    <t>Year 2/4 of 4 yr/$22M from 2019 offseason</t>
  </si>
  <si>
    <t>Year 4/4 of 4 yr/$8M from 2017 offseason</t>
  </si>
  <si>
    <t>Bird Rights (NOP)</t>
  </si>
  <si>
    <t>Beat ORL in first round (4-1), Lost to MIA in second round (4-1)</t>
  </si>
  <si>
    <t>Year 5/5 of 5 yr/$140M from 2015 offseason (extension), Year 0/4 of 4 yr/$176M from 2019 offseason (extension)</t>
  </si>
  <si>
    <t>Traded from OKC on 11/16/20</t>
  </si>
  <si>
    <t>Traded from PHX on 11/16/20</t>
  </si>
  <si>
    <t>Year 5/5 of 5 yr/$127M from 2016 offseason</t>
  </si>
  <si>
    <t>2022 1st to Cleveland (unprotected)</t>
  </si>
  <si>
    <t>2024 1st to New Orleans (right to swap)</t>
  </si>
  <si>
    <t>2025 1st to New Orleans (unprotected)</t>
  </si>
  <si>
    <t>2026 1st to New Orleans (right to swap)</t>
  </si>
  <si>
    <t>2027 1st to New Orleans (unprotected)</t>
  </si>
  <si>
    <t>2024 1st from Milwaukee (unprotected right to swap)</t>
  </si>
  <si>
    <t>2025 1st from Milwaukee (unprotected)</t>
  </si>
  <si>
    <t>2026 1st from Milwaukee (unprotected right to swap)</t>
  </si>
  <si>
    <t>2027 1st from Milwaukee (unprotected)</t>
  </si>
  <si>
    <t>Year 2/2 of 2 yr/$13M from 2019 offseason</t>
  </si>
  <si>
    <t>2022 1st from Milwaukee (unprotected)</t>
  </si>
  <si>
    <t>#</t>
  </si>
  <si>
    <r>
      <t xml:space="preserve">George TPE ($10,389,997, </t>
    </r>
    <r>
      <rPr>
        <sz val="12"/>
        <color rgb="FFFF0000"/>
        <rFont val="Calibri (Body)"/>
      </rPr>
      <t>7/10/20</t>
    </r>
    <r>
      <rPr>
        <sz val="12"/>
        <color theme="1"/>
        <rFont val="Calibri"/>
        <family val="2"/>
        <scheme val="minor"/>
      </rPr>
      <t xml:space="preserve">), Grant TPE ($9,346,153, </t>
    </r>
    <r>
      <rPr>
        <sz val="12"/>
        <color rgb="FFFF0000"/>
        <rFont val="Calibri (Body)"/>
      </rPr>
      <t>7/8/20</t>
    </r>
    <r>
      <rPr>
        <sz val="12"/>
        <color theme="1"/>
        <rFont val="Calibri"/>
        <family val="2"/>
        <scheme val="minor"/>
      </rPr>
      <t>), Full MLE ($9,258,000), Paul TPE ($6,712,883, 11/16/20) (BAE ($3,623,000)</t>
    </r>
  </si>
  <si>
    <r>
      <t xml:space="preserve">1% SG, </t>
    </r>
    <r>
      <rPr>
        <u/>
        <sz val="12"/>
        <color theme="1"/>
        <rFont val="Calibri (Body)"/>
      </rPr>
      <t>79% SF</t>
    </r>
    <r>
      <rPr>
        <sz val="12"/>
        <color theme="1"/>
        <rFont val="Calibri"/>
        <family val="2"/>
        <scheme val="minor"/>
      </rPr>
      <t>, 20% PF, 1% C</t>
    </r>
  </si>
  <si>
    <r>
      <rPr>
        <u/>
        <sz val="12"/>
        <color theme="1"/>
        <rFont val="Calibri (Body)"/>
      </rPr>
      <t>77% PF</t>
    </r>
    <r>
      <rPr>
        <sz val="12"/>
        <color theme="1"/>
        <rFont val="Calibri"/>
        <family val="2"/>
        <scheme val="minor"/>
      </rPr>
      <t>, 23% C</t>
    </r>
  </si>
  <si>
    <r>
      <t xml:space="preserve">3% PG, </t>
    </r>
    <r>
      <rPr>
        <u/>
        <sz val="12"/>
        <color theme="1"/>
        <rFont val="Calibri (Body)"/>
      </rPr>
      <t>61% SG</t>
    </r>
    <r>
      <rPr>
        <sz val="12"/>
        <color theme="1"/>
        <rFont val="Calibri"/>
        <family val="2"/>
        <scheme val="minor"/>
      </rPr>
      <t>, 35% SF, 1% PF</t>
    </r>
  </si>
  <si>
    <r>
      <t xml:space="preserve">8% PG, </t>
    </r>
    <r>
      <rPr>
        <u/>
        <sz val="12"/>
        <color theme="1"/>
        <rFont val="Calibri (Body)"/>
      </rPr>
      <t>60% SG,</t>
    </r>
    <r>
      <rPr>
        <sz val="12"/>
        <color theme="1"/>
        <rFont val="Calibri"/>
        <family val="2"/>
        <scheme val="minor"/>
      </rPr>
      <t xml:space="preserve"> 32% SF</t>
    </r>
  </si>
  <si>
    <r>
      <t xml:space="preserve">7% PG, </t>
    </r>
    <r>
      <rPr>
        <u/>
        <sz val="12"/>
        <color theme="1"/>
        <rFont val="Calibri (Body)"/>
      </rPr>
      <t>57% SG</t>
    </r>
    <r>
      <rPr>
        <sz val="12"/>
        <color theme="1"/>
        <rFont val="Calibri"/>
        <family val="2"/>
        <scheme val="minor"/>
      </rPr>
      <t>, 34% SF, 2% PF</t>
    </r>
  </si>
  <si>
    <r>
      <t xml:space="preserve">19% SG, </t>
    </r>
    <r>
      <rPr>
        <u/>
        <sz val="12"/>
        <color theme="1"/>
        <rFont val="Calibri (Body)"/>
      </rPr>
      <t>70% SF</t>
    </r>
    <r>
      <rPr>
        <sz val="12"/>
        <color theme="1"/>
        <rFont val="Calibri"/>
        <family val="2"/>
        <scheme val="minor"/>
      </rPr>
      <t>, 11% PF</t>
    </r>
  </si>
  <si>
    <r>
      <t xml:space="preserve">3% PG, </t>
    </r>
    <r>
      <rPr>
        <u/>
        <sz val="12"/>
        <color theme="1"/>
        <rFont val="Calibri (Body)"/>
      </rPr>
      <t>74% SG</t>
    </r>
    <r>
      <rPr>
        <sz val="12"/>
        <color theme="1"/>
        <rFont val="Calibri"/>
        <family val="2"/>
        <scheme val="minor"/>
      </rPr>
      <t>, 23% SF</t>
    </r>
  </si>
  <si>
    <r>
      <t xml:space="preserve">20% SG, </t>
    </r>
    <r>
      <rPr>
        <u/>
        <sz val="12"/>
        <color theme="1"/>
        <rFont val="Calibri (Body)"/>
      </rPr>
      <t>64% SF</t>
    </r>
    <r>
      <rPr>
        <sz val="12"/>
        <color theme="1"/>
        <rFont val="Calibri"/>
        <family val="2"/>
        <scheme val="minor"/>
      </rPr>
      <t>, 16% PF</t>
    </r>
  </si>
  <si>
    <t>2026 2nd to Orlando (unprotected)</t>
  </si>
  <si>
    <t>2026 2nd from Milwaukee (unprotected)</t>
  </si>
  <si>
    <t>2021 2nd to Orlando (conveyes one year after 2nd to Brooklyn, could be anywhere from 2022-2024)</t>
  </si>
  <si>
    <t>Traded from PHI on …</t>
  </si>
  <si>
    <t>Cap Space (PHI)</t>
  </si>
  <si>
    <t>Rookie Scale (OKC)</t>
  </si>
  <si>
    <t>2025 1st to Oklahoma City ("lightly protected")</t>
  </si>
  <si>
    <t>Year 4/4 of 4 yr/$50M from 2017 offseason</t>
  </si>
  <si>
    <t>2021 1st to Houston (protected 1-16 in 2021-2024, 1-10 in 2025-2026, 1-9 in 2027, becomes 2nds in 2028)</t>
  </si>
  <si>
    <t>2021 2nd from LA Lakers (unprotected)</t>
  </si>
  <si>
    <t>2021 2nd to Houston (for sure)</t>
  </si>
  <si>
    <t xml:space="preserve">Rookie Scale </t>
  </si>
  <si>
    <t>2017 Draft (#17 pick)</t>
  </si>
  <si>
    <t>2018 Draft (#17 pick)</t>
  </si>
  <si>
    <t>*2018 offseason</t>
  </si>
  <si>
    <t>LaMelo Ball</t>
  </si>
  <si>
    <t>James Wiseman</t>
  </si>
  <si>
    <t>Anthony Edwards</t>
  </si>
  <si>
    <t>2020 Draft (#2 pick)</t>
  </si>
  <si>
    <t>Year 1/4 of 4 yr/$40M from 2020 offseason</t>
  </si>
  <si>
    <t>2020 Draft (#1 pick)</t>
  </si>
  <si>
    <t>Year 1/4 of 4 yr/$44M from 2020 offseason</t>
  </si>
  <si>
    <t>2020 Draft (#3 pick)</t>
  </si>
  <si>
    <t>Year 1/4 of 4 yr /$36M from 2020 offseason</t>
  </si>
  <si>
    <t>Illawara (Australia)</t>
  </si>
  <si>
    <t>2020 Draft (#4 pick)</t>
  </si>
  <si>
    <t>Patrick Williams</t>
  </si>
  <si>
    <t>Year 1/4 of 4 yr/$32M from 2020 offseason</t>
  </si>
  <si>
    <t>Isaac Okoro</t>
  </si>
  <si>
    <t>2020 Draft (#5 pick)</t>
  </si>
  <si>
    <t>Year 1/4 of 4 yr/$29M from 2020 offseason</t>
  </si>
  <si>
    <t>Onyeka Okongwu</t>
  </si>
  <si>
    <t>2020 Draft (#6 pick)</t>
  </si>
  <si>
    <t>Year 1/4 of 4 yr/$26M from 2020 offseason</t>
  </si>
  <si>
    <t>Killian Hayes</t>
  </si>
  <si>
    <t>2020 Draft (#7 pick)</t>
  </si>
  <si>
    <t>Year 1/4 of 4 yr/$24M from 2020 offseason</t>
  </si>
  <si>
    <t>Obi Toppin</t>
  </si>
  <si>
    <t>2020 Draft (#8 pick)</t>
  </si>
  <si>
    <t>Year 1/4 of 4 yr/$22M from 2020 offseason</t>
  </si>
  <si>
    <t>Deni Avdija</t>
  </si>
  <si>
    <t>2020 Draft (#9 pick)</t>
  </si>
  <si>
    <t>Year 1/4 of 4 yr/$20M from 2020 offseason</t>
  </si>
  <si>
    <t>Jalen Smith</t>
  </si>
  <si>
    <t>2020 Draft (#10 pick)</t>
  </si>
  <si>
    <t>Year 1/4 of 4 yr/$19M from 2020 offseason</t>
  </si>
  <si>
    <t>Devin Vassell</t>
  </si>
  <si>
    <t>2020 Draft (#11 pick)</t>
  </si>
  <si>
    <t>Tyrese Haliburton</t>
  </si>
  <si>
    <t>2020 Draft (#12 pick)</t>
  </si>
  <si>
    <t>Year 1/4 of 4 yr/$18M from 2020 offseason</t>
  </si>
  <si>
    <t>Kira Lewis Jr.</t>
  </si>
  <si>
    <t>2020 Draft (#13 pick)</t>
  </si>
  <si>
    <t>Year 1/4 of 4 yr/$17M from 2020 offseason</t>
  </si>
  <si>
    <t>2020 Draft (#14 pick)</t>
  </si>
  <si>
    <t>Aaron Nesmith</t>
  </si>
  <si>
    <t>Cole Anthony</t>
  </si>
  <si>
    <t>Guard</t>
  </si>
  <si>
    <t>2020 Draft (#15 pick)</t>
  </si>
  <si>
    <t>Year 1/4 of 4 yr/$16M from 2020 offseason</t>
  </si>
  <si>
    <t>Traded from MIN on …</t>
  </si>
  <si>
    <t>Isaiah Stewart</t>
  </si>
  <si>
    <t>2020 Draft (#16 pick)</t>
  </si>
  <si>
    <t>Aleksej Pokusevski</t>
  </si>
  <si>
    <t>2020 Draft (#17 pick)</t>
  </si>
  <si>
    <t>Year 1/4 of 4 yr/$14M from 2020 offseason</t>
  </si>
  <si>
    <t>Josh Green</t>
  </si>
  <si>
    <t>2020 Draft (#18 pick)</t>
  </si>
  <si>
    <t>Saddiq Bey</t>
  </si>
  <si>
    <t>2020 Draft (#19 pick)</t>
  </si>
  <si>
    <t>Year 1/4 of 4 yr/$13M from 2020 offseason</t>
  </si>
  <si>
    <t>Traded from LAC on …</t>
  </si>
  <si>
    <t>Rookie Scale (DET)</t>
  </si>
  <si>
    <t>Traded from DET on …</t>
  </si>
  <si>
    <t>2020 Draft (#20 pick)</t>
  </si>
  <si>
    <t>Precious Achiuwa</t>
  </si>
  <si>
    <t>Tyrese Maxey</t>
  </si>
  <si>
    <t>2020 Draft (#21 pick)</t>
  </si>
  <si>
    <t>Year 1/4 of 4 yr/$12M from 2020 offseason</t>
  </si>
  <si>
    <t>2020 Draft (#22 pick)</t>
  </si>
  <si>
    <t>Zeke Nnaji</t>
  </si>
  <si>
    <t>Year 1/4 of 4 yr/$11M from 2020 offseason</t>
  </si>
  <si>
    <t>2020 Draft (#23 pick)</t>
  </si>
  <si>
    <t>Leandro Bolmaro</t>
  </si>
  <si>
    <t>RJ Hampton</t>
  </si>
  <si>
    <t>New Zealand Breakers</t>
  </si>
  <si>
    <t>2020 Draft (#24 pick)</t>
  </si>
  <si>
    <t>Immanuel Quickley</t>
  </si>
  <si>
    <t>2020 Draft (#25 pick)</t>
  </si>
  <si>
    <t>Payton Pritchard</t>
  </si>
  <si>
    <t>2020 Draft (#26 pick)</t>
  </si>
  <si>
    <t>Year 1/4 of 4 yr/$10M from 2020 offseason</t>
  </si>
  <si>
    <t>Udoka Azubuike</t>
  </si>
  <si>
    <t>2020 Draft (#27 pick)</t>
  </si>
  <si>
    <t>Jaden McDaniels</t>
  </si>
  <si>
    <t>2020 Draft (#28 pick)</t>
  </si>
  <si>
    <t>2020 Draft (#29 pick)</t>
  </si>
  <si>
    <t>Malachi Flynn</t>
  </si>
  <si>
    <t>Desmond Bane</t>
  </si>
  <si>
    <t>2020 Draft (#30 pick)</t>
  </si>
  <si>
    <t>Tyrell Terry</t>
  </si>
  <si>
    <t>2020 Draft (#31 pick)</t>
  </si>
  <si>
    <t>Vernon Carey Jr.</t>
  </si>
  <si>
    <t>2020 Draft (#32 pick)</t>
  </si>
  <si>
    <t>Daniel Oturu</t>
  </si>
  <si>
    <t>2020 Draft (#33 pick)</t>
  </si>
  <si>
    <t>Traded from DAL on …</t>
  </si>
  <si>
    <t>Theo Maledon</t>
  </si>
  <si>
    <t>ASVEL (France)</t>
  </si>
  <si>
    <t>2020 Draft (#34 pick)</t>
  </si>
  <si>
    <t>Tyler Bey</t>
  </si>
  <si>
    <t>Xavier Tillman Sr.</t>
  </si>
  <si>
    <t>2020 Draft (#35 pick)</t>
  </si>
  <si>
    <t>Vit Krejci</t>
  </si>
  <si>
    <t>2020 Draft (#37 pick)</t>
  </si>
  <si>
    <t>Saben Lee</t>
  </si>
  <si>
    <t>2020 Draft (#38 pick)</t>
  </si>
  <si>
    <t>Elijah Hughes</t>
  </si>
  <si>
    <t>2020 Draft (#39 pick)</t>
  </si>
  <si>
    <t>2020 Draft (#40 pick)</t>
  </si>
  <si>
    <t>Tre Jones</t>
  </si>
  <si>
    <t>2020 Draft (#41 pick)</t>
  </si>
  <si>
    <t>Nick Richards</t>
  </si>
  <si>
    <t>2020 Draft (#42 pick)</t>
  </si>
  <si>
    <t>Jahmius Ramsey</t>
  </si>
  <si>
    <t>2020 Draft (#43 pick)</t>
  </si>
  <si>
    <t>Marko Simonovic</t>
  </si>
  <si>
    <t>2020 Draft (#44 pick)</t>
  </si>
  <si>
    <t>Jordan Nwora</t>
  </si>
  <si>
    <t>2020 Draft (#45 pick)</t>
  </si>
  <si>
    <t>CJ Elleby</t>
  </si>
  <si>
    <t>2020 Draft (#46 pick)</t>
  </si>
  <si>
    <t>Yam Madar</t>
  </si>
  <si>
    <t>2020 Draft (#47 pick)</t>
  </si>
  <si>
    <t>Nico Mannion</t>
  </si>
  <si>
    <t>2020 Draft (#48 pick)</t>
  </si>
  <si>
    <t>2020 Draft (#36 pick)</t>
  </si>
  <si>
    <t>Isaiah Joe</t>
  </si>
  <si>
    <t>2020 Draft (#49 pick)</t>
  </si>
  <si>
    <t>Skylar Mays</t>
  </si>
  <si>
    <t>Justinian Jessup</t>
  </si>
  <si>
    <t>2020 Draft (#51 pick)</t>
  </si>
  <si>
    <t>Kenyon Martin Jr.</t>
  </si>
  <si>
    <t>2020 Draft (#52 pick)</t>
  </si>
  <si>
    <t>Cassius Winston</t>
  </si>
  <si>
    <t>2020 Draft (#53 pick)</t>
  </si>
  <si>
    <t>Cassius Stanley</t>
  </si>
  <si>
    <t>2020 Draft (#54 pick)</t>
  </si>
  <si>
    <t>2W</t>
  </si>
  <si>
    <t>Jay Scrubb</t>
  </si>
  <si>
    <t>2020 Draft (#55 pick)</t>
  </si>
  <si>
    <t>Grant Riller</t>
  </si>
  <si>
    <t>2020 Draft (#56 pick)</t>
  </si>
  <si>
    <t>Reggie Perry</t>
  </si>
  <si>
    <t>2020 Draft (#57 pick)</t>
  </si>
  <si>
    <t>Jalen Harris</t>
  </si>
  <si>
    <t>2020 Draft (#59 pick)</t>
  </si>
  <si>
    <t>Paul Reed</t>
  </si>
  <si>
    <t>2020 Draft (#58 pick)</t>
  </si>
  <si>
    <t>Utah State</t>
  </si>
  <si>
    <t>2020 Draft (#60 pick)</t>
  </si>
  <si>
    <t>Sam Merrill</t>
  </si>
  <si>
    <t>2020 Draft (#50 pick)</t>
  </si>
  <si>
    <t>Hapoel Tel Aviv (Israel)</t>
  </si>
  <si>
    <t>College of Charleston</t>
  </si>
  <si>
    <t>Mega Bemax (Serbia)</t>
  </si>
  <si>
    <t>draft &amp; stash (Illawara)</t>
  </si>
  <si>
    <t>Devon Dotson</t>
  </si>
  <si>
    <t>Lamar Stevens</t>
  </si>
  <si>
    <t>Ashton Hagans</t>
  </si>
  <si>
    <t>Casademont Zarazoga (Spain)</t>
  </si>
  <si>
    <t>Robert Woodard II</t>
  </si>
  <si>
    <t>Mississipi State</t>
  </si>
  <si>
    <t>Killian Tillie</t>
  </si>
  <si>
    <t>Markus Howard</t>
  </si>
  <si>
    <t>Nate Darling</t>
  </si>
  <si>
    <t>UAB</t>
  </si>
  <si>
    <t>Sean McDermott</t>
  </si>
  <si>
    <t>Jahlil Tripp</t>
  </si>
  <si>
    <t>Pacific</t>
  </si>
  <si>
    <t>Exhibit 10</t>
  </si>
  <si>
    <t>Zavier Simpson</t>
  </si>
  <si>
    <t>Exihibit 10</t>
  </si>
  <si>
    <t>Josh Hall</t>
  </si>
  <si>
    <t>Traded from ATL on …</t>
  </si>
  <si>
    <t>2023 2nd from Portland (unprotected)</t>
  </si>
  <si>
    <t>2024 2nd from Detroit (unprotected)</t>
  </si>
  <si>
    <t>2025 2nd from Detroit (unprotected)</t>
  </si>
  <si>
    <t>2026 2nd from Detroit (unprotected)</t>
  </si>
  <si>
    <t>2024 2nd to LA Clippers</t>
  </si>
  <si>
    <t>2025 2nd to LA Clippers</t>
  </si>
  <si>
    <t>2026 2nd to LA Clippers</t>
  </si>
  <si>
    <t>Year 4/4 of 4 yr/$60M from 2017 offseason</t>
  </si>
  <si>
    <t>2021 1st to Oklahoma City (protected 1-20 in 2021, becomes two 2nds)</t>
  </si>
  <si>
    <t>2021 1st from Golden State (protected 1-20 in 2021, becomes two 2nds)</t>
  </si>
  <si>
    <t>Room Exception (UTA)</t>
  </si>
  <si>
    <t>Year 4/4 of 4 yr/$71M from 2017 offseason</t>
  </si>
  <si>
    <t>Year 3/3 of 3 yr/$20M from 2018 offseason</t>
  </si>
  <si>
    <t>MLE (WSH)</t>
  </si>
  <si>
    <t>$1M to OKC for Poirier</t>
  </si>
  <si>
    <t>2021 2nd from OKC (protected 31-55, obligation extinguished otherwise)</t>
  </si>
  <si>
    <t>2021 2nd to Boston (protected 31-55, obligation extinguished otherwise)</t>
  </si>
  <si>
    <t>Year 2/3 of 3 yr/$62M from 2019 offseason</t>
  </si>
  <si>
    <t>Year 4/4 of 4 yr/$19M from 2017 offseason</t>
  </si>
  <si>
    <t>Year 4/4 of 4 yr/$17M from 2017 offseason</t>
  </si>
  <si>
    <t>Year 3/4 of 4 yr/$19M from 2018 offseason</t>
  </si>
  <si>
    <t>2025 1st from Philadelphia (protected 1-6 in 2025, 1-4 in 2026 and 2027, becomes 2027 2nd)</t>
  </si>
  <si>
    <t>$1M from Boston (Poirier)</t>
  </si>
  <si>
    <t>Minimum (POR)</t>
  </si>
  <si>
    <t>Room Exception (BOS)</t>
  </si>
  <si>
    <t>Year 1/2 of 2 yr/37M from 2020 offseason</t>
  </si>
  <si>
    <t>Year 1/2 of 2 yr/$18M from 2020 offseason</t>
  </si>
  <si>
    <t>Facundo Campazzo</t>
  </si>
  <si>
    <t>Signed on …</t>
  </si>
  <si>
    <t>Year 1/1 of 1 yr/$4M from 2020 offseason</t>
  </si>
  <si>
    <t>Year 1/1 of 1 yr/$2M from 2020 offseason</t>
  </si>
  <si>
    <t>Year 1/3 of 3 yr/$25M from 2020 offseason</t>
  </si>
  <si>
    <t>Year 1/3 of 3 yr/$5M from 2020 offseason</t>
  </si>
  <si>
    <t>salary2627</t>
  </si>
  <si>
    <t>Year 4/4 of 4 yr/$25M from 2017 offseason, Year 0/5 of 5 yr/$163M from 2020 offseason</t>
  </si>
  <si>
    <t>Rookie Scale / Bird Rights</t>
  </si>
  <si>
    <t>Year 1/4 of 4 yr/$52M from 2020 offseason</t>
  </si>
  <si>
    <t>Year 1/2 of 2 yr/$3M from 2020 offseason</t>
  </si>
  <si>
    <t>Year 1/3 of 3 yr/$29M from 2020 offseason</t>
  </si>
  <si>
    <t>25% max (26% w/ All-NBA 3rd, 28% w/ All-NBA 2nd, 30% w/ All-NBA 1st)</t>
  </si>
  <si>
    <t>Year 1/3 of 3 yr/$62M from 2020 offseason</t>
  </si>
  <si>
    <t>Year 1/4 of 4 yr/$60M from 2020 offseason</t>
  </si>
  <si>
    <t>Year 1/3 of 3 yr/$27M from 2020 offseason</t>
  </si>
  <si>
    <t>Year 1/3 of 3 yr/$10M from 2020 offseason</t>
  </si>
  <si>
    <t>Jae'Sean Tate</t>
  </si>
  <si>
    <t>Sydney Kings (Australia)</t>
  </si>
  <si>
    <t>Year 1/2 of 2 yr/$19M from 2020 offseason</t>
  </si>
  <si>
    <t>Year …</t>
  </si>
  <si>
    <t>…</t>
  </si>
  <si>
    <t>Non-Guarantees</t>
  </si>
  <si>
    <t>Year 1/5 of 5 yr/$80M from 2020 offseason</t>
  </si>
  <si>
    <t>Year 1/3 of 3 yr/$41M from 2020 offseason</t>
  </si>
  <si>
    <t>Year 1/1 of 1 yr/$6M from 2020 offseason</t>
  </si>
  <si>
    <t>Year 1/2 of 2 yr/$21M from 2020 offseason</t>
  </si>
  <si>
    <r>
      <t xml:space="preserve">13% PG, </t>
    </r>
    <r>
      <rPr>
        <u/>
        <sz val="12"/>
        <color theme="1"/>
        <rFont val="Calibri"/>
        <family val="2"/>
      </rPr>
      <t>80% SG</t>
    </r>
    <r>
      <rPr>
        <sz val="12"/>
        <color theme="1"/>
        <rFont val="Calibri"/>
        <family val="2"/>
      </rPr>
      <t>, 7% SF</t>
    </r>
  </si>
  <si>
    <r>
      <t xml:space="preserve">17% PF, </t>
    </r>
    <r>
      <rPr>
        <u/>
        <sz val="12"/>
        <color theme="1"/>
        <rFont val="Calibri"/>
        <family val="2"/>
      </rPr>
      <t>83% C</t>
    </r>
  </si>
  <si>
    <r>
      <t xml:space="preserve">1% SG, </t>
    </r>
    <r>
      <rPr>
        <u/>
        <sz val="12"/>
        <color theme="1"/>
        <rFont val="Calibri"/>
        <family val="2"/>
      </rPr>
      <t>85% SF</t>
    </r>
    <r>
      <rPr>
        <sz val="12"/>
        <color theme="1"/>
        <rFont val="Calibri"/>
        <family val="2"/>
      </rPr>
      <t>, 13% SF</t>
    </r>
  </si>
  <si>
    <r>
      <rPr>
        <u/>
        <sz val="12"/>
        <color theme="1"/>
        <rFont val="Calibri"/>
        <family val="2"/>
      </rPr>
      <t>57% PF</t>
    </r>
    <r>
      <rPr>
        <sz val="12"/>
        <color theme="1"/>
        <rFont val="Calibri"/>
        <family val="2"/>
      </rPr>
      <t>, 43% C</t>
    </r>
  </si>
  <si>
    <r>
      <rPr>
        <u/>
        <sz val="12"/>
        <color theme="1"/>
        <rFont val="Calibri"/>
        <family val="2"/>
      </rPr>
      <t>53% PG</t>
    </r>
    <r>
      <rPr>
        <sz val="12"/>
        <color theme="1"/>
        <rFont val="Calibri"/>
        <family val="2"/>
      </rPr>
      <t>, 47% SG</t>
    </r>
  </si>
  <si>
    <r>
      <t xml:space="preserve">5% SG, 27% SF, </t>
    </r>
    <r>
      <rPr>
        <u/>
        <sz val="12"/>
        <color theme="1"/>
        <rFont val="Calibri"/>
        <family val="2"/>
      </rPr>
      <t>67% PF</t>
    </r>
    <r>
      <rPr>
        <sz val="12"/>
        <color theme="1"/>
        <rFont val="Calibri"/>
        <family val="2"/>
      </rPr>
      <t>, 1% C</t>
    </r>
  </si>
  <si>
    <r>
      <t xml:space="preserve">2% PG, 48% SG, </t>
    </r>
    <r>
      <rPr>
        <u/>
        <sz val="12"/>
        <color theme="1"/>
        <rFont val="Calibri"/>
        <family val="2"/>
      </rPr>
      <t>50% SF</t>
    </r>
    <r>
      <rPr>
        <sz val="12"/>
        <color theme="1"/>
        <rFont val="Calibri"/>
        <family val="2"/>
      </rPr>
      <t>, 1% PF</t>
    </r>
  </si>
  <si>
    <r>
      <t xml:space="preserve">8% PF, </t>
    </r>
    <r>
      <rPr>
        <u/>
        <sz val="12"/>
        <color theme="1"/>
        <rFont val="Calibri"/>
        <family val="2"/>
      </rPr>
      <t>92% C</t>
    </r>
  </si>
  <si>
    <r>
      <t xml:space="preserve">6% SF, </t>
    </r>
    <r>
      <rPr>
        <u/>
        <sz val="12"/>
        <color theme="1"/>
        <rFont val="Calibri"/>
        <family val="2"/>
      </rPr>
      <t>55% PF</t>
    </r>
    <r>
      <rPr>
        <sz val="12"/>
        <color theme="1"/>
        <rFont val="Calibri"/>
        <family val="2"/>
      </rPr>
      <t>, 39% C</t>
    </r>
  </si>
  <si>
    <r>
      <rPr>
        <u/>
        <sz val="12"/>
        <color theme="1"/>
        <rFont val="Calibri"/>
        <family val="2"/>
      </rPr>
      <t>86% PF</t>
    </r>
    <r>
      <rPr>
        <sz val="12"/>
        <color theme="1"/>
        <rFont val="Calibri"/>
        <family val="2"/>
      </rPr>
      <t>, 14% C</t>
    </r>
  </si>
  <si>
    <r>
      <t xml:space="preserve">26% SG, </t>
    </r>
    <r>
      <rPr>
        <u/>
        <sz val="12"/>
        <color theme="1"/>
        <rFont val="Calibri"/>
        <family val="2"/>
      </rPr>
      <t>38% SF</t>
    </r>
    <r>
      <rPr>
        <sz val="12"/>
        <color theme="1"/>
        <rFont val="Calibri"/>
        <family val="2"/>
      </rPr>
      <t>, 36% PF</t>
    </r>
  </si>
  <si>
    <t>Year 1/4 of 4 yr/$75M from 2020 offseason</t>
  </si>
  <si>
    <t>Year 1/1 of 1 yr/$5M from 2020 offseason</t>
  </si>
  <si>
    <t>Year 1/3 of 3 yr/$60M from 2020 offseason</t>
  </si>
  <si>
    <t>Year 1/4 of 4 yr/$64M from 2020 offseason</t>
  </si>
  <si>
    <t>Traded from DET on 11/19/20</t>
  </si>
  <si>
    <t>Traded from BKN on 11/19/20</t>
  </si>
  <si>
    <t>Traded from LAC on 11/19/20</t>
  </si>
  <si>
    <t>Traded from BOS on 11/19/20</t>
  </si>
  <si>
    <t>Traded from WSH on 11/19/20</t>
  </si>
  <si>
    <t>Traded from DAL on 11/19/20</t>
  </si>
  <si>
    <t>Traded from OKC on 11/19/20</t>
  </si>
  <si>
    <t>Traded from PHI on 11/19/20</t>
  </si>
  <si>
    <t>Signed from LAC on …</t>
  </si>
  <si>
    <t>Year 1/2 of 2 yr/$15M frm 2020 offseason</t>
  </si>
  <si>
    <t>2023 1st to Oklahoma City protected 1-14 in 2023-2025, other details TBD)</t>
  </si>
  <si>
    <t>2023 1st from Denver (protected 1-14 in 2023-2025, other details TBD)</t>
  </si>
  <si>
    <t>Year 1/2 of 2 yr/$8M from 2020 offseason</t>
  </si>
  <si>
    <t>Qualifying Offer</t>
  </si>
  <si>
    <t>Draft &amp; Stash</t>
  </si>
  <si>
    <t>Iguodala TPE</t>
  </si>
  <si>
    <t>Cauley-Stein TPE</t>
  </si>
  <si>
    <t>Thompson DPE</t>
  </si>
  <si>
    <t>Year 1/3 of 3 yr/$18M from 2020 offseason</t>
  </si>
  <si>
    <t>Implicit no-trade…</t>
  </si>
  <si>
    <t>Year 2/2 of 2 yr/$11M from 2019 offseason</t>
  </si>
  <si>
    <t>Full MLE</t>
  </si>
  <si>
    <t>Anthony Gill</t>
  </si>
  <si>
    <t>BC Khimki (Russia)</t>
  </si>
  <si>
    <t>Year 1/4 of 4 yr/$35M from 2020 offseason</t>
  </si>
  <si>
    <t>Signed from NYK on …</t>
  </si>
  <si>
    <t>Signed from ORL on ...</t>
  </si>
  <si>
    <t>Signed from CHI on …</t>
  </si>
  <si>
    <t>Year 1/2 of 2 yr/$10M from 2020 offseason</t>
  </si>
  <si>
    <t>Signed from OKC on …</t>
  </si>
  <si>
    <t>Year 1/3 of 3 yr/$21M from 2020 offseason</t>
  </si>
  <si>
    <t>Year 1/2 of 2 yr/$7M from 2020 offseason</t>
  </si>
  <si>
    <t>Year 1/4 of 4 yr/$85M from 2020 offseason</t>
  </si>
  <si>
    <t>Signed from BOS on …</t>
  </si>
  <si>
    <t>Year 1/4 of 4 yr/$120M from 2020 offseason</t>
  </si>
  <si>
    <t>Year 1/2 of 2 yr/$12M from 2020 offseason</t>
  </si>
  <si>
    <t>Year 1/2 of 2 yr/$2M from 2020 offseason</t>
  </si>
  <si>
    <t>Signed from HOU on …</t>
  </si>
  <si>
    <t>Signed from POR on …</t>
  </si>
  <si>
    <t>Year 1/1 of two way from 2020 offseason</t>
  </si>
  <si>
    <t>Year 1/2 of 2 yr/$15M from 2020 offseason</t>
  </si>
  <si>
    <t>Kanter TPE</t>
  </si>
  <si>
    <t>Poirier TPE</t>
  </si>
  <si>
    <t>Traded from DET on 11/20/20</t>
  </si>
  <si>
    <t>Signed from BOS on 7/7/19</t>
  </si>
  <si>
    <t>Signed from NYK on 7/6/19</t>
  </si>
  <si>
    <t>Signed from ATL on 7/13/17</t>
  </si>
  <si>
    <t>Year 1/1 of 1 yr/$10M from 2020 offseason</t>
  </si>
  <si>
    <t>Hernangomez TPE</t>
  </si>
  <si>
    <t>Traded from POR on 11/20/20</t>
  </si>
  <si>
    <t>Traded from OKC on 11/20/20</t>
  </si>
  <si>
    <t>Traded from BOS on 11/20/20</t>
  </si>
  <si>
    <t>Claimed off waivers on 11/21/20</t>
  </si>
  <si>
    <t>Implicit no-trade</t>
  </si>
  <si>
    <t>Amida Brimah</t>
  </si>
  <si>
    <t>KK Partizan (Serbia)</t>
  </si>
  <si>
    <t>Year 1/1 of Exhibit 10 from 2020 offseason</t>
  </si>
  <si>
    <t>Labissiere TPE</t>
  </si>
  <si>
    <t>Bazemore TPE</t>
  </si>
  <si>
    <t>Johnson TPE</t>
  </si>
  <si>
    <t>w/ Nunn PG</t>
  </si>
  <si>
    <t>w / Nunn guaranteed</t>
  </si>
  <si>
    <t>Two Ways</t>
  </si>
  <si>
    <t>Avery Bradley / Mo Harkless</t>
  </si>
  <si>
    <t>Hard Cap (triggered w/ Bradley &amp; Harkless signings)</t>
  </si>
  <si>
    <t>Beat IND in first round (4-0), Beat MIL in second round (4-1), Beat BOS in WCF (4-2), Lost to LAL in NBA Finals (4-2)</t>
  </si>
  <si>
    <t>*now probably early March (whenever trade deadline is…)</t>
  </si>
  <si>
    <t>Trade kicker lesser of 5% of remaining contract value and $2M, $1,400,000 likely incentives (minutes/playoffs)</t>
  </si>
  <si>
    <t>Signed from BOS on 7/7/17</t>
  </si>
  <si>
    <t>*room under Hard Cap</t>
  </si>
  <si>
    <t>Early Bird (NOP)</t>
  </si>
  <si>
    <t>Year 2/2 of 2 yr/$14M from 2019 offseason</t>
  </si>
  <si>
    <t>D&amp;S</t>
  </si>
  <si>
    <t>Hard Cap (triggered with Thompson MLE signing)</t>
  </si>
  <si>
    <t>Year 1/3 of 3 yr/$40M from 2020 offseason</t>
  </si>
  <si>
    <t>Year 2/2 of two way from 19-20 season</t>
  </si>
  <si>
    <t>Hard Cap (triggered by Harrell / Matthews signings)</t>
  </si>
  <si>
    <t>Signed from ORL on …</t>
  </si>
  <si>
    <t>Signed from PHI on 7/23/19</t>
  </si>
  <si>
    <t>Signed from ATL on …</t>
  </si>
  <si>
    <t>Year 1/3 of 3 yr/$12M from 2020 offseason</t>
  </si>
  <si>
    <t>Signed from TOR on …</t>
  </si>
  <si>
    <t>Signed from PHI on 11/21/20</t>
  </si>
  <si>
    <t>Hard Cap (triggered by Lopez MLE signing)</t>
  </si>
  <si>
    <t>Hard Cap (triggered by Favors MLE signing)</t>
  </si>
  <si>
    <t>Hard Cap (triggered by Jones Jr MLE signing)</t>
  </si>
  <si>
    <t>Hard Cap (triggered by Crowder MLE signing)</t>
  </si>
  <si>
    <t>Mamadi Diakite</t>
  </si>
  <si>
    <t>Non Guarantees</t>
  </si>
  <si>
    <t>Hard Cap (triggered by Augustin/Portis signings)</t>
  </si>
  <si>
    <t>Year 1/4 of 4 yr/$7M from 2020 offseason</t>
  </si>
  <si>
    <t>Hard Cap (triggered by Ibaka MLE signing)</t>
  </si>
  <si>
    <t>Robinson TPE</t>
  </si>
  <si>
    <t>Oubre TPE trade</t>
  </si>
  <si>
    <t>Year 3/3 of 3 yr/$5M from 2018 offseason</t>
  </si>
  <si>
    <t>Signed from DEN on …</t>
  </si>
  <si>
    <t>Unlikely bonuses…</t>
  </si>
  <si>
    <t>Signed from CLE on …</t>
  </si>
  <si>
    <t>*estimated room under hard cap</t>
  </si>
  <si>
    <t>Year 2/2 of 2 yr/$3M from 19-20 season</t>
  </si>
  <si>
    <t>Signed from MIL on 11/22/20</t>
  </si>
  <si>
    <t>25% max, language up to 30%</t>
  </si>
  <si>
    <t>Year 1/4 of 4 yr/$72M from 2020 offseason</t>
  </si>
  <si>
    <t>15% trade kicker - paid by trading team</t>
  </si>
  <si>
    <t>Year 1/3 of 3 yr/$6M from 2020 offseason</t>
  </si>
  <si>
    <t>Isaiah Hartenstein</t>
  </si>
  <si>
    <t>Year 4/4 of 4 yr/$15M from 2017 offseason, Year 0/5 of 5 yr/$163M from 2020 offseason (extension)</t>
  </si>
  <si>
    <t>Year 4/4 of 4 yr/$30M from 2017 offseason, Year 0/5 of 5 yr/$163M from 2020 offseason (extension)</t>
  </si>
  <si>
    <t>Signed from CHA on …</t>
  </si>
  <si>
    <t>Signed from NOP on …</t>
  </si>
  <si>
    <t>Traded from MIL on 11/22/20</t>
  </si>
  <si>
    <t>Traded from NOP on 11/22/20</t>
  </si>
  <si>
    <t>Sign &amp; Trade</t>
  </si>
  <si>
    <t>Year 1/3 of …</t>
  </si>
  <si>
    <t>Hard Cap (triggered by random-ass sign &amp; trades)</t>
  </si>
  <si>
    <t>Greg Whittington</t>
  </si>
  <si>
    <t>Galatasaray (Turkey)</t>
  </si>
  <si>
    <t>Zalgiris Kaunas (Lithuania)</t>
  </si>
  <si>
    <t>future 2nd from MIN…</t>
  </si>
  <si>
    <t>future 2nd to NYK…</t>
  </si>
  <si>
    <t>Wiggins</t>
  </si>
  <si>
    <t>Year 1/3 of 3 yr/… from 2020 offseason</t>
  </si>
  <si>
    <t>Traded from IND on …</t>
  </si>
  <si>
    <t>Rookie Scale (IND)</t>
  </si>
  <si>
    <t>future 2nd to OKC...</t>
  </si>
  <si>
    <t>future 2nd from IND…</t>
  </si>
  <si>
    <t>Year 1/2 of 2 yr/$13.5M from 2020 offseason</t>
  </si>
  <si>
    <t>Year 1/2 of 2 yr/$14.3M from 2020 offseason</t>
  </si>
  <si>
    <t>Sign-and-Trade (DAL)</t>
  </si>
  <si>
    <t>Grant TPE</t>
  </si>
  <si>
    <t>Traded from CLE on …</t>
  </si>
  <si>
    <t>MLE (CLE)</t>
  </si>
  <si>
    <t>Year 1/2 of 2 yr/$5M from 2020 offseason</t>
  </si>
  <si>
    <t>future 2nd to CLE…</t>
  </si>
  <si>
    <t>2nd from LAL</t>
  </si>
  <si>
    <t>Year 2/4 of 4 yr/$7M from 19-20 season</t>
  </si>
  <si>
    <t>Beat POR in first round (4-1), Beat HOU in second round (4-1), Beat DEN in WCF (4-1), Beat MIA in NBA Finals (4-2)</t>
  </si>
  <si>
    <t>Clarkson TPE</t>
  </si>
  <si>
    <t>Year 1/2 of 2 yr/$4M from 2020 offseason</t>
  </si>
  <si>
    <t>Signed from MEM on …</t>
  </si>
  <si>
    <t>2025 2nd from Milwaukee (unprotected)</t>
  </si>
  <si>
    <t>2025 2nd to Cleveland (unprotected)</t>
  </si>
  <si>
    <t>Signed from LAL on 11/21/20</t>
  </si>
  <si>
    <t>Signed-and-traded from DEN on 11/22/20</t>
  </si>
  <si>
    <t>Traded from OKC on 11/22/20</t>
  </si>
  <si>
    <t>Signed from LAC on 11/22/20</t>
  </si>
  <si>
    <t>Signed from SAC on 11/22/20</t>
  </si>
  <si>
    <t>Traded from HOU on 11/22/20</t>
  </si>
  <si>
    <t>Signed from PHI on 11/22/20</t>
  </si>
  <si>
    <t>Signed from MIA on 11/22/20</t>
  </si>
  <si>
    <t>Moravian Prep - HS</t>
  </si>
  <si>
    <t>Year 1/1 of 2 yr/$4M from 2020 offseason</t>
  </si>
  <si>
    <t>Signed from MIA on …</t>
  </si>
  <si>
    <t>John Konchar / Jontay Porter</t>
  </si>
  <si>
    <t>7' 0''</t>
  </si>
  <si>
    <t>7' 6''</t>
  </si>
  <si>
    <t>281 lbs.</t>
  </si>
  <si>
    <t>Year 1/1 of 1 yr/$7M from 2020 offseason</t>
  </si>
  <si>
    <t>Signed from NYK on 11/23/20</t>
  </si>
  <si>
    <t>Signed from LAL on 11/23/20</t>
  </si>
  <si>
    <t>Hard Cap (triggered by WCS / Burke MLE signings)</t>
  </si>
  <si>
    <t>Year 1/1 of 2 yr/$3M from 2020 offseason</t>
  </si>
  <si>
    <t>Signed from DET on …</t>
  </si>
  <si>
    <t>DeMarcus Cousins</t>
  </si>
  <si>
    <t>Capela TPE</t>
  </si>
  <si>
    <t>Nene TPE</t>
  </si>
  <si>
    <t>Nathan Knight</t>
  </si>
  <si>
    <t>William &amp; Mary</t>
  </si>
  <si>
    <t>Year 2/4 of 4 yr/$6M from 19-20 season</t>
  </si>
  <si>
    <t>Nate Hinton</t>
  </si>
  <si>
    <t>Karim Mane</t>
  </si>
  <si>
    <t>Dwyane Sutton</t>
  </si>
  <si>
    <t>Mason Jones</t>
  </si>
  <si>
    <t>Year 2/2 of two way from 2019 offseason</t>
  </si>
  <si>
    <t>John A. Logan (JuCo)</t>
  </si>
  <si>
    <t>Year 4/4 of 4 yr/$100M from 2016 offseason (extension), Year 0/2 of 2 yr/$35M from 2020 offseason (extension)</t>
  </si>
  <si>
    <t>Extension: 7.5% trade kicker</t>
  </si>
  <si>
    <t>$725k annual unlikely incentives (make playoffs, GP threshold)</t>
  </si>
  <si>
    <t>$500,000 annual bonuses tied to GP, playoff games, team performance…</t>
  </si>
  <si>
    <t>Ty-Shon Alexander</t>
  </si>
  <si>
    <t>Traded from CLE on 11/23/20</t>
  </si>
  <si>
    <t>Traded from LAL on 11/23/20</t>
  </si>
  <si>
    <t>Traded from DET on 11/23/20</t>
  </si>
  <si>
    <t>Signed on 11/23/20</t>
  </si>
  <si>
    <t>Signed from BOS on 11/23/20</t>
  </si>
  <si>
    <t>Signed from SAC on 11/23/20</t>
  </si>
  <si>
    <t>Signed from HOU on 11/23/20</t>
  </si>
  <si>
    <t>Naji Marshall</t>
  </si>
  <si>
    <t>Year 4/4 of 4 yr/$14M from 2017 offseason, Year 0/5 of 5 yr/$163M from 2020 offseason (extension)</t>
  </si>
  <si>
    <t>JaMychal Green / Bol Bol</t>
  </si>
  <si>
    <t>Hard Cap (triggered by Green &amp; Bol MLE / Campazzo BAE)</t>
  </si>
  <si>
    <t>25% max, language up to 30% / 15% trade kicker</t>
  </si>
  <si>
    <t>Signed-and-traded from DET on 11/24/20</t>
  </si>
  <si>
    <t>2021 1st from Detroit (protected 1-16 in 2021-2022,  1-18 in 2023-2024, 1-13 in 2025, 1-11 in 2026, 1-9 in 2027, becomes 2027 2nd)</t>
  </si>
  <si>
    <t>Traded from OKC on 11/24/20</t>
  </si>
  <si>
    <t>Traded from MIL on 11/24/20</t>
  </si>
  <si>
    <t>Year 1/5 of 5 yr/$158M from 2020 offseason</t>
  </si>
  <si>
    <t>Signed-and-traded from NOP on 11/24/20</t>
  </si>
  <si>
    <t>Trent Forrest</t>
  </si>
  <si>
    <t>2019 Draft (#40 pick)</t>
  </si>
  <si>
    <t>Signed-and-traded from OKC on 11/24/20</t>
  </si>
  <si>
    <t>2024 2nd frm Charlotte (unprotected)</t>
  </si>
  <si>
    <t>Vanier College (Canada)</t>
  </si>
  <si>
    <t>Michael Carter-Williams / Gary Clark</t>
  </si>
  <si>
    <t>Signed on 11/24/20</t>
  </si>
  <si>
    <t>Signed from NOP on 11/24/20</t>
  </si>
  <si>
    <t>Signed from IND on 7/7/19</t>
  </si>
  <si>
    <t>Signed from TOR on 11/24/20</t>
  </si>
  <si>
    <t>Signed from CHA on 11/24/20</t>
  </si>
  <si>
    <t>Signed from PHX on 11/24/20</t>
  </si>
  <si>
    <t>Signed from NYK on 11/24/20</t>
  </si>
  <si>
    <t>Signed from POR on 11/24/20</t>
  </si>
  <si>
    <t>Signed from SAS on 11/24/20</t>
  </si>
  <si>
    <t>Traded from MIN on 11/24/20</t>
  </si>
  <si>
    <t>Traded from NYK on 11/24/20</t>
  </si>
  <si>
    <t>Signed from GSW on …</t>
  </si>
  <si>
    <t xml:space="preserve">w / Goodwin </t>
  </si>
  <si>
    <t>Hard Cap (triggered by Gallo S&amp;T)</t>
  </si>
  <si>
    <t>2025 2nd to Oklahoma City (protected 31-55)</t>
  </si>
  <si>
    <t>PF-2</t>
  </si>
  <si>
    <t>SG-1</t>
  </si>
  <si>
    <t>C-1</t>
  </si>
  <si>
    <t>SF-3</t>
  </si>
  <si>
    <t>PG-2</t>
  </si>
  <si>
    <t>SF-1</t>
  </si>
  <si>
    <t>PG-1</t>
  </si>
  <si>
    <t>C-2</t>
  </si>
  <si>
    <t>PG-3</t>
  </si>
  <si>
    <t>SF-2</t>
  </si>
  <si>
    <t>PF-1</t>
  </si>
  <si>
    <t>SG-2</t>
  </si>
  <si>
    <t>PG-4</t>
  </si>
  <si>
    <t>PF-3</t>
  </si>
  <si>
    <t>C-3</t>
  </si>
  <si>
    <t>SG-3</t>
  </si>
  <si>
    <t>C-4</t>
  </si>
  <si>
    <t>Signed from SAC on 11/25/20</t>
  </si>
  <si>
    <t>Signed from MIA on 11/25/20</t>
  </si>
  <si>
    <t>w / Green</t>
  </si>
  <si>
    <t>2023 2nd from HOU/DAL/MIA (more favorable of: HOU protected 31-32 and less favorable of DAL/MIA picks)</t>
  </si>
  <si>
    <t>2025 2nd from MEM (unprotected)</t>
  </si>
  <si>
    <t>Year 2/2 of 2 yr/$2M from 19-20 season</t>
  </si>
  <si>
    <t>Year 3/5 of 5 yr/$80M from 2018 offseason (HOU)</t>
  </si>
  <si>
    <t>w / TLC</t>
  </si>
  <si>
    <t>w/ out TLC</t>
  </si>
  <si>
    <t>w/out Green</t>
  </si>
  <si>
    <t>w/out Goodwin</t>
  </si>
  <si>
    <t>Kaleb Wesson</t>
  </si>
  <si>
    <t>w / Hernangomez</t>
  </si>
  <si>
    <t>w/out Hernangomez</t>
  </si>
  <si>
    <t>Signed from MIL on 11/26/20</t>
  </si>
  <si>
    <t>Wes Matthews</t>
  </si>
  <si>
    <t>Signed from PHX on …</t>
  </si>
  <si>
    <t>Dedmon TPE</t>
  </si>
  <si>
    <t>Year 1/4 of 4 yr/$88M from 2019 offseason (extension)</t>
  </si>
  <si>
    <t>$5,000,000 annual unlikely incentives ($500,000 for All-Star, $500,00 for playoffs, $250,000 for second round, $500,000 for WCF, $1,000,00 for NBA Finals, more stuff for 70+ G and FT, TOV, 3PT, DRTG)</t>
  </si>
  <si>
    <t>Signed from SAC on …</t>
  </si>
  <si>
    <t>Signed from SAS on …</t>
  </si>
  <si>
    <t>w/ Metu</t>
  </si>
  <si>
    <t>w/ out Metu</t>
  </si>
  <si>
    <t>Will Magnay</t>
  </si>
  <si>
    <t>Brisbane Bullets (Australia)</t>
  </si>
  <si>
    <t>Zach Norvell</t>
  </si>
  <si>
    <t>Signed from MIN on …</t>
  </si>
  <si>
    <t>Derrick Walton Jr.</t>
  </si>
  <si>
    <t>D.J. Augustin / Bryn Forbes</t>
  </si>
  <si>
    <t>Nik Stauskas</t>
  </si>
  <si>
    <t>Year 1/1 of 1 yr/$3M from 2020 offseason</t>
  </si>
  <si>
    <t>Hard Cap (triggered by Ennis/MCW MLE signings)</t>
  </si>
  <si>
    <t>*does not take into account</t>
  </si>
  <si>
    <t>Holiday unlikely incentives…</t>
  </si>
  <si>
    <t>Hard Cap (triggered by Baynes/Len MLE signings)</t>
  </si>
  <si>
    <t>Aron Baynes / Alex Len</t>
  </si>
  <si>
    <t>Keljin Blevins</t>
  </si>
  <si>
    <t>Henry Ellenson</t>
  </si>
  <si>
    <t>Year 2/2 of 2 yr/$2M from 2020 offseason</t>
  </si>
  <si>
    <t>Year 5/5 of 5 yr/$153M from 2016 offseason</t>
  </si>
  <si>
    <t>Jake Toolson</t>
  </si>
  <si>
    <t>BYU</t>
  </si>
  <si>
    <t>Caleb Homesley</t>
  </si>
  <si>
    <t>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</si>
</sst>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_);[Red]\(&quot;$&quot;#,##0.0\)"/>
    <numFmt numFmtId="166" formatCode="0.000"/>
    <numFmt numFmtId="167" formatCode="[$$-409]#,##0_);\([$$-409]#,##0\)"/>
    <numFmt numFmtId="168" formatCode="#,##0.000"/>
    <numFmt numFmtId="169" formatCode="[&lt;100]#\'\ #\'\';#\'\ ##\&quot;"/>
    <numFmt numFmtId="170" formatCode="0\ &quot;lbs.&quot;"/>
    <numFmt numFmtId="171" formatCode="0.0"/>
    <numFmt numFmtId="173" formatCode="0\ &quot;days&quot;"/>
    <numFmt numFmtId="174" formatCode="&quot;$&quot;#,##0.00"/>
  </numFmts>
  <fonts count="4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rgb="FF00B0F0"/>
      <name val="Calibri"/>
      <family val="2"/>
    </font>
    <font>
      <sz val="12"/>
      <name val="Calibri"/>
      <family val="2"/>
    </font>
    <font>
      <sz val="12"/>
      <color rgb="FF002060"/>
      <name val="Calibri"/>
      <family val="2"/>
    </font>
    <font>
      <sz val="12"/>
      <color rgb="FF000000"/>
      <name val="Calibri"/>
      <family val="2"/>
    </font>
    <font>
      <strike/>
      <sz val="12"/>
      <color theme="1"/>
      <name val="Calibri"/>
      <family val="2"/>
    </font>
    <font>
      <sz val="13"/>
      <color rgb="FF0099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Calibri"/>
      <family val="2"/>
    </font>
    <font>
      <sz val="13"/>
      <color rgb="FFFF33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u/>
      <sz val="12"/>
      <color theme="10"/>
      <name val="Calibri (Body)"/>
    </font>
    <font>
      <u/>
      <sz val="12"/>
      <color theme="1"/>
      <name val="Calibri (Body)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</font>
    <font>
      <i/>
      <sz val="12"/>
      <color theme="1"/>
      <name val="Calibri"/>
      <family val="2"/>
    </font>
    <font>
      <sz val="12"/>
      <name val="Calibri (Body)"/>
    </font>
    <font>
      <i/>
      <sz val="12"/>
      <color theme="1"/>
      <name val="Calibri"/>
      <family val="2"/>
      <scheme val="minor"/>
    </font>
    <font>
      <i/>
      <sz val="12"/>
      <color theme="1"/>
      <name val="Calibri (Body)"/>
    </font>
    <font>
      <sz val="12"/>
      <color rgb="FF000000"/>
      <name val="Arial"/>
      <family val="2"/>
    </font>
    <font>
      <sz val="12"/>
      <color rgb="FF3F3F3F"/>
      <name val="Helvetica"/>
      <family val="2"/>
    </font>
    <font>
      <sz val="12"/>
      <color rgb="FF009900"/>
      <name val="Calibri"/>
      <family val="2"/>
    </font>
    <font>
      <b/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FF0000"/>
      <name val="Calibri (Body)"/>
    </font>
    <font>
      <sz val="12"/>
      <color rgb="FF14171A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6" fontId="0" fillId="0" borderId="0" xfId="0" applyNumberFormat="1"/>
    <xf numFmtId="0" fontId="6" fillId="0" borderId="0" xfId="0" applyFont="1"/>
    <xf numFmtId="6" fontId="3" fillId="0" borderId="0" xfId="0" applyNumberFormat="1" applyFont="1"/>
    <xf numFmtId="0" fontId="7" fillId="0" borderId="0" xfId="0" applyFont="1"/>
    <xf numFmtId="6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6" fontId="8" fillId="0" borderId="0" xfId="0" applyNumberFormat="1" applyFont="1" applyAlignment="1">
      <alignment horizontal="left"/>
    </xf>
    <xf numFmtId="6" fontId="3" fillId="2" borderId="0" xfId="0" applyNumberFormat="1" applyFont="1" applyFill="1" applyAlignment="1">
      <alignment horizontal="left"/>
    </xf>
    <xf numFmtId="6" fontId="3" fillId="3" borderId="0" xfId="0" applyNumberFormat="1" applyFont="1" applyFill="1" applyAlignment="1">
      <alignment horizontal="left"/>
    </xf>
    <xf numFmtId="6" fontId="3" fillId="0" borderId="0" xfId="0" applyNumberFormat="1" applyFont="1" applyFill="1" applyAlignment="1">
      <alignment horizontal="left"/>
    </xf>
    <xf numFmtId="6" fontId="8" fillId="0" borderId="0" xfId="0" applyNumberFormat="1" applyFont="1" applyFill="1" applyAlignment="1">
      <alignment horizontal="left"/>
    </xf>
    <xf numFmtId="6" fontId="9" fillId="2" borderId="0" xfId="0" applyNumberFormat="1" applyFont="1" applyFill="1" applyAlignment="1">
      <alignment horizontal="left"/>
    </xf>
    <xf numFmtId="6" fontId="9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6" fontId="1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8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6" fontId="5" fillId="0" borderId="0" xfId="0" applyNumberFormat="1" applyFont="1" applyAlignment="1">
      <alignment horizontal="left"/>
    </xf>
    <xf numFmtId="6" fontId="9" fillId="3" borderId="0" xfId="0" applyNumberFormat="1" applyFont="1" applyFill="1" applyAlignment="1">
      <alignment horizontal="left"/>
    </xf>
    <xf numFmtId="6" fontId="9" fillId="4" borderId="0" xfId="0" applyNumberFormat="1" applyFont="1" applyFill="1" applyAlignment="1">
      <alignment horizontal="left"/>
    </xf>
    <xf numFmtId="6" fontId="9" fillId="5" borderId="0" xfId="0" applyNumberFormat="1" applyFont="1" applyFill="1" applyAlignment="1">
      <alignment horizontal="left"/>
    </xf>
    <xf numFmtId="6" fontId="10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6" fontId="13" fillId="0" borderId="0" xfId="0" applyNumberFormat="1" applyFont="1"/>
    <xf numFmtId="2" fontId="3" fillId="0" borderId="0" xfId="0" applyNumberFormat="1" applyFont="1" applyAlignment="1">
      <alignment horizontal="left"/>
    </xf>
    <xf numFmtId="0" fontId="14" fillId="0" borderId="0" xfId="1"/>
    <xf numFmtId="0" fontId="3" fillId="0" borderId="0" xfId="0" quotePrefix="1" applyFont="1" applyAlignment="1">
      <alignment horizontal="left"/>
    </xf>
    <xf numFmtId="0" fontId="14" fillId="0" borderId="0" xfId="1" applyAlignment="1">
      <alignment horizontal="left"/>
    </xf>
    <xf numFmtId="0" fontId="15" fillId="0" borderId="0" xfId="1" applyFont="1" applyAlignment="1">
      <alignment horizontal="left"/>
    </xf>
    <xf numFmtId="166" fontId="3" fillId="0" borderId="0" xfId="0" applyNumberFormat="1" applyFont="1" applyAlignment="1">
      <alignment horizontal="left"/>
    </xf>
    <xf numFmtId="6" fontId="9" fillId="6" borderId="0" xfId="0" applyNumberFormat="1" applyFont="1" applyFill="1" applyAlignment="1">
      <alignment horizontal="left"/>
    </xf>
    <xf numFmtId="6" fontId="9" fillId="7" borderId="0" xfId="0" applyNumberFormat="1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5" fontId="3" fillId="0" borderId="0" xfId="0" applyNumberFormat="1" applyFont="1" applyAlignment="1">
      <alignment horizontal="left"/>
    </xf>
    <xf numFmtId="6" fontId="3" fillId="6" borderId="0" xfId="0" applyNumberFormat="1" applyFont="1" applyFill="1" applyAlignment="1">
      <alignment horizontal="left"/>
    </xf>
    <xf numFmtId="6" fontId="3" fillId="7" borderId="0" xfId="0" applyNumberFormat="1" applyFont="1" applyFill="1" applyAlignment="1">
      <alignment horizontal="left"/>
    </xf>
    <xf numFmtId="6" fontId="3" fillId="5" borderId="0" xfId="0" applyNumberFormat="1" applyFont="1" applyFill="1" applyAlignment="1">
      <alignment horizontal="left"/>
    </xf>
    <xf numFmtId="6" fontId="3" fillId="4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164" fontId="3" fillId="6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167" fontId="0" fillId="0" borderId="0" xfId="0" applyNumberFormat="1" applyAlignment="1">
      <alignment horizontal="left"/>
    </xf>
    <xf numFmtId="164" fontId="3" fillId="5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6" fontId="11" fillId="0" borderId="0" xfId="0" applyNumberFormat="1" applyFont="1" applyAlignment="1">
      <alignment horizontal="left"/>
    </xf>
    <xf numFmtId="165" fontId="0" fillId="0" borderId="0" xfId="0" applyNumberFormat="1"/>
    <xf numFmtId="168" fontId="3" fillId="0" borderId="0" xfId="0" applyNumberFormat="1" applyFont="1" applyAlignment="1">
      <alignment horizontal="left"/>
    </xf>
    <xf numFmtId="0" fontId="0" fillId="0" borderId="0" xfId="0" applyFill="1"/>
    <xf numFmtId="6" fontId="0" fillId="0" borderId="0" xfId="0" applyNumberFormat="1" applyFill="1"/>
    <xf numFmtId="16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5" fontId="0" fillId="0" borderId="0" xfId="0" applyNumberFormat="1" applyAlignment="1">
      <alignment horizontal="left"/>
    </xf>
    <xf numFmtId="6" fontId="7" fillId="0" borderId="0" xfId="0" applyNumberFormat="1" applyFont="1" applyAlignment="1">
      <alignment horizontal="left"/>
    </xf>
    <xf numFmtId="6" fontId="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9" fontId="19" fillId="0" borderId="0" xfId="0" applyNumberFormat="1" applyFont="1" applyAlignment="1">
      <alignment horizontal="left"/>
    </xf>
    <xf numFmtId="170" fontId="19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171" fontId="19" fillId="0" borderId="0" xfId="0" applyNumberFormat="1" applyFont="1" applyAlignment="1">
      <alignment horizontal="left"/>
    </xf>
    <xf numFmtId="6" fontId="19" fillId="0" borderId="0" xfId="0" applyNumberFormat="1" applyFont="1" applyAlignment="1">
      <alignment horizontal="left"/>
    </xf>
    <xf numFmtId="6" fontId="19" fillId="2" borderId="0" xfId="0" applyNumberFormat="1" applyFont="1" applyFill="1" applyAlignment="1">
      <alignment horizontal="left"/>
    </xf>
    <xf numFmtId="6" fontId="19" fillId="7" borderId="0" xfId="0" applyNumberFormat="1" applyFont="1" applyFill="1" applyAlignment="1">
      <alignment horizontal="left"/>
    </xf>
    <xf numFmtId="6" fontId="19" fillId="4" borderId="0" xfId="0" applyNumberFormat="1" applyFont="1" applyFill="1" applyAlignment="1">
      <alignment horizontal="left"/>
    </xf>
    <xf numFmtId="6" fontId="19" fillId="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/>
    <xf numFmtId="49" fontId="21" fillId="0" borderId="0" xfId="1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5" fontId="3" fillId="0" borderId="0" xfId="0" applyNumberFormat="1" applyFont="1" applyFill="1" applyAlignment="1">
      <alignment horizontal="left"/>
    </xf>
    <xf numFmtId="6" fontId="5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9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71" fontId="3" fillId="0" borderId="0" xfId="0" applyNumberFormat="1" applyFont="1" applyAlignment="1">
      <alignment horizontal="left"/>
    </xf>
    <xf numFmtId="0" fontId="19" fillId="0" borderId="0" xfId="0" quotePrefix="1" applyFont="1" applyAlignment="1">
      <alignment horizontal="left"/>
    </xf>
    <xf numFmtId="165" fontId="3" fillId="0" borderId="0" xfId="0" applyNumberFormat="1" applyFont="1" applyFill="1" applyAlignment="1">
      <alignment horizontal="left"/>
    </xf>
    <xf numFmtId="6" fontId="13" fillId="0" borderId="0" xfId="0" applyNumberFormat="1" applyFont="1" applyFill="1"/>
    <xf numFmtId="164" fontId="16" fillId="0" borderId="0" xfId="0" applyNumberFormat="1" applyFont="1" applyFill="1"/>
    <xf numFmtId="1" fontId="7" fillId="0" borderId="0" xfId="0" applyNumberFormat="1" applyFont="1" applyFill="1" applyAlignment="1">
      <alignment horizontal="left"/>
    </xf>
    <xf numFmtId="0" fontId="24" fillId="0" borderId="0" xfId="0" applyFont="1"/>
    <xf numFmtId="164" fontId="0" fillId="0" borderId="0" xfId="0" applyNumberFormat="1" applyFill="1" applyAlignment="1">
      <alignment horizontal="left"/>
    </xf>
    <xf numFmtId="6" fontId="0" fillId="0" borderId="0" xfId="0" applyNumberFormat="1" applyFill="1" applyAlignment="1">
      <alignment horizontal="left"/>
    </xf>
    <xf numFmtId="171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71" fontId="0" fillId="0" borderId="0" xfId="0" applyNumberFormat="1"/>
    <xf numFmtId="166" fontId="0" fillId="0" borderId="0" xfId="0" applyNumberFormat="1"/>
    <xf numFmtId="6" fontId="13" fillId="0" borderId="0" xfId="0" applyNumberFormat="1" applyFont="1" applyAlignment="1">
      <alignment horizontal="left"/>
    </xf>
    <xf numFmtId="6" fontId="2" fillId="0" borderId="0" xfId="0" applyNumberFormat="1" applyFont="1" applyFill="1" applyAlignment="1">
      <alignment horizontal="left"/>
    </xf>
    <xf numFmtId="6" fontId="2" fillId="0" borderId="0" xfId="0" applyNumberFormat="1" applyFont="1" applyAlignment="1">
      <alignment horizontal="left"/>
    </xf>
    <xf numFmtId="4" fontId="19" fillId="0" borderId="0" xfId="0" applyNumberFormat="1" applyFont="1" applyAlignment="1">
      <alignment horizontal="left"/>
    </xf>
    <xf numFmtId="38" fontId="3" fillId="0" borderId="0" xfId="0" applyNumberFormat="1" applyFont="1" applyAlignment="1">
      <alignment horizontal="left"/>
    </xf>
    <xf numFmtId="40" fontId="3" fillId="0" borderId="0" xfId="0" applyNumberFormat="1" applyFont="1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22" fillId="0" borderId="0" xfId="0" applyFont="1"/>
    <xf numFmtId="1" fontId="0" fillId="0" borderId="0" xfId="0" applyNumberFormat="1" applyFill="1"/>
    <xf numFmtId="1" fontId="0" fillId="0" borderId="0" xfId="0" applyNumberFormat="1"/>
    <xf numFmtId="49" fontId="0" fillId="0" borderId="0" xfId="0" applyNumberFormat="1"/>
    <xf numFmtId="49" fontId="22" fillId="0" borderId="0" xfId="0" applyNumberFormat="1" applyFont="1"/>
    <xf numFmtId="6" fontId="20" fillId="0" borderId="0" xfId="0" applyNumberFormat="1" applyFont="1" applyAlignment="1">
      <alignment horizontal="left"/>
    </xf>
    <xf numFmtId="1" fontId="3" fillId="0" borderId="0" xfId="0" applyNumberFormat="1" applyFont="1"/>
    <xf numFmtId="6" fontId="1" fillId="0" borderId="0" xfId="0" applyNumberFormat="1" applyFont="1"/>
    <xf numFmtId="8" fontId="0" fillId="0" borderId="0" xfId="0" applyNumberFormat="1"/>
    <xf numFmtId="0" fontId="0" fillId="0" borderId="0" xfId="0" quotePrefix="1"/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65" fontId="7" fillId="0" borderId="0" xfId="0" applyNumberFormat="1" applyFont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0" applyNumberFormat="1" applyAlignment="1">
      <alignment horizontal="left"/>
    </xf>
    <xf numFmtId="6" fontId="0" fillId="2" borderId="0" xfId="0" applyNumberFormat="1" applyFill="1" applyAlignment="1">
      <alignment horizontal="left"/>
    </xf>
    <xf numFmtId="6" fontId="0" fillId="5" borderId="0" xfId="0" applyNumberFormat="1" applyFill="1" applyAlignment="1">
      <alignment horizontal="left"/>
    </xf>
    <xf numFmtId="0" fontId="18" fillId="0" borderId="0" xfId="0" applyFont="1"/>
    <xf numFmtId="6" fontId="16" fillId="0" borderId="0" xfId="0" applyNumberFormat="1" applyFont="1" applyAlignment="1">
      <alignment horizontal="left"/>
    </xf>
    <xf numFmtId="8" fontId="0" fillId="0" borderId="0" xfId="0" applyNumberFormat="1" applyAlignment="1">
      <alignment horizontal="left"/>
    </xf>
    <xf numFmtId="49" fontId="3" fillId="0" borderId="0" xfId="0" applyNumberFormat="1" applyFont="1"/>
    <xf numFmtId="49" fontId="7" fillId="0" borderId="0" xfId="0" applyNumberFormat="1" applyFont="1"/>
    <xf numFmtId="8" fontId="7" fillId="0" borderId="0" xfId="0" applyNumberFormat="1" applyFont="1" applyAlignment="1">
      <alignment horizontal="left"/>
    </xf>
    <xf numFmtId="0" fontId="0" fillId="0" borderId="0" xfId="0" applyFont="1"/>
    <xf numFmtId="6" fontId="0" fillId="0" borderId="0" xfId="0" applyNumberFormat="1" applyFont="1" applyAlignment="1">
      <alignment horizontal="left"/>
    </xf>
    <xf numFmtId="0" fontId="15" fillId="0" borderId="0" xfId="1" applyFont="1"/>
    <xf numFmtId="0" fontId="11" fillId="0" borderId="0" xfId="0" applyFont="1"/>
    <xf numFmtId="0" fontId="26" fillId="0" borderId="0" xfId="0" applyFont="1" applyAlignment="1">
      <alignment horizontal="left"/>
    </xf>
    <xf numFmtId="6" fontId="27" fillId="4" borderId="0" xfId="0" applyNumberFormat="1" applyFont="1" applyFill="1" applyAlignment="1">
      <alignment horizontal="left"/>
    </xf>
    <xf numFmtId="6" fontId="27" fillId="5" borderId="0" xfId="0" applyNumberFormat="1" applyFont="1" applyFill="1" applyAlignment="1">
      <alignment horizontal="left"/>
    </xf>
    <xf numFmtId="171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7" fontId="0" fillId="0" borderId="0" xfId="0" applyNumberFormat="1"/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71" fontId="26" fillId="0" borderId="0" xfId="0" applyNumberFormat="1" applyFont="1" applyAlignment="1">
      <alignment horizontal="left"/>
    </xf>
    <xf numFmtId="6" fontId="26" fillId="0" borderId="0" xfId="0" applyNumberFormat="1" applyFont="1" applyAlignment="1">
      <alignment horizontal="left"/>
    </xf>
    <xf numFmtId="0" fontId="1" fillId="0" borderId="0" xfId="0" applyFont="1"/>
    <xf numFmtId="0" fontId="7" fillId="0" borderId="0" xfId="0" quotePrefix="1" applyFont="1" applyAlignment="1">
      <alignment horizontal="left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164" fontId="1" fillId="0" borderId="0" xfId="0" applyNumberFormat="1" applyFont="1" applyFill="1" applyAlignment="1">
      <alignment horizontal="left"/>
    </xf>
    <xf numFmtId="6" fontId="26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173" fontId="3" fillId="0" borderId="0" xfId="0" applyNumberFormat="1" applyFont="1" applyAlignment="1">
      <alignment horizontal="left"/>
    </xf>
    <xf numFmtId="8" fontId="3" fillId="0" borderId="0" xfId="0" applyNumberFormat="1" applyFont="1" applyFill="1" applyAlignment="1">
      <alignment horizontal="left"/>
    </xf>
    <xf numFmtId="164" fontId="26" fillId="0" borderId="0" xfId="0" applyNumberFormat="1" applyFont="1" applyAlignment="1">
      <alignment horizontal="left"/>
    </xf>
    <xf numFmtId="164" fontId="28" fillId="0" borderId="0" xfId="0" applyNumberFormat="1" applyFont="1" applyAlignment="1">
      <alignment horizontal="left"/>
    </xf>
    <xf numFmtId="3" fontId="0" fillId="0" borderId="0" xfId="0" applyNumberFormat="1" applyFill="1" applyAlignment="1">
      <alignment horizontal="left"/>
    </xf>
    <xf numFmtId="1" fontId="13" fillId="0" borderId="0" xfId="0" applyNumberFormat="1" applyFont="1" applyFill="1"/>
    <xf numFmtId="164" fontId="0" fillId="0" borderId="0" xfId="0" applyNumberFormat="1"/>
    <xf numFmtId="6" fontId="19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30" fillId="0" borderId="0" xfId="0" applyFont="1"/>
    <xf numFmtId="164" fontId="3" fillId="0" borderId="0" xfId="0" applyNumberFormat="1" applyFont="1"/>
    <xf numFmtId="8" fontId="2" fillId="0" borderId="0" xfId="0" applyNumberFormat="1" applyFont="1" applyAlignment="1">
      <alignment horizontal="left"/>
    </xf>
    <xf numFmtId="0" fontId="31" fillId="0" borderId="0" xfId="0" applyFont="1"/>
    <xf numFmtId="0" fontId="26" fillId="0" borderId="0" xfId="0" applyFont="1"/>
    <xf numFmtId="14" fontId="5" fillId="0" borderId="0" xfId="0" applyNumberFormat="1" applyFont="1" applyAlignment="1">
      <alignment horizontal="left"/>
    </xf>
    <xf numFmtId="164" fontId="9" fillId="0" borderId="0" xfId="0" applyNumberFormat="1" applyFont="1" applyFill="1" applyAlignment="1">
      <alignment horizontal="left"/>
    </xf>
    <xf numFmtId="0" fontId="29" fillId="0" borderId="0" xfId="0" applyFont="1" applyAlignment="1">
      <alignment horizontal="left"/>
    </xf>
    <xf numFmtId="0" fontId="4" fillId="0" borderId="0" xfId="0" applyFont="1"/>
    <xf numFmtId="164" fontId="29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38" fontId="4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6" fontId="13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49" fontId="18" fillId="0" borderId="0" xfId="0" applyNumberFormat="1" applyFont="1"/>
    <xf numFmtId="3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6" fontId="10" fillId="0" borderId="0" xfId="0" applyNumberFormat="1" applyFont="1" applyFill="1" applyAlignment="1">
      <alignment horizontal="left"/>
    </xf>
    <xf numFmtId="6" fontId="32" fillId="0" borderId="0" xfId="0" applyNumberFormat="1" applyFont="1"/>
    <xf numFmtId="0" fontId="33" fillId="0" borderId="0" xfId="0" applyFont="1"/>
    <xf numFmtId="0" fontId="5" fillId="0" borderId="0" xfId="0" applyFont="1"/>
    <xf numFmtId="0" fontId="33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13" fillId="0" borderId="0" xfId="0" applyNumberFormat="1" applyFont="1"/>
    <xf numFmtId="164" fontId="5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6" fontId="34" fillId="0" borderId="0" xfId="0" applyNumberFormat="1" applyFont="1" applyAlignment="1">
      <alignment horizontal="left"/>
    </xf>
    <xf numFmtId="10" fontId="34" fillId="0" borderId="0" xfId="0" applyNumberFormat="1" applyFont="1" applyAlignment="1">
      <alignment horizontal="left"/>
    </xf>
    <xf numFmtId="6" fontId="11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169" fontId="0" fillId="0" borderId="0" xfId="0" applyNumberFormat="1" applyFont="1" applyAlignment="1">
      <alignment horizontal="left"/>
    </xf>
    <xf numFmtId="170" fontId="0" fillId="0" borderId="0" xfId="0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0" fillId="0" borderId="0" xfId="0" quotePrefix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36" fillId="0" borderId="0" xfId="0" applyFont="1"/>
    <xf numFmtId="1" fontId="0" fillId="0" borderId="0" xfId="0" applyNumberFormat="1" applyFill="1" applyAlignment="1">
      <alignment horizontal="left"/>
    </xf>
    <xf numFmtId="8" fontId="0" fillId="0" borderId="0" xfId="0" applyNumberFormat="1" applyFill="1" applyAlignment="1">
      <alignment horizontal="left"/>
    </xf>
    <xf numFmtId="6" fontId="37" fillId="0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6" fontId="38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39" fillId="0" borderId="0" xfId="0" applyNumberFormat="1" applyFont="1"/>
    <xf numFmtId="3" fontId="11" fillId="0" borderId="0" xfId="0" applyNumberFormat="1" applyFont="1"/>
    <xf numFmtId="164" fontId="11" fillId="0" borderId="0" xfId="0" applyNumberFormat="1" applyFont="1" applyAlignment="1">
      <alignment horizontal="left"/>
    </xf>
    <xf numFmtId="3" fontId="3" fillId="2" borderId="0" xfId="0" applyNumberFormat="1" applyFont="1" applyFill="1" applyAlignment="1">
      <alignment horizontal="left"/>
    </xf>
    <xf numFmtId="174" fontId="3" fillId="0" borderId="0" xfId="0" applyNumberFormat="1" applyFont="1" applyAlignment="1">
      <alignment horizontal="left"/>
    </xf>
    <xf numFmtId="6" fontId="13" fillId="2" borderId="0" xfId="0" applyNumberFormat="1" applyFont="1" applyFill="1"/>
    <xf numFmtId="164" fontId="0" fillId="5" borderId="0" xfId="0" applyNumberFormat="1" applyFill="1" applyAlignment="1">
      <alignment horizontal="left"/>
    </xf>
    <xf numFmtId="14" fontId="25" fillId="0" borderId="0" xfId="0" applyNumberFormat="1" applyFont="1" applyAlignment="1">
      <alignment horizontal="left"/>
    </xf>
    <xf numFmtId="164" fontId="3" fillId="8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3" fontId="39" fillId="5" borderId="0" xfId="0" applyNumberFormat="1" applyFont="1" applyFill="1"/>
    <xf numFmtId="6" fontId="37" fillId="0" borderId="0" xfId="0" applyNumberFormat="1" applyFont="1" applyAlignment="1">
      <alignment horizontal="left"/>
    </xf>
    <xf numFmtId="14" fontId="40" fillId="0" borderId="0" xfId="0" applyNumberFormat="1" applyFont="1" applyAlignment="1">
      <alignment horizontal="left"/>
    </xf>
    <xf numFmtId="164" fontId="0" fillId="3" borderId="0" xfId="0" applyNumberFormat="1" applyFont="1" applyFill="1" applyAlignment="1">
      <alignment horizontal="left"/>
    </xf>
    <xf numFmtId="2" fontId="29" fillId="0" borderId="0" xfId="0" applyNumberFormat="1" applyFont="1" applyAlignment="1">
      <alignment horizontal="left"/>
    </xf>
    <xf numFmtId="164" fontId="0" fillId="6" borderId="0" xfId="0" applyNumberFormat="1" applyFill="1" applyAlignment="1">
      <alignment horizontal="left"/>
    </xf>
    <xf numFmtId="0" fontId="7" fillId="3" borderId="0" xfId="0" applyFont="1" applyFill="1" applyAlignment="1">
      <alignment horizontal="left"/>
    </xf>
    <xf numFmtId="6" fontId="26" fillId="5" borderId="0" xfId="0" applyNumberFormat="1" applyFont="1" applyFill="1" applyAlignment="1">
      <alignment horizontal="left"/>
    </xf>
    <xf numFmtId="6" fontId="19" fillId="3" borderId="0" xfId="0" applyNumberFormat="1" applyFont="1" applyFill="1" applyAlignment="1">
      <alignment horizontal="left"/>
    </xf>
    <xf numFmtId="169" fontId="17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left"/>
    </xf>
    <xf numFmtId="171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left"/>
    </xf>
    <xf numFmtId="6" fontId="17" fillId="0" borderId="0" xfId="0" applyNumberFormat="1" applyFont="1" applyAlignment="1">
      <alignment horizontal="left"/>
    </xf>
    <xf numFmtId="6" fontId="17" fillId="9" borderId="0" xfId="0" applyNumberFormat="1" applyFont="1" applyFill="1" applyAlignment="1">
      <alignment horizontal="left"/>
    </xf>
    <xf numFmtId="0" fontId="41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164" fontId="0" fillId="7" borderId="0" xfId="0" applyNumberFormat="1" applyFill="1" applyAlignment="1">
      <alignment horizontal="left"/>
    </xf>
    <xf numFmtId="6" fontId="37" fillId="3" borderId="0" xfId="0" applyNumberFormat="1" applyFont="1" applyFill="1" applyAlignment="1">
      <alignment horizontal="left"/>
    </xf>
    <xf numFmtId="6" fontId="34" fillId="3" borderId="0" xfId="0" applyNumberFormat="1" applyFont="1" applyFill="1" applyAlignment="1">
      <alignment horizontal="left"/>
    </xf>
    <xf numFmtId="164" fontId="11" fillId="2" borderId="0" xfId="0" applyNumberFormat="1" applyFont="1" applyFill="1" applyAlignment="1">
      <alignment horizontal="left"/>
    </xf>
    <xf numFmtId="164" fontId="11" fillId="6" borderId="0" xfId="0" applyNumberFormat="1" applyFont="1" applyFill="1" applyAlignment="1">
      <alignment horizontal="left"/>
    </xf>
    <xf numFmtId="3" fontId="39" fillId="0" borderId="0" xfId="0" applyNumberFormat="1" applyFont="1" applyFill="1"/>
    <xf numFmtId="6" fontId="34" fillId="4" borderId="0" xfId="0" applyNumberFormat="1" applyFont="1" applyFill="1" applyAlignment="1">
      <alignment horizontal="left"/>
    </xf>
    <xf numFmtId="6" fontId="34" fillId="2" borderId="0" xfId="0" applyNumberFormat="1" applyFont="1" applyFill="1" applyAlignment="1">
      <alignment horizontal="left"/>
    </xf>
    <xf numFmtId="0" fontId="19" fillId="5" borderId="0" xfId="0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, Buddy" id="{E9AB3D0A-316B-AD4A-AF94-04839F2D6E82}" userId="S::jamesscott@college.harvard.edu::589d23c8-3ac8-407c-ad2d-c4ee5b2f2b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0-06-20T21:07:04.55" personId="{E9AB3D0A-316B-AD4A-AF94-04839F2D6E82}" id="{83AC30F7-A5CC-7645-BD18-E3842A4B3295}">
    <text>per Basketball Reference</text>
  </threadedComment>
  <threadedComment ref="R2" dT="2020-11-25T14:42:00.76" personId="{E9AB3D0A-316B-AD4A-AF94-04839F2D6E82}" id="{684C72BC-DAC8-9E48-95A0-C4D130C46034}">
    <text>$5,000,000 gt, fully gt 6/29/22</text>
  </threadedComment>
  <threadedComment ref="S4" dT="2020-06-20T19:25:35.37" personId="{E9AB3D0A-316B-AD4A-AF94-04839F2D6E82}" id="{12D8C9AC-A47E-DB45-A2C9-AB8D9792EC58}">
    <text>Bird</text>
  </threadedComment>
  <threadedComment ref="Q5" dT="2020-06-26T00:52:22.15" personId="{E9AB3D0A-316B-AD4A-AF94-04839F2D6E82}" id="{7CEBEE6A-2503-874E-8F5F-542FCCB3D36C}">
    <text>Bird</text>
  </threadedComment>
  <threadedComment ref="S7" dT="2020-06-20T19:26:32.86" personId="{E9AB3D0A-316B-AD4A-AF94-04839F2D6E82}" id="{738FA7B7-9150-A343-BFA0-13FC10409101}">
    <text>$12,973,527 QO</text>
  </threadedComment>
  <threadedComment ref="R8" dT="2020-06-20T19:26:46.31" personId="{E9AB3D0A-316B-AD4A-AF94-04839F2D6E82}" id="{200521D7-4C6F-0340-86AB-13D9C0E515E4}">
    <text>$11,040,900 QO</text>
  </threadedComment>
  <threadedComment ref="Q10" dT="2020-11-21T17:21:24.09" personId="{E9AB3D0A-316B-AD4A-AF94-04839F2D6E82}" id="{ADE7EADC-A68A-224A-9193-64C34E123864}">
    <text>$5,720,400 cap hold
Non Bird Rights</text>
  </threadedComment>
  <threadedComment ref="R10" dT="2020-11-21T17:21:35.66" personId="{E9AB3D0A-316B-AD4A-AF94-04839F2D6E82}" id="{FCD90F56-60CE-7646-A524-C84F27816DFB}">
    <text>Early Bird Rights</text>
  </threadedComment>
  <threadedComment ref="S11" dT="2020-06-20T19:26:57.86" personId="{E9AB3D0A-316B-AD4A-AF94-04839F2D6E82}" id="{817184E2-6BA3-2B46-8E06-2A1E36D2F714}">
    <text>$8,109,966 QO</text>
  </threadedComment>
  <threadedComment ref="P12" dT="2020-11-26T15:15:43.21" personId="{E9AB3D0A-316B-AD4A-AF94-04839F2D6E82}" id="{A1892863-A7AA-1C45-B9C1-E72B710A5F79}">
    <text>12/21/20 extension deadline</text>
  </threadedComment>
  <threadedComment ref="Q12" dT="2020-06-20T19:27:09.64" personId="{E9AB3D0A-316B-AD4A-AF94-04839F2D6E82}" id="{1027C725-BEF7-5840-AA81-42BC238CDE25}">
    <text>$5,899,793 QO</text>
  </threadedComment>
  <threadedComment ref="R13" dT="2020-06-20T19:27:20.65" personId="{E9AB3D0A-316B-AD4A-AF94-04839F2D6E82}" id="{1CBEB0BA-E1CC-5C46-A417-C6496AD6BBD6}">
    <text>$6,065,287 QO</text>
  </threadedComment>
  <threadedComment ref="P14" dT="2020-06-20T19:12:42.62" personId="{E9AB3D0A-316B-AD4A-AF94-04839F2D6E82}" id="{846931DA-7CCF-8845-B0F3-71F108297283}">
    <text>$100,000 gt, fully gt on 11/29/20
Non Bird RFA if waived</text>
  </threadedComment>
  <threadedComment ref="Q14" dT="2020-06-20T19:27:45.26" personId="{E9AB3D0A-316B-AD4A-AF94-04839F2D6E82}" id="{D79694B4-3CD4-2542-83ED-BE020A162395}">
    <text>$2,126,991 QO
Early Bird</text>
  </threadedComment>
  <threadedComment ref="R16" dT="2020-06-20T19:27:33.87" personId="{E9AB3D0A-316B-AD4A-AF94-04839F2D6E82}" id="{C5DC5632-8AD8-0D42-BD62-97166F85848C}">
    <text>$2,228,276 QO
Bird</text>
  </threadedComment>
  <threadedComment ref="P19" dT="2020-11-20T13:28:17.28" personId="{E9AB3D0A-316B-AD4A-AF94-04839F2D6E82}" id="{361FCD07-7228-7E44-BE87-AD152F5ED803}">
    <text>Khyri Thomas</text>
  </threadedComment>
  <threadedComment ref="P21" dT="2020-06-20T19:10:37.51" personId="{E9AB3D0A-316B-AD4A-AF94-04839F2D6E82}" id="{8B65A4FD-53FF-E140-85EA-C4B0E558D9FC}">
    <text>$3,484,882 QO
NEW: 10/17/20 deadline
Bird</text>
  </threadedComment>
  <threadedComment ref="P22" dT="2020-06-20T19:12:07.60" personId="{E9AB3D0A-316B-AD4A-AF94-04839F2D6E82}" id="{51F43C3D-26BF-0C4C-8324-0A4C62D4E3A0}">
    <text>Early Bird</text>
  </threadedComment>
  <threadedComment ref="P23" dT="2020-06-26T02:34:55.74" personId="{E9AB3D0A-316B-AD4A-AF94-04839F2D6E82}" id="{C26D2D2A-CDD7-6548-8F1E-AD3608FB1D8B}">
    <text>OLD: $744,684 gt, fully gt on “7/6/20” (probably now 11/23/20)
If waived, Early Bird RFA
Min Cap Hold</text>
  </threadedComment>
  <threadedComment ref="P24" dT="2020-06-20T19:13:42.66" personId="{E9AB3D0A-316B-AD4A-AF94-04839F2D6E82}" id="{47BEEBFA-D7CB-AF44-957F-AB43E2EA597E}">
    <text>2W QO
Non Bird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02FB291E-9EAB-4942-AA8C-D4CDBCA282C4}">
    <text>per Cleaning The Glass</text>
  </threadedComment>
  <threadedComment ref="W1" dT="2020-06-20T21:07:04.55" personId="{E9AB3D0A-316B-AD4A-AF94-04839F2D6E82}" id="{0E318B28-7E4C-6D4B-8253-945F5E870885}">
    <text>per Basketball Reference</text>
  </threadedComment>
  <threadedComment ref="R2" dT="2020-08-07T19:11:41.32" personId="{E9AB3D0A-316B-AD4A-AF94-04839F2D6E82}" id="{E3B650DE-8361-BD48-896B-831D90D38498}">
    <text>Bird</text>
  </threadedComment>
  <threadedComment ref="T3" dT="2020-08-07T19:11:46.46" personId="{E9AB3D0A-316B-AD4A-AF94-04839F2D6E82}" id="{2F7721B0-8D2D-CE4B-84C0-6F0084DBB134}">
    <text>Bird</text>
  </threadedComment>
  <threadedComment ref="Y3" dT="2020-08-07T19:40:18.20" personId="{E9AB3D0A-316B-AD4A-AF94-04839F2D6E82}" id="{F8264E16-02B2-1C41-97AF-F9C8A28950CA}">
    <text>2018-2019 stats</text>
  </threadedComment>
  <threadedComment ref="S4" dT="2020-08-07T19:11:51.30" personId="{E9AB3D0A-316B-AD4A-AF94-04839F2D6E82}" id="{A51DAB1C-6DD0-C34A-BBE6-45F070A118B1}">
    <text>Bird</text>
  </threadedComment>
  <threadedComment ref="S5" dT="2020-08-07T19:13:03.89" personId="{E9AB3D0A-316B-AD4A-AF94-04839F2D6E82}" id="{7011E515-E8DB-0C43-B04D-9F4027EABF23}">
    <text>6/29/23 deadline
$38,709,702 cap hold
Bird</text>
  </threadedComment>
  <threadedComment ref="T5" dT="2020-08-07T19:13:12.74" personId="{E9AB3D0A-316B-AD4A-AF94-04839F2D6E82}" id="{43B862B0-F986-EE44-8C88-FAD006BAD262}">
    <text>Bird</text>
  </threadedComment>
  <threadedComment ref="Q8" dT="2020-08-07T19:13:48.52" personId="{E9AB3D0A-316B-AD4A-AF94-04839F2D6E82}" id="{2F4945D5-1096-594E-9C21-FADCDD0A9449}">
    <text>6/29/21 deadline
$9,160,715 cap hold
Bird</text>
  </threadedComment>
  <threadedComment ref="R8" dT="2020-08-07T19:13:56.58" personId="{E9AB3D0A-316B-AD4A-AF94-04839F2D6E82}" id="{8B8FE588-40A5-124E-8F17-2E1B8CC12ABC}">
    <text>Bird</text>
  </threadedComment>
  <threadedComment ref="Q9" dT="2020-11-22T02:19:07.24" personId="{E9AB3D0A-316B-AD4A-AF94-04839F2D6E82}" id="{A83BACE0-9267-8143-A265-1145F4B8F1AC}">
    <text>Non Bird</text>
  </threadedComment>
  <threadedComment ref="Q10" dT="2020-08-07T19:14:03.75" personId="{E9AB3D0A-316B-AD4A-AF94-04839F2D6E82}" id="{E3B7F25E-0454-E348-89CD-6680B5F8A922}">
    <text>OLD: 10/31/20 deadline</text>
  </threadedComment>
  <threadedComment ref="R10" dT="2020-08-07T19:14:10.20" personId="{E9AB3D0A-316B-AD4A-AF94-04839F2D6E82}" id="{5C755212-9936-BF48-91FE-324AD201E145}">
    <text>10/31/21 deadline</text>
  </threadedComment>
  <threadedComment ref="S10" dT="2020-08-07T19:16:15.20" personId="{E9AB3D0A-316B-AD4A-AF94-04839F2D6E82}" id="{8D29C66E-D426-0A43-B4DA-14367D75B1F2}">
    <text>$5,813,085 QO
6/29/23 deadline
Bird</text>
  </threadedComment>
  <threadedComment ref="P11" dT="2020-08-07T19:23:10.07" personId="{E9AB3D0A-316B-AD4A-AF94-04839F2D6E82}" id="{4DE049A2-D371-A44D-9903-AF2FCEF3EF51}">
    <text>$800,000 gt, fully gt on 11/28/20
If waived, Non Bird UFA</text>
  </threadedComment>
  <threadedComment ref="Q11" dT="2020-08-07T19:23:16.23" personId="{E9AB3D0A-316B-AD4A-AF94-04839F2D6E82}" id="{AE06BE22-1A33-9F4D-A7D7-A1A4F004AA2E}">
    <text>Early Bird</text>
  </threadedComment>
  <threadedComment ref="P12" dT="2020-08-07T19:26:26.04" personId="{E9AB3D0A-316B-AD4A-AF94-04839F2D6E82}" id="{39E9C62F-CE43-B746-AD49-E4D2F7CB323A}">
    <text>$600,000 gt, fully gt on 2/27/21
If waived, Early Bird UFA</text>
  </threadedComment>
  <threadedComment ref="Q12" dT="2020-08-07T19:30:19.21" personId="{E9AB3D0A-316B-AD4A-AF94-04839F2D6E82}" id="{34A06F82-81E1-3F42-A123-0C3F6C49A7D7}">
    <text>fully NG, fully gt on 1/10/22
If waived, Bird UFA</text>
  </threadedComment>
  <threadedComment ref="R12" dT="2020-08-07T19:30:24.80" personId="{E9AB3D0A-316B-AD4A-AF94-04839F2D6E82}" id="{54BBD8F8-4039-BE4F-975A-D00F1C54ECE3}">
    <text>Bird</text>
  </threadedComment>
  <threadedComment ref="R14" dT="2020-08-07T19:30:44.61" personId="{E9AB3D0A-316B-AD4A-AF94-04839F2D6E82}" id="{440DF42E-6501-C74E-8636-7337C01D454D}">
    <text>$2,228,287 QO
6/29/22 deadline
Bird</text>
  </threadedComment>
  <threadedComment ref="Q15" dT="2020-08-07T19:31:17.82" personId="{E9AB3D0A-316B-AD4A-AF94-04839F2D6E82}" id="{A539006E-D2A5-0749-8F37-93C8EBC13685}">
    <text>fully NG, fully gt on 7/6/21
If waived, Early Bird RFA</text>
  </threadedComment>
  <threadedComment ref="R15" dT="2020-08-07T19:31:30.59" personId="{E9AB3D0A-316B-AD4A-AF94-04839F2D6E82}" id="{22B6A68C-4224-674D-8AEA-24B7EA337909}">
    <text>fully NG, fully gt on 7/6/22
If waived, Bird RFA</text>
  </threadedComment>
  <threadedComment ref="S15" dT="2020-08-07T19:31:50.57" personId="{E9AB3D0A-316B-AD4A-AF94-04839F2D6E82}" id="{F153CC65-FA2A-1648-ADB9-1817AA77E49C}">
    <text>Bird</text>
  </threadedComment>
  <threadedComment ref="P16" dT="2020-08-07T19:35:09.73" personId="{E9AB3D0A-316B-AD4A-AF94-04839F2D6E82}" id="{3746CE50-EC61-F64C-8936-330847F232A2}">
    <text>fully NG, fully gt on 2/27/21</text>
  </threadedComment>
  <threadedComment ref="Q16" dT="2020-08-07T19:35:23.57" personId="{E9AB3D0A-316B-AD4A-AF94-04839F2D6E82}" id="{1D5420E8-8E28-EF4C-AA82-ED5DA8B749B7}">
    <text>fully NG, $200,000 gt on 7/15/21, fully gt on 1/10/22</text>
  </threadedComment>
  <threadedComment ref="R16" dT="2020-08-07T19:34:26.79" personId="{E9AB3D0A-316B-AD4A-AF94-04839F2D6E82}" id="{50677B47-D3AC-DB4F-B1A5-04D16EC891D0}">
    <text>$2,228,276 QO
6/29/22 deadline
Bird</text>
  </threadedComment>
  <threadedComment ref="P17" dT="2020-08-07T19:32:56.95" personId="{E9AB3D0A-316B-AD4A-AF94-04839F2D6E82}" id="{048AA527-7C15-F84C-847C-FAFEE6AA2261}">
    <text>fully NG, $200,000 gt if on opening night roster, fully gt on 2/27/21</text>
  </threadedComment>
  <threadedComment ref="Q17" dT="2020-08-07T19:33:28.46" personId="{E9AB3D0A-316B-AD4A-AF94-04839F2D6E82}" id="{354D7D84-6729-4D47-8946-B623A2355EF3}">
    <text>fully NG, fully gt on 1/10/22</text>
  </threadedComment>
  <threadedComment ref="R17" dT="2020-08-07T19:33:54.98" personId="{E9AB3D0A-316B-AD4A-AF94-04839F2D6E82}" id="{F43A0F0C-583B-4147-BB94-5FD62CFDDAF8}">
    <text>$2,228,276 QO
6/29/22 deadline
Bird</text>
  </threadedComment>
  <threadedComment ref="P21" dT="2020-08-07T19:25:02.99" personId="{E9AB3D0A-316B-AD4A-AF94-04839F2D6E82}" id="{D41F7658-3828-BC43-97F6-BA5AA064C7BC}">
    <text>Shaun Livingston</text>
  </threadedComment>
  <threadedComment ref="Q21" dT="2020-08-07T19:25:09.63" personId="{E9AB3D0A-316B-AD4A-AF94-04839F2D6E82}" id="{BC803020-8B2B-9541-AA45-0D2566959EF5}">
    <text>Shaun Livingston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FED1453F-B68D-0844-9B54-1BED35D68A1F}">
    <text>per Cleaning The Glass</text>
  </threadedComment>
  <threadedComment ref="W1" dT="2020-06-20T21:07:04.55" personId="{E9AB3D0A-316B-AD4A-AF94-04839F2D6E82}" id="{C5535982-C7E2-E045-8CCF-FAD9360D5DEB}">
    <text>per Basketball Reference</text>
  </threadedComment>
  <threadedComment ref="Q9" dT="2020-06-23T23:28:54.17" personId="{E9AB3D0A-316B-AD4A-AF94-04839F2D6E82}" id="{9B4324CB-E5E3-9E47-952B-A0AE988F14CF}">
    <text>Early Bird</text>
  </threadedComment>
  <threadedComment ref="P12" dT="2020-08-22T15:14:52.04" personId="{E9AB3D0A-316B-AD4A-AF94-04839F2D6E82}" id="{1A48D798-8F09-0245-8F5B-7A9864004FA9}">
    <text>fully NG, fully gt on 1/10/21</text>
  </threadedComment>
  <threadedComment ref="P17" dT="2020-08-22T15:15:44.06" personId="{E9AB3D0A-316B-AD4A-AF94-04839F2D6E82}" id="{7AB4CC19-F8BF-0641-9A7F-E4F497F74259}">
    <text>Troy Williams</text>
  </threadedComment>
  <threadedComment ref="Q17" dT="2020-08-22T15:15:48.31" personId="{E9AB3D0A-316B-AD4A-AF94-04839F2D6E82}" id="{040C9A67-7ECD-6B45-9446-4D7206FB987B}">
    <text>Troy Williams</text>
  </threadedComment>
  <threadedComment ref="R17" dT="2020-08-22T15:15:53.36" personId="{E9AB3D0A-316B-AD4A-AF94-04839F2D6E82}" id="{E6DCACD3-64A8-2642-A9F4-CD2FEA8C42AE}">
    <text>Troy Williams</text>
  </threadedComment>
  <threadedComment ref="P19" dT="2020-08-22T15:17:04.09" personId="{E9AB3D0A-316B-AD4A-AF94-04839F2D6E82}" id="{FE149828-F270-A14D-8955-DB6A02D00459}">
    <text>Early Bird</text>
  </threadedComment>
  <threadedComment ref="P20" dT="2020-08-22T15:16:57.58" personId="{E9AB3D0A-316B-AD4A-AF94-04839F2D6E82}" id="{42F9A341-EAB4-F548-B093-B90C3DCCE0F3}">
    <text>Non Bird</text>
  </threadedComment>
  <threadedComment ref="P21" dT="2020-08-22T15:16:53.65" personId="{E9AB3D0A-316B-AD4A-AF94-04839F2D6E82}" id="{B8811FBB-2359-E849-9D11-788DD9BCA4E6}">
    <text>Non Bird</text>
  </threadedComment>
  <threadedComment ref="P22" dT="2020-08-22T15:16:49.65" personId="{E9AB3D0A-316B-AD4A-AF94-04839F2D6E82}" id="{7D0F3433-42E4-2246-9E94-B4FDD2EF21F6}">
    <text>Non Bird</text>
  </threadedComment>
  <threadedComment ref="P23" dT="2020-08-22T15:16:40.42" personId="{E9AB3D0A-316B-AD4A-AF94-04839F2D6E82}" id="{E3953CD9-F8D0-5B48-8B06-49230FAA5296}">
    <text>No Rights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E82BE58F-46B1-C74B-8F59-6C67FF0C2E47}">
    <text>per Cleaning The Glass</text>
  </threadedComment>
  <threadedComment ref="W1" dT="2020-06-20T21:07:04.55" personId="{E9AB3D0A-316B-AD4A-AF94-04839F2D6E82}" id="{823FC625-011F-4345-8F46-719211390324}">
    <text>per Basketball Reference</text>
  </threadedComment>
  <threadedComment ref="Q2" dT="2020-08-22T15:47:53.26" personId="{E9AB3D0A-316B-AD4A-AF94-04839F2D6E82}" id="{8160C0C5-307F-4444-B335-B626A9FEF62F}">
    <text>Bird</text>
  </threadedComment>
  <threadedComment ref="S3" dT="2020-08-22T15:47:58.26" personId="{E9AB3D0A-316B-AD4A-AF94-04839F2D6E82}" id="{B50EC20D-4B44-8B40-89D8-9E81972D748A}">
    <text>Bird</text>
  </threadedComment>
  <threadedComment ref="T4" dT="2020-08-22T15:48:03.83" personId="{E9AB3D0A-316B-AD4A-AF94-04839F2D6E82}" id="{75C56C36-496A-9845-BDB5-E0959D803DAD}">
    <text>Bird</text>
  </threadedComment>
  <threadedComment ref="S5" dT="2020-08-22T15:48:08.58" personId="{E9AB3D0A-316B-AD4A-AF94-04839F2D6E82}" id="{2FBA8BD2-9B0C-EC43-B006-32DD2430AC25}">
    <text>Bird</text>
  </threadedComment>
  <threadedComment ref="R6" dT="2020-08-22T15:48:13.76" personId="{E9AB3D0A-316B-AD4A-AF94-04839F2D6E82}" id="{D0490095-E76A-7B49-BF66-8E8A2779DC18}">
    <text>Bird</text>
  </threadedComment>
  <threadedComment ref="R7" dT="2020-08-22T15:48:18.31" personId="{E9AB3D0A-316B-AD4A-AF94-04839F2D6E82}" id="{67F81795-7859-6346-BD02-813E0C47860E}">
    <text>Bird</text>
  </threadedComment>
  <threadedComment ref="Q8" dT="2020-08-22T15:48:23.64" personId="{E9AB3D0A-316B-AD4A-AF94-04839F2D6E82}" id="{B64E9DCE-1613-2D4B-9AAF-BACAE994C81E}">
    <text>Bird</text>
  </threadedComment>
  <threadedComment ref="Q10" dT="2020-08-22T15:48:51.38" personId="{E9AB3D0A-316B-AD4A-AF94-04839F2D6E82}" id="{A9ABF657-3C05-3443-89F2-7FDEDD05050F}">
    <text>Early Bird</text>
  </threadedComment>
  <threadedComment ref="Q11" dT="2020-08-22T15:49:28.20" personId="{E9AB3D0A-316B-AD4A-AF94-04839F2D6E82}" id="{553A6F9C-76D6-FC41-ADF7-5AE67AC466C5}">
    <text>10/31/20 deadline (revised date TBD)</text>
  </threadedComment>
  <threadedComment ref="R11" dT="2020-08-22T15:50:04.18" personId="{E9AB3D0A-316B-AD4A-AF94-04839F2D6E82}" id="{EB27DFB7-4405-394D-9C40-A7EBDDCE7538}">
    <text>10/31/21 deadline</text>
  </threadedComment>
  <threadedComment ref="S11" dT="2020-08-22T15:50:29.46" personId="{E9AB3D0A-316B-AD4A-AF94-04839F2D6E82}" id="{5F37FAC8-6947-744F-B004-FCECA6DE19DA}">
    <text>$6,762,016 QO
6/29/23 deadline
Bird RFA</text>
  </threadedComment>
  <threadedComment ref="Q12" dT="2020-08-22T15:49:32.57" personId="{E9AB3D0A-316B-AD4A-AF94-04839F2D6E82}" id="{B0ED55A1-D5CE-4E44-89D2-FF384AB88761}">
    <text>10/31/20 deadline (revised date TBD)</text>
  </threadedComment>
  <threadedComment ref="R12" dT="2020-08-22T15:50:43.68" personId="{E9AB3D0A-316B-AD4A-AF94-04839F2D6E82}" id="{345C4DDD-1296-4D41-AD08-FCA4D929165E}">
    <text>$5,791,702 QO
6/29/22 deadline
Bird RFA</text>
  </threadedComment>
  <threadedComment ref="Q13" dT="2020-08-22T15:49:46.60" personId="{E9AB3D0A-316B-AD4A-AF94-04839F2D6E82}" id="{D05588E5-04C1-694B-9F8D-DDAFA167445A}">
    <text>6/29/21 deadline
If declined, Bird RFA</text>
  </threadedComment>
  <threadedComment ref="R13" dT="2020-08-22T15:50:48.65" personId="{E9AB3D0A-316B-AD4A-AF94-04839F2D6E82}" id="{228C2EBE-979B-4440-B67B-598345BED5D0}">
    <text>Bird</text>
  </threadedComment>
  <threadedComment ref="P18" dT="2020-08-22T15:50:55.84" personId="{E9AB3D0A-316B-AD4A-AF94-04839F2D6E82}" id="{BCF6DAB2-39FF-C242-A20A-ED9FE8CB1F8F}">
    <text>Monta Ellis</text>
  </threadedComment>
  <threadedComment ref="Q18" dT="2020-08-22T15:51:08.65" personId="{E9AB3D0A-316B-AD4A-AF94-04839F2D6E82}" id="{C8785706-3291-3341-B0EB-711714DB639F}">
    <text>Monta Ellis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8C3F6C3E-14E2-834D-87EA-BB0A6BF7B10E}">
    <text>per Cleaning The Glass</text>
  </threadedComment>
  <threadedComment ref="W1" dT="2020-06-20T21:07:04.55" personId="{E9AB3D0A-316B-AD4A-AF94-04839F2D6E82}" id="{84E73B32-26B1-5A46-896F-48CF212A1A42}">
    <text>per Basketball Reference</text>
  </threadedComment>
  <threadedComment ref="T4" dT="2020-08-27T18:31:30.11" personId="{E9AB3D0A-316B-AD4A-AF94-04839F2D6E82}" id="{32D5E715-167D-8E46-888A-156323DD8BF7}">
    <text>Bird</text>
  </threadedComment>
  <threadedComment ref="Q9" dT="2020-06-26T02:31:11.93" personId="{E9AB3D0A-316B-AD4A-AF94-04839F2D6E82}" id="{ADD46325-64E7-A949-B5E5-439B526FEB4E}">
    <text>$7,256,785 QO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6DC798E6-45A7-3041-9D9F-424B37134AA8}">
    <text>per Cleaning The Glass</text>
  </threadedComment>
  <threadedComment ref="W1" dT="2020-06-20T21:07:04.55" personId="{E9AB3D0A-316B-AD4A-AF94-04839F2D6E82}" id="{EB61B890-D0A8-AC42-9196-F27BF7AE9F49}">
    <text>per Basketball Reference</text>
  </threadedComment>
  <threadedComment ref="Q4" dT="2020-08-07T14:29:10.68" personId="{E9AB3D0A-316B-AD4A-AF94-04839F2D6E82}" id="{E6CE6BAD-0808-CB45-826D-A64F7F51ACA6}">
    <text>Bird</text>
  </threadedComment>
  <threadedComment ref="R5" dT="2020-11-24T14:05:28.97" personId="{E9AB3D0A-316B-AD4A-AF94-04839F2D6E82}" id="{793411AF-2739-5A46-A9E8-0EC89C0C17C0}">
    <text>$4,888,118 gt, fully gt on 6/28/22</text>
  </threadedComment>
  <threadedComment ref="Q6" dT="2020-11-21T02:46:19.55" personId="{E9AB3D0A-316B-AD4A-AF94-04839F2D6E82}" id="{E23EA61C-97EA-3843-9CB9-148C302E65B5}">
    <text>“6/29/21” deadline
Non Bird
$11,109,600 cap hold</text>
  </threadedComment>
  <threadedComment ref="R6" dT="2020-11-21T02:45:26.92" personId="{E9AB3D0A-316B-AD4A-AF94-04839F2D6E82}" id="{C0A8A091-AEA5-994A-8B15-77D4D16C0A3F}">
    <text>Early Bird</text>
  </threadedComment>
  <threadedComment ref="Q11" dT="2020-06-23T15:19:01.54" personId="{E9AB3D0A-316B-AD4A-AF94-04839F2D6E82}" id="{C5CE8CEC-A98D-6149-BDBB-E8AF0BC0E19B}">
    <text>OLD: fully NG, fully gt on 1/10/22
If waived, Early Bird</text>
  </threadedComment>
  <threadedComment ref="R11" dT="2020-06-23T15:19:09.67" personId="{E9AB3D0A-316B-AD4A-AF94-04839F2D6E82}" id="{647CAE2D-1025-E948-88FB-CB39F3C7928E}">
    <text>OLD: fully NG, fully gt on 1/10/23
If waived, Bird</text>
  </threadedComment>
  <threadedComment ref="S11" dT="2020-06-23T15:19:54.95" personId="{E9AB3D0A-316B-AD4A-AF94-04839F2D6E82}" id="{6FE1B5AD-5569-0D4E-AEE9-6200A2E974BE}">
    <text>Bird</text>
  </threadedComment>
  <threadedComment ref="P16" dT="2020-08-24T01:10:34.08" personId="{E9AB3D0A-316B-AD4A-AF94-04839F2D6E82}" id="{E2DD5A98-D57D-A54E-917D-E7BC56174032}">
    <text>Luol Deng / Quinn Cook / Jordan Bell</text>
  </threadedComment>
  <threadedComment ref="Q16" dT="2020-08-24T01:10:34.08" personId="{E9AB3D0A-316B-AD4A-AF94-04839F2D6E82}" id="{2DEF6372-9C9B-394E-B3D3-13A68613DBB1}">
    <text>Luol Deng / Jordan Bell</text>
  </threadedComment>
  <threadedComment ref="R16" dT="2020-11-21T13:32:39.14" personId="{E9AB3D0A-316B-AD4A-AF94-04839F2D6E82}" id="{6F1F63A4-76E1-9341-B1F0-C9944A1CD47C}">
    <text>Jordan Bell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457F1808-D622-0342-9531-FCF06577030A}">
    <text>per Cleaning The Glass</text>
  </threadedComment>
  <threadedComment ref="W1" dT="2020-06-20T21:07:04.55" personId="{E9AB3D0A-316B-AD4A-AF94-04839F2D6E82}" id="{2A6399B8-0ADB-A94F-947B-2CEE5F447999}">
    <text>per Basketball Reference</text>
  </threadedComment>
  <threadedComment ref="S6" dT="2020-11-23T17:38:00.91" personId="{E9AB3D0A-316B-AD4A-AF94-04839F2D6E82}" id="{2533CF9F-97EB-9445-BEEE-A16D9F1A4992}">
    <text>$1,500,000 gt, fully gt on 7/3/23</text>
  </threadedComment>
  <threadedComment ref="R14" dT="2020-11-24T14:01:15.27" personId="{E9AB3D0A-316B-AD4A-AF94-04839F2D6E82}" id="{308323EC-7059-6544-8615-8BD5B66C5978}">
    <text>$840,000 gt, fully gt on 7/3/22</text>
  </threadedComment>
  <threadedComment ref="S14" dT="2020-11-24T14:01:27.79" personId="{E9AB3D0A-316B-AD4A-AF94-04839F2D6E82}" id="{DE24EBE4-5DFB-6C44-8631-12DA1AB558A5}">
    <text>Fully NG, fully gt on 7/3/23</text>
  </threadedComment>
  <threadedComment ref="Q17" dT="2020-11-24T14:08:48.21" personId="{E9AB3D0A-316B-AD4A-AF94-04839F2D6E82}" id="{A6628AF2-36AC-534B-AFF9-84BE483C8C02}">
    <text>$300,000 gt, fully gt on 7/20/21</text>
  </threadedComment>
  <threadedComment ref="R17" dT="2020-11-24T14:09:06.58" personId="{E9AB3D0A-316B-AD4A-AF94-04839F2D6E82}" id="{6C221DB2-3AB4-5D43-826F-F0F401FA115B}">
    <text>Fully NG, fully goon 6/28/22</text>
  </threadedComment>
  <threadedComment ref="Y24" dT="2020-06-23T17:32:40.58" personId="{E9AB3D0A-316B-AD4A-AF94-04839F2D6E82}" id="{8914C5E0-E7C6-6C41-A94D-B34D2F955D73}">
    <text>only w/ MEM (also 33 games w/ POR, 9 games w/ SAC)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68C1F394-ADF2-2A4F-BF52-38A88F7E1915}">
    <text>per Cleaning The Glass</text>
  </threadedComment>
  <threadedComment ref="X1" dT="2020-06-20T21:07:04.55" personId="{E9AB3D0A-316B-AD4A-AF94-04839F2D6E82}" id="{CBB2831C-BF1F-9F48-B3FD-5EE47A60C2A6}">
    <text>per Basketball Reference</text>
  </threadedComment>
  <threadedComment ref="P13" dT="2020-11-17T20:22:41.94" personId="{E9AB3D0A-316B-AD4A-AF94-04839F2D6E82}" id="{B7C20EA9-9A9C-DE4B-B73B-1EED7E4CC5E5}">
    <text>$300,000 gt, fully gt on league-wide cutdown date (late Feb 2021?)</text>
  </threadedComment>
  <threadedComment ref="P18" dT="2020-08-24T19:53:11.32" personId="{E9AB3D0A-316B-AD4A-AF94-04839F2D6E82}" id="{778B2608-EDBE-EF41-8659-8068FE90BD99}">
    <text>Ryan Anderson / A.J. Hammons</text>
  </threadedComment>
  <threadedComment ref="Q18" dT="2020-08-24T19:53:17.61" personId="{E9AB3D0A-316B-AD4A-AF94-04839F2D6E82}" id="{42CFF441-88E1-E34C-8C7B-18E002A85204}">
    <text>Ryan Anderson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E5CC1517-F5C8-C742-B0FD-48F15FAD9277}">
    <text>per Cleaning The Glass</text>
  </threadedComment>
  <threadedComment ref="W1" dT="2020-06-20T21:07:04.55" personId="{E9AB3D0A-316B-AD4A-AF94-04839F2D6E82}" id="{E0A0D47D-0D76-C943-89B5-498619B12523}">
    <text>per Basketball Reference</text>
  </threadedComment>
  <threadedComment ref="T2" dT="2020-08-27T18:31:30.11" personId="{E9AB3D0A-316B-AD4A-AF94-04839F2D6E82}" id="{75F99D64-7824-244D-86DA-52E2B047D3C0}">
    <text>Bird</text>
  </threadedComment>
  <threadedComment ref="Q3" dT="2020-08-27T18:31:24.63" personId="{E9AB3D0A-316B-AD4A-AF94-04839F2D6E82}" id="{D23B683F-2C60-D042-AF97-86B8FCBAA409}">
    <text>Bird</text>
  </threadedComment>
  <threadedComment ref="P4" dT="2020-11-17T20:34:43.94" personId="{E9AB3D0A-316B-AD4A-AF94-04839F2D6E82}" id="{CA3721B4-4599-804D-B46D-633E54817317}">
    <text>$29,187,778 for hard cap purposes</text>
  </threadedComment>
  <threadedComment ref="Q4" dT="2020-11-17T21:13:17.92" personId="{E9AB3D0A-316B-AD4A-AF94-04839F2D6E82}" id="{98F0D7F2-A833-FC41-B927-3CBD41FEC905}">
    <text>6/29/21 deadline</text>
  </threadedComment>
  <threadedComment ref="R4" dT="2020-08-28T15:43:48.47" personId="{E9AB3D0A-316B-AD4A-AF94-04839F2D6E82}" id="{7FCC952E-5173-6949-BAEB-A7DF592111F1}">
    <text>Bird</text>
  </threadedComment>
  <threadedComment ref="S5" dT="2020-08-27T18:31:41.74" personId="{E9AB3D0A-316B-AD4A-AF94-04839F2D6E82}" id="{8580BBD1-97A8-044F-8222-1B906BD42C74}">
    <text>Bird</text>
  </threadedComment>
  <threadedComment ref="Q7" dT="2020-08-27T18:34:45.14" personId="{E9AB3D0A-316B-AD4A-AF94-04839F2D6E82}" id="{8D14889D-BB70-6D46-8509-520D71CED9E5}">
    <text>$6,422,171 QO</text>
  </threadedComment>
  <threadedComment ref="Q10" dT="2020-08-27T18:34:56.85" personId="{E9AB3D0A-316B-AD4A-AF94-04839F2D6E82}" id="{B153BF6F-1C33-8C4F-AF63-DD2CE9AD46A0}">
    <text>10/31/20 deadline (revised date TBD)</text>
  </threadedComment>
  <threadedComment ref="R10" dT="2020-08-27T18:35:08.71" personId="{E9AB3D0A-316B-AD4A-AF94-04839F2D6E82}" id="{33959C28-4CC2-2F47-A941-D7B7B7F27686}">
    <text>$6,602,272 QO</text>
  </threadedComment>
  <threadedComment ref="Q12" dT="2020-08-27T18:35:43.93" personId="{E9AB3D0A-316B-AD4A-AF94-04839F2D6E82}" id="{4C08A2AE-4F49-324C-8FBB-D94D7C8ED03C}">
    <text>Early Bird (RFA)</text>
  </threadedComment>
  <threadedComment ref="P19" dT="2020-08-27T18:27:38.03" personId="{E9AB3D0A-316B-AD4A-AF94-04839F2D6E82}" id="{B6A402C0-79CF-9148-8EF9-00297934F7E1}">
    <text>Jon Leuer / Larry Sanders</text>
  </threadedComment>
  <threadedComment ref="Q19" dT="2020-08-27T18:27:38.03" personId="{E9AB3D0A-316B-AD4A-AF94-04839F2D6E82}" id="{83B12865-B773-6A45-927A-CBF2AB8B314C}">
    <text>Jon Leuer / Larry Sanders</text>
  </threadedComment>
  <threadedComment ref="P22" dT="2020-08-27T18:36:02.38" personId="{E9AB3D0A-316B-AD4A-AF94-04839F2D6E82}" id="{6BB844AE-7F6F-0A41-981A-A29B47792C93}">
    <text>Non Bird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33CE36B9-F52C-0E42-AF7D-885503C30BE7}">
    <text>per Cleaning The Glass</text>
  </threadedComment>
  <threadedComment ref="W1" dT="2020-06-20T21:07:04.55" personId="{E9AB3D0A-316B-AD4A-AF94-04839F2D6E82}" id="{EBDAF284-B106-4441-A5D2-DB0C8987A587}">
    <text>per Basketball Reference</text>
  </threadedComment>
  <threadedComment ref="P13" dT="2020-08-28T15:21:59.72" personId="{E9AB3D0A-316B-AD4A-AF94-04839F2D6E82}" id="{9394A6EF-BB98-5F4C-BBF5-DE247C1D12BE}">
    <text>fully NG, 11/28/20 gt date</text>
  </threadedComment>
  <threadedComment ref="P14" dT="2020-08-28T15:22:08.19" personId="{E9AB3D0A-316B-AD4A-AF94-04839F2D6E82}" id="{6719A550-978D-8B46-9D1B-5AA4049AF982}">
    <text>Fully NG, fully gt on 2/27/21</text>
  </threadedComment>
  <threadedComment ref="P15" dT="2020-08-28T15:22:08.19" personId="{E9AB3D0A-316B-AD4A-AF94-04839F2D6E82}" id="{C38E58E2-8A19-E644-9925-CBC984E45232}">
    <text>Fully NG, fully gt on 2/27/21</text>
  </threadedComment>
  <threadedComment ref="P17" dT="2020-08-24T23:03:13.55" personId="{E9AB3D0A-316B-AD4A-AF94-04839F2D6E82}" id="{0F23E8FD-A3D2-BC46-BBE5-F1586C550EB7}">
    <text>Cole Aldrich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8BEF9D59-2F9E-BF40-8A3B-CF8C050EEA87}">
    <text>per Cleaning The Glass</text>
  </threadedComment>
  <threadedComment ref="W1" dT="2020-06-20T21:07:04.55" personId="{E9AB3D0A-316B-AD4A-AF94-04839F2D6E82}" id="{38B2DAE1-8418-E144-82D5-A48518F63DC5}">
    <text>per Basketball Reference</text>
  </threadedComment>
  <threadedComment ref="R4" dT="2020-08-27T18:31:18.17" personId="{E9AB3D0A-316B-AD4A-AF94-04839F2D6E82}" id="{2B7DA489-CEA5-FB45-AAA8-C22BC7AC3E3B}">
    <text>$3,900,000 gt
6/29/22 gt date</text>
  </threadedComment>
  <threadedComment ref="S4" dT="2020-08-27T18:31:35.78" personId="{E9AB3D0A-316B-AD4A-AF94-04839F2D6E82}" id="{3CDB83B6-06B1-D346-9D3F-A3F457EC78D2}">
    <text>Bird</text>
  </threadedComment>
  <threadedComment ref="Q5" dT="2020-08-28T15:43:54.00" personId="{E9AB3D0A-316B-AD4A-AF94-04839F2D6E82}" id="{5F717BAC-452F-064A-B05C-15F73F466ACF}">
    <text>Bird</text>
  </threadedComment>
  <threadedComment ref="Q6" dT="2020-08-28T15:44:08.69" personId="{E9AB3D0A-316B-AD4A-AF94-04839F2D6E82}" id="{BDD714F3-CD63-9C4A-88C8-752B03F7CFEA}">
    <text>$14,359,936 QO</text>
  </threadedComment>
  <threadedComment ref="S7" dT="2020-08-28T15:44:25.40" personId="{E9AB3D0A-316B-AD4A-AF94-04839F2D6E82}" id="{DB557544-803C-994F-9996-7287CB41DAED}">
    <text>$17,595,262 QO</text>
  </threadedComment>
  <threadedComment ref="S8" dT="2020-08-28T15:45:07.55" personId="{E9AB3D0A-316B-AD4A-AF94-04839F2D6E82}" id="{CD4C776B-4BE7-3C49-8C48-B685F53540F2}">
    <text>$9,170,460 QO</text>
  </threadedComment>
  <threadedComment ref="Q9" dT="2020-08-28T15:45:59.68" personId="{E9AB3D0A-316B-AD4A-AF94-04839F2D6E82}" id="{BBA02FED-0F1C-264E-95C9-85CBB47E1F92}">
    <text>Early Bird</text>
  </threadedComment>
  <threadedComment ref="Q11" dT="2020-08-28T15:46:24.40" personId="{E9AB3D0A-316B-AD4A-AF94-04839F2D6E82}" id="{F09032CF-87D5-6548-B97A-432D26743863}">
    <text>$5,236,739 QO</text>
  </threadedComment>
  <threadedComment ref="S12" dT="2020-08-28T15:46:38.28" personId="{E9AB3D0A-316B-AD4A-AF94-04839F2D6E82}" id="{B0DB536A-4B0D-C046-A662-4C2DC4AB3DC6}">
    <text>$7,073,602 QO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1" dT="2020-06-20T21:07:04.55" personId="{E9AB3D0A-316B-AD4A-AF94-04839F2D6E82}" id="{FDFC547E-7618-2A4B-92B3-4E0134463B32}">
    <text>per Basketball Reference</text>
  </threadedComment>
  <threadedComment ref="R2" dT="2020-06-20T20:28:08.37" personId="{E9AB3D0A-316B-AD4A-AF94-04839F2D6E82}" id="{ED43EE05-0290-3D4F-A809-63ACB6A0BAE4}">
    <text>$48,234,375 cap hold
Bird</text>
  </threadedComment>
  <threadedComment ref="S2" dT="2020-06-20T20:28:14.03" personId="{E9AB3D0A-316B-AD4A-AF94-04839F2D6E82}" id="{F93E4740-D8E0-2C4E-AC47-05BAB848FA0D}">
    <text>Bird</text>
  </threadedComment>
  <threadedComment ref="T3" dT="2020-06-20T20:31:41.75" personId="{E9AB3D0A-316B-AD4A-AF94-04839F2D6E82}" id="{7B553168-DD85-D543-8260-A5FCE73193F5}">
    <text>Bird</text>
  </threadedComment>
  <threadedComment ref="R4" dT="2020-06-20T20:29:30.11" personId="{E9AB3D0A-316B-AD4A-AF94-04839F2D6E82}" id="{10824A58-CE24-FF42-98AF-719EFFD7CBAE}">
    <text>Bird</text>
  </threadedComment>
  <threadedComment ref="Q7" dT="2020-06-20T20:34:06.22" personId="{E9AB3D0A-316B-AD4A-AF94-04839F2D6E82}" id="{4288DA2A-F74F-9548-B32D-BF0AD50FFC50}">
    <text>Bird</text>
  </threadedComment>
  <threadedComment ref="S8" dT="2020-06-20T20:46:24.30" personId="{E9AB3D0A-316B-AD4A-AF94-04839F2D6E82}" id="{E8571D8F-758F-6044-86DF-61048C9AD936}">
    <text>$7,837,251 QO</text>
  </threadedComment>
  <threadedComment ref="S10" dT="2020-06-20T20:48:23.30" personId="{E9AB3D0A-316B-AD4A-AF94-04839F2D6E82}" id="{74681AB0-D702-F840-90F1-7AB009D50EC7}">
    <text>$6,235,495 QO</text>
  </threadedComment>
  <threadedComment ref="R12" dT="2020-06-20T20:48:36.17" personId="{E9AB3D0A-316B-AD4A-AF94-04839F2D6E82}" id="{E9DC93BC-5C01-AC4F-B030-9D5B782DC44A}">
    <text>$5,430,710 QO</text>
  </threadedComment>
  <threadedComment ref="Q13" dT="2020-06-20T20:51:45.41" personId="{E9AB3D0A-316B-AD4A-AF94-04839F2D6E82}" id="{786CA113-4D13-9749-826A-31BA31CEF0B8}">
    <text>Bird</text>
  </threadedComment>
  <threadedComment ref="R15" dT="2020-06-20T20:54:29.59" personId="{E9AB3D0A-316B-AD4A-AF94-04839F2D6E82}" id="{9BDFC207-1726-CB4C-BA6A-204C61D5B593}">
    <text>If waived, Bird RFA
$2,228,276 QO</text>
  </threadedComment>
  <threadedComment ref="S15" dT="2020-06-20T20:54:44.14" personId="{E9AB3D0A-316B-AD4A-AF94-04839F2D6E82}" id="{BC4518D1-3BB3-8842-A467-77F3160E5FA6}">
    <text>Bird</text>
  </threadedComment>
  <threadedComment ref="P16" dT="2020-06-20T20:55:49.85" personId="{E9AB3D0A-316B-AD4A-AF94-04839F2D6E82}" id="{83B43F2F-0DA1-524F-9A13-3CDD2A2618E1}">
    <text xml:space="preserve">fully NG, fully gt on 2/27/21
If waived, Non Bird RFA
$1,645,697 QO
</text>
  </threadedComment>
  <threadedComment ref="Q16" dT="2020-06-20T20:59:03.81" personId="{E9AB3D0A-316B-AD4A-AF94-04839F2D6E82}" id="{5F6AE5FB-3D9E-A642-8E38-A75D8F26E16C}">
    <text>$2,056,061 QO
Early Bird RFA</text>
  </threadedComment>
  <threadedComment ref="P19" dT="2020-06-20T21:00:20.81" personId="{E9AB3D0A-316B-AD4A-AF94-04839F2D6E82}" id="{2E03CE34-6B72-1C49-B9C8-185815D90A53}">
    <text>Guerschon Yabusele / Demetrius Jackson</text>
  </threadedComment>
  <threadedComment ref="Q19" dT="2020-06-20T21:00:30.16" personId="{E9AB3D0A-316B-AD4A-AF94-04839F2D6E82}" id="{F2B12187-C5BC-B24A-B5EE-FAA54A37A007}">
    <text>Guerschon Yabusele / Demetrius Jackson</text>
  </threadedComment>
  <threadedComment ref="R19" dT="2020-06-20T21:00:37.66" personId="{E9AB3D0A-316B-AD4A-AF94-04839F2D6E82}" id="{35C05372-9AE4-FD49-A0DA-950592F079A7}">
    <text>Demetrius Jackson</text>
  </threadedComment>
  <threadedComment ref="S19" dT="2020-06-20T21:00:44.15" personId="{E9AB3D0A-316B-AD4A-AF94-04839F2D6E82}" id="{6FDF8B23-500F-0047-B592-3E35BDDF588E}">
    <text>Demetrius Jackson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0B9E9A8B-18A5-F14A-A4E0-6909312F34FF}">
    <text>per Cleaning The Glass</text>
  </threadedComment>
  <threadedComment ref="W1" dT="2020-06-20T21:07:04.55" personId="{E9AB3D0A-316B-AD4A-AF94-04839F2D6E82}" id="{396372AC-418B-A84E-9C38-14B8C401572F}">
    <text>per Basketball Reference</text>
  </threadedComment>
  <threadedComment ref="Q2" dT="2020-08-28T20:31:25.96" personId="{E9AB3D0A-316B-AD4A-AF94-04839F2D6E82}" id="{DCD5F0EB-C8EE-EE44-A19F-0ECE3FD801B5}">
    <text>$4,000,000 gt
6/28/21 gt date</text>
  </threadedComment>
  <threadedComment ref="R2" dT="2020-08-28T20:31:02.06" personId="{E9AB3D0A-316B-AD4A-AF94-04839F2D6E82}" id="{007FD88C-6485-CE44-B952-C9925B884518}">
    <text>Bird</text>
  </threadedComment>
  <threadedComment ref="S3" dT="2020-08-28T20:33:21.97" personId="{E9AB3D0A-316B-AD4A-AF94-04839F2D6E82}" id="{77A114B1-4380-F94E-98C7-7EAAE2F7DE4C}">
    <text>$14,301,633 QO</text>
  </threadedComment>
  <threadedComment ref="Q4" dT="2020-08-28T20:35:04.63" personId="{E9AB3D0A-316B-AD4A-AF94-04839F2D6E82}" id="{1515BDFA-5E07-6448-A481-5C19FEE7FA55}">
    <text>$8,326,027 QO</text>
  </threadedComment>
  <threadedComment ref="Q6" dT="2020-08-28T20:35:17.53" personId="{E9AB3D0A-316B-AD4A-AF94-04839F2D6E82}" id="{A5036FF6-20E0-E643-A44C-90A98D7C9BA0}">
    <text>$7,705,447 QO</text>
  </threadedComment>
  <threadedComment ref="Q9" dT="2020-11-21T23:34:56.61" personId="{E9AB3D0A-316B-AD4A-AF94-04839F2D6E82}" id="{CA10DB3E-F8AA-7748-A552-6F2D6FC78FB8}">
    <text>Early Bird</text>
  </threadedComment>
  <threadedComment ref="R10" dT="2020-08-28T20:35:30.46" personId="{E9AB3D0A-316B-AD4A-AF94-04839F2D6E82}" id="{673C55D5-C105-6D4A-B0DC-B320DF65BD66}">
    <text>$7,921,300 QO</text>
  </threadedComment>
  <threadedComment ref="Y18" dT="2020-06-26T21:24:33.79" personId="{E9AB3D0A-316B-AD4A-AF94-04839F2D6E82}" id="{47636362-05BB-0B44-ABF3-ECC1308D754C}">
    <text>all w/ BKN</text>
  </threadedComment>
  <threadedComment ref="Y19" dT="2020-06-25T22:46:34.30" personId="{E9AB3D0A-316B-AD4A-AF94-04839F2D6E82}" id="{E66F2E93-BEAD-7945-BED8-C463449663FC}">
    <text>all w/ PHX</text>
  </threadedComment>
  <threadedComment ref="P20" dT="2020-11-21T23:34:18.03" personId="{E9AB3D0A-316B-AD4A-AF94-04839F2D6E82}" id="{B9E93F13-D488-414B-A5F8-54D07E39007E}">
    <text>Joakim Noah / Taj Gibson / Wayne Ellington / Elfrid Payton</text>
  </threadedComment>
  <threadedComment ref="Q20" dT="2020-11-21T23:34:26.95" personId="{E9AB3D0A-316B-AD4A-AF94-04839F2D6E82}" id="{B5721187-72FD-5649-9812-A66142E43AB3}">
    <text>Joakim Noah</text>
  </threadedComment>
  <threadedComment ref="P22" dT="2020-08-28T20:31:58.08" personId="{E9AB3D0A-316B-AD4A-AF94-04839F2D6E82}" id="{C0A7C68E-6FB2-D442-A4D4-D64757EB6E61}">
    <text>Non Bird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C46650EA-450E-6242-8358-18D19259B9EE}">
    <text>per Cleaning The Glass</text>
  </threadedComment>
  <threadedComment ref="W1" dT="2020-06-20T21:07:04.55" personId="{E9AB3D0A-316B-AD4A-AF94-04839F2D6E82}" id="{39D1B315-87B7-CB45-AA1C-A21BC0D8F0B3}">
    <text>per Basketball Reference</text>
  </threadedComment>
  <threadedComment ref="R2" dT="2020-11-18T23:23:57.59" personId="{E9AB3D0A-316B-AD4A-AF94-04839F2D6E82}" id="{23AFE283-C5CA-1443-81FB-7FFF474A3625}">
    <text>$14.5M gt</text>
  </threadedComment>
  <threadedComment ref="Q3" dT="2020-08-15T21:30:51.53" personId="{E9AB3D0A-316B-AD4A-AF94-04839F2D6E82}" id="{4694DDFA-268D-6C42-817B-E2FA00D4218B}">
    <text>Early Bird</text>
  </threadedComment>
  <threadedComment ref="Q4" dT="2020-08-27T18:32:26.62" personId="{E9AB3D0A-316B-AD4A-AF94-04839F2D6E82}" id="{D4F9FEB1-07A2-624D-812E-57FF575255ED}">
    <text>$1,275,491 gt
7/1/21 gt date</text>
  </threadedComment>
  <threadedComment ref="Q5" dT="2020-08-28T15:44:31.96" personId="{E9AB3D0A-316B-AD4A-AF94-04839F2D6E82}" id="{4DC7C7F6-C37E-304F-AA27-4077DF7DAEF6}">
    <text>Bird</text>
  </threadedComment>
  <threadedComment ref="Q6" dT="2020-06-24T17:21:52.59" personId="{E9AB3D0A-316B-AD4A-AF94-04839F2D6E82}" id="{9EE05AF6-83B0-974F-A12B-40CE6055A193}">
    <text>$7,031,451 QO</text>
  </threadedComment>
  <threadedComment ref="Q7" dT="2020-08-22T15:48:45.32" personId="{E9AB3D0A-316B-AD4A-AF94-04839F2D6E82}" id="{13F99E08-E38D-7E49-BE17-4A6A8FDC8CEF}">
    <text>$6,139,765 QO
6/29/21 deadline
Bird RFA</text>
  </threadedComment>
  <threadedComment ref="Q8" dT="2020-08-07T14:29:20.59" personId="{E9AB3D0A-316B-AD4A-AF94-04839F2D6E82}" id="{357D5EB6-800E-E847-B791-46C6C02E13A9}">
    <text>OLD: 10/31/20 deadline</text>
  </threadedComment>
  <threadedComment ref="R8" dT="2020-08-07T14:32:36.85" personId="{E9AB3D0A-316B-AD4A-AF94-04839F2D6E82}" id="{4F357345-3872-9A4C-BA1A-07B9279CB240}">
    <text>$7,523,383 QO
6/29/22 deadline
Bird</text>
  </threadedComment>
  <threadedComment ref="Q10" dT="2020-06-20T20:48:07.93" personId="{E9AB3D0A-316B-AD4A-AF94-04839F2D6E82}" id="{1E468843-0AA9-1646-9564-1C13E75CED96}">
    <text>$3,274,009 QO (*1.25)
Early Bird</text>
  </threadedComment>
  <threadedComment ref="Q11" dT="2020-08-07T14:33:04.36" personId="{E9AB3D0A-316B-AD4A-AF94-04839F2D6E82}" id="{35988F30-A144-444F-85D1-CB6287F27B56}">
    <text>OLD: 10/31/20 deadline</text>
  </threadedComment>
  <threadedComment ref="R11" dT="2020-08-07T14:33:30.50" personId="{E9AB3D0A-316B-AD4A-AF94-04839F2D6E82}" id="{B7097BD3-EC26-8144-9FAA-7AF674B762C2}">
    <text>10/31/20 deadline</text>
  </threadedComment>
  <threadedComment ref="S11" dT="2020-08-07T14:33:54.34" personId="{E9AB3D0A-316B-AD4A-AF94-04839F2D6E82}" id="{628055FA-D559-9441-B360-D59A76C4FC01}">
    <text>$6,205,035 QO
6/29/23 deadline
Bird</text>
  </threadedComment>
  <threadedComment ref="Q13" dT="2020-08-07T14:34:48.82" personId="{E9AB3D0A-316B-AD4A-AF94-04839F2D6E82}" id="{E0D4E86B-C505-BB47-A08D-6470618E0A2D}">
    <text>Early Bird</text>
  </threadedComment>
  <threadedComment ref="Q14" dT="2020-08-07T14:35:30.92" personId="{E9AB3D0A-316B-AD4A-AF94-04839F2D6E82}" id="{89CC3B1C-810B-2541-926F-FDFDBBA1F3C0}">
    <text>$2,122,822 QO
6/29/21 deadline
Bird</text>
  </threadedComment>
  <threadedComment ref="Q17" dT="2020-06-25T00:47:58.60" personId="{E9AB3D0A-316B-AD4A-AF94-04839F2D6E82}" id="{4404BEA1-87B4-3D48-9F0E-768F3E1C1003}">
    <text>$300k gt
If waived, Early Bird RFA</text>
  </threadedComment>
  <threadedComment ref="R17" dT="2020-06-25T00:48:56.79" personId="{E9AB3D0A-316B-AD4A-AF94-04839F2D6E82}" id="{F0BE8B6D-5FD5-B145-A60B-BA3350A89825}">
    <text>OLD: 6/29/20 deadline
$325,000 gt if team opts in
If declined, Bird RFA</text>
  </threadedComment>
  <threadedComment ref="S17" dT="2020-06-25T00:49:03.07" personId="{E9AB3D0A-316B-AD4A-AF94-04839F2D6E82}" id="{58CE1506-7235-BB4A-994B-FC92E2435B9C}">
    <text>Bird</text>
  </threadedComment>
  <threadedComment ref="Q19" dT="2020-08-07T14:39:36.35" personId="{E9AB3D0A-316B-AD4A-AF94-04839F2D6E82}" id="{59C420FD-32DF-5741-B159-5F12A097D3EB}">
    <text>fully NG, fully gt on 7/3/21
If waived, Early Bird RFA</text>
  </threadedComment>
  <threadedComment ref="R19" dT="2020-08-07T14:39:45.01" personId="{E9AB3D0A-316B-AD4A-AF94-04839F2D6E82}" id="{D94F704F-3537-074F-B903-7B8D7E2C33AC}">
    <text>6/29/22 deadline
If declined, Bird RFA</text>
  </threadedComment>
  <threadedComment ref="S19" dT="2020-08-07T14:39:50.43" personId="{E9AB3D0A-316B-AD4A-AF94-04839F2D6E82}" id="{3DA9E164-2CB6-D44C-BB84-7AEB4B898977}">
    <text>Bird</text>
  </threadedComment>
  <threadedComment ref="P23" dT="2020-06-25T00:53:05.79" personId="{E9AB3D0A-316B-AD4A-AF94-04839F2D6E82}" id="{50831CD2-ABC2-0041-8667-9A1496C5D6AA}">
    <text>Kyle Singler / Patrick Patterson</text>
  </threadedComment>
  <threadedComment ref="Q23" dT="2020-06-25T00:53:10.70" personId="{E9AB3D0A-316B-AD4A-AF94-04839F2D6E82}" id="{95C6C7F2-D3FE-124A-A994-6F2204EB906D}">
    <text>Kyle Singler / Patrick Patterson</text>
  </threadedComment>
  <threadedComment ref="R23" dT="2020-06-25T00:53:40.00" personId="{E9AB3D0A-316B-AD4A-AF94-04839F2D6E82}" id="{FC47211F-0A87-A448-8A8B-993C756F269F}">
    <text>Kyle Singler</text>
  </threadedComment>
  <threadedComment ref="P28" dT="2020-08-06T21:02:36.52" personId="{E9AB3D0A-316B-AD4A-AF94-04839F2D6E82}" id="{91834FC2-9F7C-284D-AEE7-F66A234825A8}">
    <text>Bird</text>
  </threadedComment>
  <threadedComment ref="P29" dT="2020-08-07T14:37:31.21" personId="{E9AB3D0A-316B-AD4A-AF94-04839F2D6E82}" id="{2EDC2AD4-72BE-5A4A-AF37-959BA6DCEF95}">
    <text>Early Bird (RFA)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6338EC7D-55A4-AD43-8C31-0A716F18A3EF}">
    <text>per Cleaning The Glass</text>
  </threadedComment>
  <threadedComment ref="W1" dT="2020-06-20T21:07:04.55" personId="{E9AB3D0A-316B-AD4A-AF94-04839F2D6E82}" id="{2CC2D7CB-9407-EE46-A2D6-45EA3108AFA6}">
    <text>per Basketball Reference</text>
  </threadedComment>
  <threadedComment ref="Q15" dT="2020-11-24T13:54:31.76" personId="{E9AB3D0A-316B-AD4A-AF94-04839F2D6E82}" id="{DBE990EE-F16F-084D-91AF-DF0EB23BD3F7}">
    <text>Fully NG, fully gt 7 days after Moratorium</text>
  </threadedComment>
  <threadedComment ref="Q16" dT="2020-11-25T16:39:51.57" personId="{E9AB3D0A-316B-AD4A-AF94-04839F2D6E82}" id="{BEAE280B-7995-2E46-96F4-96485AA0218D}">
    <text>Fully NG, fully gt three days after Moratorium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BD0DB5F1-27F0-AC40-83D0-A5E0C10EA053}">
    <text>per Cleaning The Glass</text>
  </threadedComment>
  <threadedComment ref="W1" dT="2020-06-20T21:07:04.55" personId="{E9AB3D0A-316B-AD4A-AF94-04839F2D6E82}" id="{E84B3374-1B41-3048-BF9C-878DF056DF2B}">
    <text>per Basketball Reference</text>
  </threadedComment>
  <threadedComment ref="S6" dT="2020-06-24T17:19:36.93" personId="{E9AB3D0A-316B-AD4A-AF94-04839F2D6E82}" id="{A087A8F2-2D2A-7845-AED9-0DE9B796B6BE}">
    <text>Bird</text>
  </threadedComment>
  <threadedComment ref="Q8" dT="2020-08-07T14:32:56.34" personId="{E9AB3D0A-316B-AD4A-AF94-04839F2D6E82}" id="{B01D56D0-4F64-4A4B-9AFD-470D2DFC123D}">
    <text>$5,683,323 QO
6/29/21 deadline
Bird</text>
  </threadedComment>
  <threadedComment ref="P21" dT="2020-08-23T18:23:17.39" personId="{E9AB3D0A-316B-AD4A-AF94-04839F2D6E82}" id="{BE224B6B-AB17-BF41-823D-D928AB771D66}">
    <text>Non Bird</text>
  </threadedComment>
  <threadedComment ref="P22" dT="2020-08-23T18:23:17.39" personId="{E9AB3D0A-316B-AD4A-AF94-04839F2D6E82}" id="{9EEE5EC8-73E0-6140-B11A-9546B499AF8F}">
    <text>Non Bird</text>
  </threadedComment>
  <threadedComment ref="P23" dT="2020-08-23T18:18:19.76" personId="{E9AB3D0A-316B-AD4A-AF94-04839F2D6E82}" id="{5BA9B2FA-FCF6-DB40-A42C-DFC2F6FFC7E1}">
    <text>fully NG, fully gt on “7/10/20” (maybe 11/24/20?)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D09D6E7A-BD50-434A-90C1-CFA62C7E8E11}">
    <text>per Cleaning The Glass</text>
  </threadedComment>
  <threadedComment ref="W1" dT="2020-06-20T21:07:04.55" personId="{E9AB3D0A-316B-AD4A-AF94-04839F2D6E82}" id="{2296AE79-DDF2-6D42-ACAF-B063197388EC}">
    <text>per Basketball Reference</text>
  </threadedComment>
  <threadedComment ref="Q2" dT="2020-08-06T21:13:33.19" personId="{E9AB3D0A-316B-AD4A-AF94-04839F2D6E82}" id="{8CCBDFEE-335D-584C-9CE0-33BBE9FBF9A3}">
    <text>6/29/21 deadline
Bird
Max cap hold</text>
  </threadedComment>
  <threadedComment ref="R2" dT="2020-08-06T21:13:38.21" personId="{E9AB3D0A-316B-AD4A-AF94-04839F2D6E82}" id="{F772C1E9-5138-0C4C-B120-D21B869A6C74}">
    <text>Bird</text>
  </threadedComment>
  <threadedComment ref="P11" dT="2020-11-20T14:20:49.68" personId="{E9AB3D0A-316B-AD4A-AF94-04839F2D6E82}" id="{5E7D60AD-379F-1F48-9E81-4C5115A612DB}">
    <text>$25,000 gt</text>
  </threadedComment>
  <threadedComment ref="Q12" dT="2020-08-07T14:35:16.32" personId="{E9AB3D0A-316B-AD4A-AF94-04839F2D6E82}" id="{AB8F0DC7-0B19-BE4C-AC2E-1FBB8FDCC381}">
    <text>Bird</text>
  </threadedComment>
  <threadedComment ref="P19" dT="2020-11-16T04:22:36.45" personId="{E9AB3D0A-316B-AD4A-AF94-04839F2D6E82}" id="{33D8CF4C-E259-A74D-ABAA-D93CC6CC76BE}">
    <text>Non Bird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1F1DF0E8-4DC7-B44B-808B-A8BCA555F5C1}">
    <text>per Cleaning The Glass</text>
  </threadedComment>
  <threadedComment ref="W1" dT="2020-06-20T21:07:04.55" personId="{E9AB3D0A-316B-AD4A-AF94-04839F2D6E82}" id="{62FBE8BF-D048-9547-8F99-F16683E0E608}">
    <text>per Basketball Reference</text>
  </threadedComment>
  <threadedComment ref="U2" dT="2020-08-15T21:33:29.67" personId="{E9AB3D0A-316B-AD4A-AF94-04839F2D6E82}" id="{132F840B-565B-FB4E-B410-31CB896A890F}">
    <text>Bird</text>
  </threadedComment>
  <threadedComment ref="T3" dT="2020-08-15T21:33:35.21" personId="{E9AB3D0A-316B-AD4A-AF94-04839F2D6E82}" id="{D81BA430-7013-1545-975B-6FA0DAB8A99B}">
    <text>Bird</text>
  </threadedComment>
  <threadedComment ref="Q4" dT="2020-08-15T21:32:44.36" personId="{E9AB3D0A-316B-AD4A-AF94-04839F2D6E82}" id="{9E4B89EB-C441-6841-8DBA-431D5F726C49}">
    <text xml:space="preserve">$4,000,000 gt, fully gt on 7/1/21
$19,333,334 cap hold
Bird UFA
</text>
  </threadedComment>
  <threadedComment ref="R4" dT="2020-08-15T21:33:12.08" personId="{E9AB3D0A-316B-AD4A-AF94-04839F2D6E82}" id="{B7BF7F8F-C4B9-0A4C-A95A-0659D9E3CDFF}">
    <text>Bird</text>
  </threadedComment>
  <threadedComment ref="Q6" dT="2020-11-21T01:41:22.04" personId="{E9AB3D0A-316B-AD4A-AF94-04839F2D6E82}" id="{852F07AF-128C-C940-AAC5-1AE742C24F97}">
    <text>Fully NG, fully gt on “6/23/21”
Bird Rights
$15,000,000 cap hold</text>
  </threadedComment>
  <threadedComment ref="R6" dT="2020-11-21T01:38:09.03" personId="{E9AB3D0A-316B-AD4A-AF94-04839F2D6E82}" id="{1B62D784-0884-6044-9FBD-0C3CA4C22CD0}">
    <text>Bird</text>
  </threadedComment>
  <threadedComment ref="R7" dT="2020-11-24T13:56:28.13" personId="{E9AB3D0A-316B-AD4A-AF94-04839F2D6E82}" id="{BFB436B8-7C91-E64B-8AB5-D519DD53C9E2}">
    <text>Early Bird</text>
  </threadedComment>
  <threadedComment ref="Q8" dT="2020-08-15T21:35:08.21" personId="{E9AB3D0A-316B-AD4A-AF94-04839F2D6E82}" id="{EA9399B6-3E48-944C-889D-B31CEFCE40AD}">
    <text>$7,363,319 QO
6/29/21 deadline
Bird</text>
  </threadedComment>
  <threadedComment ref="Q9" dT="2020-06-20T20:34:45.33" personId="{E9AB3D0A-316B-AD4A-AF94-04839F2D6E82}" id="{41D3CC42-32DC-1948-BB10-AE6600CA5C62}">
    <text>Early Bird</text>
  </threadedComment>
  <threadedComment ref="Q10" dT="2020-08-15T21:35:20.05" personId="{E9AB3D0A-316B-AD4A-AF94-04839F2D6E82}" id="{893B9103-CED7-3B41-AC88-0117B2D2E5F3}">
    <text>OLD: 10/31/20 deadline</text>
  </threadedComment>
  <threadedComment ref="Q11" dT="2020-08-15T21:35:26.22" personId="{E9AB3D0A-316B-AD4A-AF94-04839F2D6E82}" id="{D66DCA43-EFDB-8344-9BEA-CE580D4E681D}">
    <text>OLD: 10/31/20 deadline</text>
  </threadedComment>
  <threadedComment ref="R11" dT="2020-08-15T21:35:35.11" personId="{E9AB3D0A-316B-AD4A-AF94-04839F2D6E82}" id="{50BE2BD7-1E07-4743-9A7D-56EB0477E367}">
    <text>10/31/21 deadline</text>
  </threadedComment>
  <threadedComment ref="P17" dT="2020-08-30T19:47:30.49" personId="{E9AB3D0A-316B-AD4A-AF94-04839F2D6E82}" id="{BA845CEB-D783-5743-8A6D-0172D0B1EF29}">
    <text>Andrew Nicholson / Anderson Varejao</text>
  </threadedComment>
  <threadedComment ref="Q17" dT="2020-08-30T19:47:37.69" personId="{E9AB3D0A-316B-AD4A-AF94-04839F2D6E82}" id="{2735A0A4-7C17-4047-8AB0-B627D89CE34F}">
    <text>Andrew Nicholson</text>
  </threadedComment>
  <threadedComment ref="R17" dT="2020-08-30T19:47:37.69" personId="{E9AB3D0A-316B-AD4A-AF94-04839F2D6E82}" id="{419C2242-FF71-5E46-83CF-951CC954D62B}">
    <text>Andrew Nicholson</text>
  </threadedComment>
  <threadedComment ref="S17" dT="2020-08-30T19:47:37.69" personId="{E9AB3D0A-316B-AD4A-AF94-04839F2D6E82}" id="{1F3472C5-577E-D249-BBA6-BBDEB9EBF920}">
    <text>Andrew Nicholson</text>
  </threadedComment>
  <threadedComment ref="P19" dT="2020-08-15T21:36:23.61" personId="{E9AB3D0A-316B-AD4A-AF94-04839F2D6E82}" id="{46204ACF-D76B-E84B-A09D-164C20417DB2}">
    <text>Bird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X1" dT="2020-06-20T21:07:04.55" personId="{E9AB3D0A-316B-AD4A-AF94-04839F2D6E82}" id="{850F53C5-CB14-484C-ABE6-D2FBB4BE0106}">
    <text>per Basketball Reference</text>
  </threadedComment>
  <threadedComment ref="T2" dT="2020-08-06T18:28:37.68" personId="{E9AB3D0A-316B-AD4A-AF94-04839F2D6E82}" id="{0500C166-B389-CE45-93D6-1E061F2873FE}">
    <text>Bird</text>
  </threadedComment>
  <threadedComment ref="S3" dT="2020-08-06T18:28:32.90" personId="{E9AB3D0A-316B-AD4A-AF94-04839F2D6E82}" id="{AAC7BD19-096A-9C42-89BC-0E497447845E}">
    <text>Bird</text>
  </threadedComment>
  <threadedComment ref="Q4" dT="2020-08-06T18:29:55.65" personId="{E9AB3D0A-316B-AD4A-AF94-04839F2D6E82}" id="{DD69CE99-E66D-A445-9556-4231CF2C83D1}">
    <text>$2,400,000 gt, fully gt on 6/29/21
Early Bird
$16,380,000 cap hold</text>
  </threadedComment>
  <threadedComment ref="R4" dT="2020-08-06T18:29:16.76" personId="{E9AB3D0A-316B-AD4A-AF94-04839F2D6E82}" id="{06369AC0-CBE4-864C-BE4E-75FAE4FAF071}">
    <text>Bird</text>
  </threadedComment>
  <threadedComment ref="Q5" dT="2020-08-06T18:30:38.78" personId="{E9AB3D0A-316B-AD4A-AF94-04839F2D6E82}" id="{34119DC7-08DB-F84D-A809-999F8F5D8C0B}">
    <text>OLD: 10/31/20 deadline</text>
  </threadedComment>
  <threadedComment ref="R5" dT="2020-08-06T18:31:10.17" personId="{E9AB3D0A-316B-AD4A-AF94-04839F2D6E82}" id="{A5F44A24-7489-0B40-ACF6-B52E0FC954B5}">
    <text>$14,762,309 QO
6/29/22 deadline
Bird</text>
  </threadedComment>
  <threadedComment ref="Q7" dT="2020-08-06T18:28:25.99" personId="{E9AB3D0A-316B-AD4A-AF94-04839F2D6E82}" id="{EE8A2031-CB2B-FA4F-A244-6AEDD1A38D04}">
    <text>Bird</text>
  </threadedComment>
  <threadedComment ref="Q8" dT="2020-08-06T18:32:05.16" personId="{E9AB3D0A-316B-AD4A-AF94-04839F2D6E82}" id="{BEC4D541-6B2E-7C47-8C09-CDC91EB682C5}">
    <text>Early Bird</text>
  </threadedComment>
  <threadedComment ref="Q9" dT="2020-08-06T18:32:13.39" personId="{E9AB3D0A-316B-AD4A-AF94-04839F2D6E82}" id="{1B4ECD49-0D2F-974A-8624-FFF832F0E6F9}">
    <text>Early Bird</text>
  </threadedComment>
  <threadedComment ref="Q14" dT="2020-08-06T18:33:06.08" personId="{E9AB3D0A-316B-AD4A-AF94-04839F2D6E82}" id="{7923C3FE-A6F0-3B47-8472-031B748C473B}">
    <text xml:space="preserve">fully NG, fully gt on 7/15/21
Early Bird RFA
min cap hold
</text>
  </threadedComment>
  <threadedComment ref="R14" dT="2020-08-06T18:33:32.17" personId="{E9AB3D0A-316B-AD4A-AF94-04839F2D6E82}" id="{A3D6F38F-4ABD-754D-9346-F63465961E36}">
    <text>$2,228,276 QO
Bird</text>
  </threadedComment>
  <threadedComment ref="P21" dT="2020-08-06T18:19:15.87" personId="{E9AB3D0A-316B-AD4A-AF94-04839F2D6E82}" id="{7125CB3D-0740-494F-8AB2-E0D4AA7846FB}">
    <text>Early Bird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55DC3214-ACB8-F64F-9740-DEB209EB3199}">
    <text>per Cleaning The Glass</text>
  </threadedComment>
  <threadedComment ref="W1" dT="2020-06-20T21:07:04.55" personId="{E9AB3D0A-316B-AD4A-AF94-04839F2D6E82}" id="{E0CC8710-00EE-B543-9C62-BE3F4C49018A}">
    <text>per Basketball Reference</text>
  </threadedComment>
  <threadedComment ref="P13" dT="2020-06-25T20:51:37.38" personId="{E9AB3D0A-316B-AD4A-AF94-04839F2D6E82}" id="{3BDEC0A9-2231-F44F-BA21-BAA144C326E3}">
    <text>OLD: fully NG, fully gt on 1/10/21
If waived, Non Bird</text>
  </threadedComment>
  <threadedComment ref="Q15" dT="2020-11-24T14:06:21.56" personId="{E9AB3D0A-316B-AD4A-AF94-04839F2D6E82}" id="{0A1BEAB3-BC2B-8746-B61E-5EF02DE92241}">
    <text>$500,000 gt, fully gt 14 days after Moratorium</text>
  </threadedComment>
  <threadedComment ref="R15" dT="2020-11-24T14:06:37.81" personId="{E9AB3D0A-316B-AD4A-AF94-04839F2D6E82}" id="{36B1E111-DA12-4F47-910A-A78A7DB3A4CB}">
    <text>Fully NG, fully gt 14 days after Moratorium</text>
  </threadedComment>
  <threadedComment ref="P16" dT="2020-11-22T00:14:25.06" personId="{E9AB3D0A-316B-AD4A-AF94-04839F2D6E82}" id="{ABDB79D5-03AF-5D47-BE6D-5A9301728F70}">
    <text>Fully NG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38C08B3B-5574-6747-B0DA-DECD6A1D887D}">
    <text>per Cleaning The Glass</text>
  </threadedComment>
  <threadedComment ref="W1" dT="2020-06-20T21:07:04.55" personId="{E9AB3D0A-316B-AD4A-AF94-04839F2D6E82}" id="{36964760-BF68-C942-85D0-BA41D8B6F92B}">
    <text>per Basketball Reference</text>
  </threadedComment>
  <threadedComment ref="S4" dT="2020-11-21T17:35:44.31" personId="{E9AB3D0A-316B-AD4A-AF94-04839F2D6E82}" id="{BA329564-8E47-474B-9B60-D42B1AE75684}">
    <text>6/29/23 deadline
$33,013,392 cap hold
Bird rights</text>
  </threadedComment>
  <threadedComment ref="Q6" dT="2020-11-25T18:02:31.55" personId="{E9AB3D0A-316B-AD4A-AF94-04839F2D6E82}" id="{6827557F-D17F-8D4D-9F02-A41ACEE8F956}">
    <text>Fully NG, fully gt two days after moratorium</text>
  </threadedComment>
  <threadedComment ref="Q7" dT="2020-11-27T17:25:45.29" personId="{E9AB3D0A-316B-AD4A-AF94-04839F2D6E82}" id="{34B24E63-13C8-D243-A3F6-9E5F22F7D3D8}">
    <text>Fully NG, fully gt 2 days after moratorium</text>
  </threadedComment>
  <threadedComment ref="Q9" dT="2020-08-30T16:55:22.66" personId="{E9AB3D0A-316B-AD4A-AF94-04839F2D6E82}" id="{28F89657-DEC9-3F45-BF15-0DC4FB276D7F}">
    <text>$5,634,073 QO
6/29/21 deadline
Extension eligible first day of offseason through first game of 20-21 season</text>
  </threadedComment>
  <threadedComment ref="Q13" dT="2020-11-27T17:24:55.65" personId="{E9AB3D0A-316B-AD4A-AF94-04839F2D6E82}" id="{05DD2FC4-372B-B244-8B2C-196D9889B35B}">
    <text>Fully NG, fully gt 4 days after moratorium</text>
  </threadedComment>
  <threadedComment ref="P14" dT="2020-11-27T17:40:36.59" personId="{E9AB3D0A-316B-AD4A-AF94-04839F2D6E82}" id="{B15DC4EE-507A-B34F-A12C-A42B6CFF4FE8}">
    <text>$50,000 gt</text>
  </threadedComment>
  <threadedComment ref="P17" dT="2020-08-30T16:40:21.86" personId="{E9AB3D0A-316B-AD4A-AF94-04839F2D6E82}" id="{FAB69FAF-0311-8F4F-BF4B-22A31B752EE7}">
    <text>$725,000 gt, 2/27/21 gt date</text>
  </threadedComment>
  <threadedComment ref="P18" dT="2020-08-30T16:38:16.58" personId="{E9AB3D0A-316B-AD4A-AF94-04839F2D6E82}" id="{C099DE51-D476-6843-86D0-55BD282BE94A}">
    <text>Fully NG, 11/29/20 gt date</text>
  </threadedComment>
  <threadedComment ref="Q18" dT="2020-08-30T16:38:22.54" personId="{E9AB3D0A-316B-AD4A-AF94-04839F2D6E82}" id="{D0869557-B29B-C44B-8915-5C3F3704E6EF}">
    <text>Early Bird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2EB8E875-7CF3-8147-9894-C38FC7D6B641}">
    <text>per Cleaning The Glass</text>
  </threadedComment>
  <threadedComment ref="X1" dT="2020-06-20T21:07:04.55" personId="{E9AB3D0A-316B-AD4A-AF94-04839F2D6E82}" id="{BE47A7BE-8361-A847-BDCB-427092A105BF}">
    <text>per Basketball Reference</text>
  </threadedComment>
  <threadedComment ref="R7" dT="2020-11-21T00:54:36.47" personId="{E9AB3D0A-316B-AD4A-AF94-04839F2D6E82}" id="{4440238D-2FF0-A146-9141-15C039FF5A33}">
    <text>6/29/22 gt date
Early Bird
$18,469,710 cap hold</text>
  </threadedComment>
  <threadedComment ref="S8" dT="2020-08-25T23:24:21.85" personId="{E9AB3D0A-316B-AD4A-AF94-04839F2D6E82}" id="{C2DB6558-3810-6841-90C1-786E5BAB155F}">
    <text>7/10/23 gt date</text>
  </threadedComment>
  <threadedComment ref="P12" dT="2020-08-25T23:26:28.16" personId="{E9AB3D0A-316B-AD4A-AF94-04839F2D6E82}" id="{8481B63A-E221-CE40-8B65-18485CED28E8}">
    <text>Fully NG, fully gt on 2/27/20</text>
  </threadedComment>
  <threadedComment ref="P13" dT="2020-08-25T23:26:28.16" personId="{E9AB3D0A-316B-AD4A-AF94-04839F2D6E82}" id="{9F032010-72BC-284A-8898-4E253EA54021}">
    <text>Fully NG, fully gt on 2/27/20</text>
  </threadedComment>
  <threadedComment ref="P14" dT="2020-08-25T23:26:28.16" personId="{E9AB3D0A-316B-AD4A-AF94-04839F2D6E82}" id="{236C0EC4-CAAC-8447-9FE9-4ADA65C3AF42}">
    <text>Fully NG, fully gt on 2/27/20</text>
  </threadedComment>
  <threadedComment ref="P15" dT="2020-08-25T23:29:15.65" personId="{E9AB3D0A-316B-AD4A-AF94-04839F2D6E82}" id="{790258BA-480E-8B47-8F00-886C62FCCCE8}">
    <text>$340,000 gt, 11/29/20 gt date</text>
  </threadedComment>
  <threadedComment ref="P22" dT="2020-08-25T23:08:21.62" personId="{E9AB3D0A-316B-AD4A-AF94-04839F2D6E82}" id="{46C0FA72-3FCF-A14B-9727-D8737B52B526}">
    <text>Non Bird</text>
  </threadedComment>
  <threadedComment ref="P23" dT="2020-08-25T23:08:26.97" personId="{E9AB3D0A-316B-AD4A-AF94-04839F2D6E82}" id="{31927F29-7F48-F641-9356-23AC60CBACCC}">
    <text>2W RFA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1" dT="2020-06-20T21:07:04.55" personId="{E9AB3D0A-316B-AD4A-AF94-04839F2D6E82}" id="{796BB44D-B21B-C54A-9B3C-61832E1ECA75}">
    <text>per Basketball Reference</text>
  </threadedComment>
  <threadedComment ref="R2" dT="2020-06-20T21:18:37.93" personId="{E9AB3D0A-316B-AD4A-AF94-04839F2D6E82}" id="{D6EAD2F0-820F-4249-B295-A3B52B129D4D}">
    <text>$45,937,500 cap hold
Bird</text>
  </threadedComment>
  <threadedComment ref="S2" dT="2020-06-20T21:34:00.97" personId="{E9AB3D0A-316B-AD4A-AF94-04839F2D6E82}" id="{E55C5748-2A1E-234D-8EB9-50F1A41DF1E1}">
    <text>Bird</text>
  </threadedComment>
  <threadedComment ref="R3" dT="2020-06-20T21:19:54.89" personId="{E9AB3D0A-316B-AD4A-AF94-04839F2D6E82}" id="{54DDCEC7-34D2-DA4E-932A-BE3EE892684B}">
    <text>$45,937,500 cap hold
Bird</text>
  </threadedComment>
  <threadedComment ref="S3" dT="2020-06-20T21:34:06.22" personId="{E9AB3D0A-316B-AD4A-AF94-04839F2D6E82}" id="{F44D2850-2824-6C4B-93E7-A62A93C72923}">
    <text>Bird</text>
  </threadedComment>
  <threadedComment ref="S4" dT="2020-06-21T01:53:51.29" personId="{E9AB3D0A-316B-AD4A-AF94-04839F2D6E82}" id="{D85EA0C9-FD9A-F843-A8CB-F07A29CA6727}">
    <text>Bird</text>
  </threadedComment>
  <threadedComment ref="R6" dT="2020-06-21T01:53:45.73" personId="{E9AB3D0A-316B-AD4A-AF94-04839F2D6E82}" id="{84CF9EEB-D34F-4D4E-8332-FECB982BD849}">
    <text>Bird</text>
  </threadedComment>
  <threadedComment ref="Q7" dT="2020-06-20T22:17:31.88" personId="{E9AB3D0A-316B-AD4A-AF94-04839F2D6E82}" id="{DB2F42E5-9102-CE44-B14B-CD8EA6B44A2E}">
    <text>$17,181,072 cap hold
Bird</text>
  </threadedComment>
  <threadedComment ref="R7" dT="2020-06-20T22:17:37.55" personId="{E9AB3D0A-316B-AD4A-AF94-04839F2D6E82}" id="{A535C1F8-99A7-8D41-91FD-036E392A8BA0}">
    <text>Bird</text>
  </threadedComment>
  <threadedComment ref="S8" dT="2020-06-20T22:17:44.17" personId="{E9AB3D0A-316B-AD4A-AF94-04839F2D6E82}" id="{F84DD596-AAD6-A149-B7C7-6AA9BC900086}">
    <text>Bird</text>
  </threadedComment>
  <threadedComment ref="P9" dT="2020-11-26T15:14:57.47" personId="{E9AB3D0A-316B-AD4A-AF94-04839F2D6E82}" id="{175730F6-2654-8C44-9012-79B8C0F0C805}">
    <text>12/21/20 extension deadline</text>
  </threadedComment>
  <threadedComment ref="Q9" dT="2020-06-21T01:55:31.57" personId="{E9AB3D0A-316B-AD4A-AF94-04839F2D6E82}" id="{CBF98C93-3BF4-7948-B13F-C65E6A61E14A}">
    <text>$5,661,538 QO</text>
  </threadedComment>
  <threadedComment ref="P11" dT="2020-06-21T02:08:05.06" personId="{E9AB3D0A-316B-AD4A-AF94-04839F2D6E82}" id="{C30E17B9-2327-0B47-B40F-AA7CE6BA0A8B}">
    <text>fully NG, $150,000 gt on 11/29/20,  $250,000 gt if on opening night roster, fully gt on 2/27/21
If waived, Non Bird UFA</text>
  </threadedComment>
  <threadedComment ref="Q11" dT="2020-06-21T02:08:15.83" personId="{E9AB3D0A-316B-AD4A-AF94-04839F2D6E82}" id="{1626FC60-958C-8342-800B-839F829979F1}">
    <text>Early Bird</text>
  </threadedComment>
  <threadedComment ref="Q12" dT="2020-06-21T01:56:27.51" personId="{E9AB3D0A-316B-AD4A-AF94-04839F2D6E82}" id="{24CE887B-B656-4344-95B4-7F9A14D8E18C}">
    <text>If declined, Bird RFA
$2,225,190 QO</text>
  </threadedComment>
  <threadedComment ref="R12" dT="2020-06-21T01:57:24.45" personId="{E9AB3D0A-316B-AD4A-AF94-04839F2D6E82}" id="{F0F836A2-F3FF-AC4B-92A9-39B46C9CDEFF}">
    <text>Bird</text>
  </threadedComment>
  <threadedComment ref="Q13" dT="2020-06-26T02:36:02.44" personId="{E9AB3D0A-316B-AD4A-AF94-04839F2D6E82}" id="{FA9BAEA6-EACA-2D4E-9B07-3FB65B344363}">
    <text>$2,122,822 QO
Bird</text>
  </threadedComment>
  <threadedComment ref="Y15" dT="2020-06-24T03:10:37.28" personId="{E9AB3D0A-316B-AD4A-AF94-04839F2D6E82}" id="{77262D05-C5B1-1749-B407-6E6E36AD5540}">
    <text>all w/ PHX</text>
  </threadedComment>
  <threadedComment ref="R16" dT="2020-06-21T02:02:33.71" personId="{E9AB3D0A-316B-AD4A-AF94-04839F2D6E82}" id="{5262DDFE-6CFF-524E-BB8B-17EDAB739227}">
    <text>$2,228,276 QO
Bird</text>
  </threadedComment>
  <threadedComment ref="P21" dT="2020-06-21T01:57:38.75" personId="{E9AB3D0A-316B-AD4A-AF94-04839F2D6E82}" id="{FBE5962E-9228-D049-B201-AA00EC1526C9}">
    <text>Non Bird</text>
  </threadedComment>
  <threadedComment ref="P22" dT="2020-06-21T02:05:00.18" personId="{E9AB3D0A-316B-AD4A-AF94-04839F2D6E82}" id="{BAE3F19C-3A48-B448-8F81-FE1A6AAB1C99}">
    <text>2W RFA
Non Bird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E8D03038-66B3-BA48-B082-F434791AC64E}">
    <text>per Cleaning The Glass</text>
  </threadedComment>
  <threadedComment ref="W1" dT="2020-06-20T21:07:04.55" personId="{E9AB3D0A-316B-AD4A-AF94-04839F2D6E82}" id="{E6A65AB9-4CD5-AE43-ADC5-B7305D6774EE}">
    <text>per Basketball Reference</text>
  </threadedComment>
  <threadedComment ref="T4" dT="2020-11-21T03:00:14.70" personId="{E9AB3D0A-316B-AD4A-AF94-04839F2D6E82}" id="{BC1EB543-0FB8-6B40-8450-02B45AE14506}">
    <text>ETO!
$5,000,000 gt, fully gt if plays in 75% of games in 23-24 season</text>
  </threadedComment>
  <threadedComment ref="P15" dT="2020-11-21T13:44:51.85" personId="{E9AB3D0A-316B-AD4A-AF94-04839F2D6E82}" id="{D0A3AFE5-A602-5241-9086-A4530D5C2F12}">
    <text>$350,000 gt, fully gt on 2/1/21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6831479B-0C3F-5849-BAC0-C89D0D77107A}">
    <text>per Cleaning The Glass</text>
  </threadedComment>
  <threadedComment ref="W1" dT="2020-06-20T21:07:04.55" personId="{E9AB3D0A-316B-AD4A-AF94-04839F2D6E82}" id="{F030B211-DAE3-1C45-B79C-27A0888C1D21}">
    <text>per Basketball Reference</text>
  </threadedComment>
  <threadedComment ref="R3" dT="2020-06-21T02:53:14.12" personId="{E9AB3D0A-316B-AD4A-AF94-04839F2D6E82}" id="{25276FA2-1136-0740-944C-DB69721BAE68}">
    <text>Bird</text>
  </threadedComment>
  <threadedComment ref="Q4" dT="2020-06-21T02:57:44.47" personId="{E9AB3D0A-316B-AD4A-AF94-04839F2D6E82}" id="{46A7E3F8-E7B5-4D4C-8CA7-179174DCB278}">
    <text>Bird</text>
  </threadedComment>
  <threadedComment ref="Q6" dT="2020-06-21T20:17:19.01" personId="{E9AB3D0A-316B-AD4A-AF94-04839F2D6E82}" id="{1641778E-FBFF-4847-B005-05CF63014778}">
    <text>$7,318,246 QO</text>
  </threadedComment>
  <threadedComment ref="S7" dT="2020-06-21T20:17:31.02" personId="{E9AB3D0A-316B-AD4A-AF94-04839F2D6E82}" id="{D502AAE4-5EB0-944D-AF28-5AB1E49B7AF0}">
    <text>$7.992,407 QO</text>
  </threadedComment>
  <threadedComment ref="R8" dT="2020-06-21T20:18:41.72" personId="{E9AB3D0A-316B-AD4A-AF94-04839F2D6E82}" id="{3A60A069-7DFC-1646-B1F4-D2C86B37AE37}">
    <text>$7,459,974 QO</text>
  </threadedComment>
  <threadedComment ref="Q9" dT="2020-06-21T20:21:17.61" personId="{E9AB3D0A-316B-AD4A-AF94-04839F2D6E82}" id="{3C29C3F4-5888-5F44-9260-E65699C50F44}">
    <text>$2,023,150 QO
Bird</text>
  </threadedComment>
  <threadedComment ref="Q11" dT="2020-06-21T20:22:42.13" personId="{E9AB3D0A-316B-AD4A-AF94-04839F2D6E82}" id="{062723C8-8B03-C748-981D-ADB480DAC4C1}">
    <text>OLD: fully NG, fully gt on 7/15/21
If waived, Early Bird RFA</text>
  </threadedComment>
  <threadedComment ref="R11" dT="2020-06-21T20:22:52.79" personId="{E9AB3D0A-316B-AD4A-AF94-04839F2D6E82}" id="{50A75944-6558-134F-8B25-FB6596CF081C}">
    <text>$2,228,276 QO
Bird</text>
  </threadedComment>
  <threadedComment ref="P12" dT="2020-06-21T20:24:34.08" personId="{E9AB3D0A-316B-AD4A-AF94-04839F2D6E82}" id="{812BE0B6-40AB-EE4B-963C-C7F5304A0470}">
    <text>fully NG, “7/15/20” gt date
If waived, Non Bird RFA</text>
  </threadedComment>
  <threadedComment ref="Q12" dT="2020-06-21T20:24:59.42" personId="{E9AB3D0A-316B-AD4A-AF94-04839F2D6E82}" id="{AB8D9317-5AAF-0A48-BC2B-7F310423271B}">
    <text>OLD: fully NG, fully gt on 7/15/21
If waived, Early Bird RFA</text>
  </threadedComment>
  <threadedComment ref="R12" dT="2020-06-21T20:25:10.62" personId="{E9AB3D0A-316B-AD4A-AF94-04839F2D6E82}" id="{6664B0B4-8263-A64A-92CA-3FB26426DFB1}">
    <text>$2,228,276 QO
Bird</text>
  </threadedComment>
  <threadedComment ref="P13" dT="2020-06-21T20:26:44.57" personId="{E9AB3D0A-316B-AD4A-AF94-04839F2D6E82}" id="{CCD5362B-32A1-724E-861B-A0ED90E3F844}">
    <text>fully NG, $100,000 gt on “8/1/20”, fully gt on league wide cutdown date (late Feb 2021?)
If waived, Non Bird RFA</text>
  </threadedComment>
  <threadedComment ref="Q13" dT="2020-06-21T20:27:08.98" personId="{E9AB3D0A-316B-AD4A-AF94-04839F2D6E82}" id="{38382338-6AD7-D446-BD6A-B278F245E059}">
    <text>OLD: fully NG, fully gt on 8/1/20
If waived, Early Bird RFA</text>
  </threadedComment>
  <threadedComment ref="R13" dT="2020-06-21T20:27:29.88" personId="{E9AB3D0A-316B-AD4A-AF94-04839F2D6E82}" id="{089E3C89-582D-C643-8E74-697CBBDDB8B8}">
    <text>OLD: 6/29/22 deadline
fully NG, fully gt on 8/1/22
If waived, Bird RFA</text>
  </threadedComment>
  <threadedComment ref="S13" dT="2020-06-21T20:27:35.76" personId="{E9AB3D0A-316B-AD4A-AF94-04839F2D6E82}" id="{C8F9FFDA-57C9-C84D-B167-D5BC1FDDB32D}">
    <text>Bird</text>
  </threadedComment>
  <threadedComment ref="P16" dT="2020-11-21T19:24:24.84" personId="{E9AB3D0A-316B-AD4A-AF94-04839F2D6E82}" id="{516D2331-BA4C-7043-964C-49B5E9193899}">
    <text>Nic Batum</text>
  </threadedComment>
  <threadedComment ref="Q16" dT="2020-11-21T19:24:24.84" personId="{E9AB3D0A-316B-AD4A-AF94-04839F2D6E82}" id="{48BB5C3B-BF45-F841-B26B-CDABECA2517E}">
    <text>Nic Batum</text>
  </threadedComment>
  <threadedComment ref="R16" dT="2020-11-21T19:24:24.84" personId="{E9AB3D0A-316B-AD4A-AF94-04839F2D6E82}" id="{38719E4A-6B31-EA4B-A88C-CBFBB95BCC26}">
    <text>Nic Batum</text>
  </threadedComment>
  <threadedComment ref="P22" dT="2020-06-22T15:51:18.19" personId="{E9AB3D0A-316B-AD4A-AF94-04839F2D6E82}" id="{9F235578-18F0-0648-9E09-9DF877A2B48B}">
    <text>2W QO
Non Bird</text>
  </threadedComment>
  <threadedComment ref="P26" dT="2020-06-21T20:32:42.24" personId="{E9AB3D0A-316B-AD4A-AF94-04839F2D6E82}" id="{F5008E5E-1002-3140-9D8A-89947583B7E4}">
    <text>8 players: Nic Batum / Terry Rozier / Cody Zeller / Malik Monk / PJ Washington / Miles Bridges / Cody Martin / Ray Spalding (2W)
2020 1st (#3)
2020 CLE 2nd (#32)
2020 BOS 2nd (#56)
Bismack Biyombo (Bird)
Willy Hernangomez (Bird)
Dwayne Bacon (Bird RFA if QO)
Devonte Graham (NG)
Caleb Martin (NG)
Jalen McDaniels (NG)
Kobi Simmons (2W RFA)</text>
  </threadedComment>
  <threadedComment ref="P27" dT="2020-06-21T20:34:33.55" personId="{E9AB3D0A-316B-AD4A-AF94-04839F2D6E82}" id="{692A440C-2519-E746-A16A-3D990B098DD4}">
    <text>11 players: Nic Batum / Terry Rozier / Cody Zeller / Malik Monk / PJ Washington / Miles Bridges / Devonte Graham (NG) / Cody Martin / Caleb Martin (NG) / Jalen McDaniels (NG) / Ray Spalding (2W)
2020 1st (#3)
2020 CLE 2nd (#32)
2020 BOS 2nd (#56)
Bismack Biyombo (Bird)
Willy Hernangomez (Bird)
Dwayne Bacon (Bird RFA if QO)
Kobi Simmons (2W RFA)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89EC71EA-481F-3049-B954-579F43A3F3B7}">
    <text>per Cleaning The Glass</text>
  </threadedComment>
  <threadedComment ref="W1" dT="2020-06-20T21:07:04.55" personId="{E9AB3D0A-316B-AD4A-AF94-04839F2D6E82}" id="{09C69BEE-989A-3C4A-A675-CB00B842CE8C}">
    <text>per Basketball Reference</text>
  </threadedComment>
  <threadedComment ref="Q2" dT="2020-06-22T15:52:39.36" personId="{E9AB3D0A-316B-AD4A-AF94-04839F2D6E82}" id="{C1D86089-363C-2942-9FCA-DAE1BB0CBFB6}">
    <text>Bird</text>
  </threadedComment>
  <threadedComment ref="R3" dT="2020-06-22T15:54:20.61" personId="{E9AB3D0A-316B-AD4A-AF94-04839F2D6E82}" id="{92BA5416-418C-B14B-8DC2-1870BC56F3EA}">
    <text>Bird</text>
  </threadedComment>
  <threadedComment ref="Q4" dT="2020-06-22T16:03:07.67" personId="{E9AB3D0A-316B-AD4A-AF94-04839F2D6E82}" id="{AC24FD62-2BAE-1844-B1E8-0428884105B3}">
    <text>OLD: $6,000,000 gt, fully gt on 6/30/21
If waived, Early Bird</text>
  </threadedComment>
  <threadedComment ref="R4" dT="2020-06-22T16:03:13.95" personId="{E9AB3D0A-316B-AD4A-AF94-04839F2D6E82}" id="{86D45429-E43B-D24A-9A6F-980B9225B9DC}">
    <text>Bird</text>
  </threadedComment>
  <threadedComment ref="Q5" dT="2020-06-22T16:04:25.35" personId="{E9AB3D0A-316B-AD4A-AF94-04839F2D6E82}" id="{80D1494F-52AA-7D4E-8792-E62E3CE1D69D}">
    <text>OLD: $5,000,000 gt, fully gt on 6/30/21
If waived, Early Bird</text>
  </threadedComment>
  <threadedComment ref="R5" dT="2020-06-22T16:04:31.57" personId="{E9AB3D0A-316B-AD4A-AF94-04839F2D6E82}" id="{ED02CB4B-7018-2843-AAD7-09195A673C0A}">
    <text>Bird</text>
  </threadedComment>
  <threadedComment ref="Q6" dT="2020-06-22T16:05:07.39" personId="{E9AB3D0A-316B-AD4A-AF94-04839F2D6E82}" id="{48468BDB-5579-3B4F-89C2-5366801CFFD8}">
    <text>Bird</text>
  </threadedComment>
  <threadedComment ref="Q8" dT="2020-06-22T16:07:07.66" personId="{E9AB3D0A-316B-AD4A-AF94-04839F2D6E82}" id="{0A3FA96C-C217-BD43-9A49-FE0BCD1E89FE}">
    <text>$9,026,852 QO</text>
  </threadedComment>
  <threadedComment ref="S9" dT="2020-06-22T16:06:52.46" personId="{E9AB3D0A-316B-AD4A-AF94-04839F2D6E82}" id="{EADA75DE-1B3F-1241-9BA8-E0B56E4DCEC4}">
    <text>$9,942,114 QO</text>
  </threadedComment>
  <threadedComment ref="R10" dT="2020-06-22T16:07:22.41" personId="{E9AB3D0A-316B-AD4A-AF94-04839F2D6E82}" id="{E7D45FC7-7EA6-6F42-ADEE-A8615B8FBA69}">
    <text>$9,279,756 QO</text>
  </threadedComment>
  <threadedComment ref="Q13" dT="2020-06-22T16:08:22.97" personId="{E9AB3D0A-316B-AD4A-AF94-04839F2D6E82}" id="{A1AD459C-2F87-014D-B607-DDA082E97184}">
    <text>OLD: 6/29/21 deadline
If declined, Bird</text>
  </threadedComment>
  <threadedComment ref="R13" dT="2020-06-22T16:08:31.83" personId="{E9AB3D0A-316B-AD4A-AF94-04839F2D6E82}" id="{CF8EB2F4-FF09-1A4F-9F44-23C7E6616520}">
    <text>Bird</text>
  </threadedComment>
  <threadedComment ref="R14" dT="2020-06-22T16:08:53.99" personId="{E9AB3D0A-316B-AD4A-AF94-04839F2D6E82}" id="{CFBF1B6F-C431-BC43-B1C5-ECCF53A53E75}">
    <text>$5,820,177 QO</text>
  </threadedComment>
  <threadedComment ref="Q15" dT="2020-06-22T16:09:11.24" personId="{E9AB3D0A-316B-AD4A-AF94-04839F2D6E82}" id="{BC4F9412-7900-CF42-8EB3-16EE94D3B588}">
    <text>Early Bird</text>
  </threadedComment>
  <threadedComment ref="Q17" dT="2020-06-22T16:11:21.16" personId="{E9AB3D0A-316B-AD4A-AF94-04839F2D6E82}" id="{148980AC-23D1-4945-870F-49AB10842E96}">
    <text>OLD: fully NG, fully gt on 1/10/22
If waived, Early Bird RFA</text>
  </threadedComment>
  <threadedComment ref="R17" dT="2020-06-22T16:11:48.87" personId="{E9AB3D0A-316B-AD4A-AF94-04839F2D6E82}" id="{2A2CC1CB-73BE-874A-9004-5BDCC09AB86F}">
    <text>6/29/22 deadline
fully NG, fully gt on 1/10/23
If declined, Bird RFA</text>
  </threadedComment>
  <threadedComment ref="S17" dT="2020-06-22T16:12:00.92" personId="{E9AB3D0A-316B-AD4A-AF94-04839F2D6E82}" id="{679BA8F6-13E4-674C-84AC-0F29E0D52F79}">
    <text>Bird</text>
  </threadedComment>
  <threadedComment ref="P24" dT="2020-06-22T16:10:17.83" personId="{E9AB3D0A-316B-AD4A-AF94-04839F2D6E82}" id="{0969BDC5-1670-CD45-8387-51516F517EB2}">
    <text>Early Bird</text>
  </threadedComment>
  <threadedComment ref="P25" dT="2020-06-22T15:52:11.86" personId="{E9AB3D0A-316B-AD4A-AF94-04839F2D6E82}" id="{02BAF654-7609-4F41-BD5F-3B8380B0E45A}">
    <text>2W QO
Non Bird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FB1B35AC-ECD9-5345-8162-219FFC326538}">
    <text>per Cleaning The Glass</text>
  </threadedComment>
  <threadedComment ref="W1" dT="2020-06-20T21:07:04.55" personId="{E9AB3D0A-316B-AD4A-AF94-04839F2D6E82}" id="{6626430C-90CB-2843-AD02-89E208850746}">
    <text>per Basketball Reference</text>
  </threadedComment>
  <threadedComment ref="S2" dT="2020-06-22T16:25:48.34" personId="{E9AB3D0A-316B-AD4A-AF94-04839F2D6E82}" id="{0A0EAB08-B3C7-D142-BB9A-40B8623B1ED0}">
    <text>Bird</text>
  </threadedComment>
  <threadedComment ref="Q3" dT="2020-06-22T16:33:56.39" personId="{E9AB3D0A-316B-AD4A-AF94-04839F2D6E82}" id="{6E99AD46-033B-4E45-9D09-52A5FAC6E954}">
    <text>Bird</text>
  </threadedComment>
  <threadedComment ref="S4" dT="2020-06-22T16:37:20.17" personId="{E9AB3D0A-316B-AD4A-AF94-04839F2D6E82}" id="{29FC440B-159E-474F-8CDE-38A832736190}">
    <text>Bird</text>
  </threadedComment>
  <threadedComment ref="Q5" dT="2020-06-22T16:39:36.30" personId="{E9AB3D0A-316B-AD4A-AF94-04839F2D6E82}" id="{F86E1261-06F5-5F4C-A0EF-C2991C25A0D6}">
    <text>Bird</text>
  </threadedComment>
  <threadedComment ref="S6" dT="2020-06-22T16:45:02.65" personId="{E9AB3D0A-316B-AD4A-AF94-04839F2D6E82}" id="{9B01E700-77C8-6443-ACE5-775854499132}">
    <text>OLD: fully NG, fully gt on 6/29/23
If waived, Bird
$14,109,567 cap hold</text>
  </threadedComment>
  <threadedComment ref="T6" dT="2020-06-22T16:45:30.84" personId="{E9AB3D0A-316B-AD4A-AF94-04839F2D6E82}" id="{67544A7D-0FB0-FE4C-BDCE-1EA2FB3C42CB}">
    <text>Bird</text>
  </threadedComment>
  <threadedComment ref="S7" dT="2020-06-22T16:42:59.39" personId="{E9AB3D0A-316B-AD4A-AF94-04839F2D6E82}" id="{D60BFADB-8172-2C42-B8EE-667AF0DCDD45}">
    <text>$11,828,974 QO</text>
  </threadedComment>
  <threadedComment ref="R9" dT="2020-06-22T16:43:12.25" personId="{E9AB3D0A-316B-AD4A-AF94-04839F2D6E82}" id="{86C4AE70-6EFD-AE41-B1BF-D082FAB5FADF}">
    <text>$8,559,357 QO</text>
  </threadedComment>
  <threadedComment ref="S11" dT="2020-06-23T15:00:55.01" personId="{E9AB3D0A-316B-AD4A-AF94-04839F2D6E82}" id="{0CFC017F-C1BA-5046-898F-73DD5D55ACF4}">
    <text>$5,959,022 QO</text>
  </threadedComment>
  <threadedComment ref="S12" dT="2020-06-23T15:20:09.80" personId="{E9AB3D0A-316B-AD4A-AF94-04839F2D6E82}" id="{73782FC0-AE83-A846-9225-E378EC5A5185}">
    <text>$4,826,447 QO</text>
  </threadedComment>
  <threadedComment ref="P15" dT="2020-11-16T03:49:53.59" personId="{E9AB3D0A-316B-AD4A-AF94-04839F2D6E82}" id="{FABB760E-61C9-B848-8903-C747AC808EE1}">
    <text>fully NG, fully gt on league wide cutdown date (late Feb 2021?)
If waived, Non Bird RFA</text>
  </threadedComment>
  <threadedComment ref="P18" dT="2020-06-23T15:25:39.74" personId="{E9AB3D0A-316B-AD4A-AF94-04839F2D6E82}" id="{82A2FAD9-E5BC-EA4E-9E08-2DF3102C298A}">
    <text>JR Smith</text>
  </threadedComment>
  <threadedComment ref="Q18" dT="2020-06-23T15:25:45.07" personId="{E9AB3D0A-316B-AD4A-AF94-04839F2D6E82}" id="{446B217F-F2A5-8F4D-8025-0F88E78F4445}">
    <text>JR Smith</text>
  </threadedComment>
  <threadedComment ref="P20" dT="2020-06-23T14:59:14.76" personId="{E9AB3D0A-316B-AD4A-AF94-04839F2D6E82}" id="{0553A1C4-E94E-C347-8201-0068A226D66E}">
    <text>Bird
(CLE cannot pay more than $3.872,215 in FA)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85FD8755-EDAB-4B48-BFF4-65A3614784AF}">
    <text>per Cleaning The Glass</text>
  </threadedComment>
  <threadedComment ref="W1" dT="2020-06-20T21:07:04.55" personId="{E9AB3D0A-316B-AD4A-AF94-04839F2D6E82}" id="{78226CC8-F652-3044-BCBE-30EDB51A30B2}">
    <text>per Basketball Reference</text>
  </threadedComment>
  <threadedComment ref="S2" dT="2020-06-23T15:56:08.39" personId="{E9AB3D0A-316B-AD4A-AF94-04839F2D6E82}" id="{C48CDD8B-36A9-9A4D-BD8B-DDBAA98D0E34}">
    <text>OLD: 6/29/23 deadline
$41,343,900 cap hold
Bird</text>
  </threadedComment>
  <threadedComment ref="T2" dT="2020-06-23T15:56:12.88" personId="{E9AB3D0A-316B-AD4A-AF94-04839F2D6E82}" id="{B7C1E58D-C269-FA45-AE04-B2A81E41BA33}">
    <text>Bird</text>
  </threadedComment>
  <threadedComment ref="Q3" dT="2020-06-23T15:58:36.81" personId="{E9AB3D0A-316B-AD4A-AF94-04839F2D6E82}" id="{B3F8462B-4A3A-AE47-A212-7082F2E42B85}">
    <text>Bird</text>
  </threadedComment>
  <threadedComment ref="S5" dT="2020-06-23T16:03:09.75" personId="{E9AB3D0A-316B-AD4A-AF94-04839F2D6E82}" id="{771F7486-FC99-C446-89E5-01615B4B36E9}">
    <text>Bird</text>
  </threadedComment>
  <threadedComment ref="R7" dT="2020-06-24T17:18:53.10" personId="{E9AB3D0A-316B-AD4A-AF94-04839F2D6E82}" id="{59F3A3A5-E2EC-9540-B2F3-E5689E3F187A}">
    <text>OLD: fully NG, fully gt on 7/3/22
If waived, Bird
$16,957,500 cap hold</text>
  </threadedComment>
  <threadedComment ref="S7" dT="2020-06-24T17:19:03.57" personId="{E9AB3D0A-316B-AD4A-AF94-04839F2D6E82}" id="{9208A7DB-AEF0-FE4D-B2FB-6DA7F7C97FEB}">
    <text>Bird</text>
  </threadedComment>
  <threadedComment ref="R8" dT="2020-06-24T17:19:27.17" personId="{E9AB3D0A-316B-AD4A-AF94-04839F2D6E82}" id="{E96AF1E5-A26D-EC42-8E55-B583C73DBD82}">
    <text>$13,348,801 QO</text>
  </threadedComment>
  <threadedComment ref="R10" dT="2020-06-24T17:20:03.02" personId="{E9AB3D0A-316B-AD4A-AF94-04839F2D6E82}" id="{5A2CB85B-518C-394A-A451-48FCF5E9D5F9}">
    <text>Bird</text>
  </threadedComment>
  <threadedComment ref="Q11" dT="2020-06-24T17:21:29.12" personId="{E9AB3D0A-316B-AD4A-AF94-04839F2D6E82}" id="{F9152DEF-8E52-4945-83C1-7912E91AF058}">
    <text>Early Bird</text>
  </threadedComment>
  <threadedComment ref="Q15" dT="2020-06-24T17:23:55.07" personId="{E9AB3D0A-316B-AD4A-AF94-04839F2D6E82}" id="{C8766292-0AE9-F34E-9443-75C22E0AA4CF}">
    <text>OLD: fully NG, fully gt on 6/30/21
If waived, Bird RFA</text>
  </threadedComment>
  <threadedComment ref="R15" dT="2020-06-24T17:24:04.39" personId="{E9AB3D0A-316B-AD4A-AF94-04839F2D6E82}" id="{2A522AE2-7E39-BA4F-97F2-74294BC813AA}">
    <text>Bird</text>
  </threadedComment>
  <threadedComment ref="P22" dT="2020-06-23T16:02:26.28" personId="{E9AB3D0A-316B-AD4A-AF94-04839F2D6E82}" id="{C950B469-C34F-C74B-8BC0-C11B7E6D3A00}">
    <text>Bird</text>
  </threadedComment>
  <threadedComment ref="P23" dT="2020-06-24T17:23:28.18" personId="{E9AB3D0A-316B-AD4A-AF94-04839F2D6E82}" id="{7ED19762-F296-5141-BD13-12BD6E107C8D}">
    <text>Non Bird</text>
  </threadedComment>
  <threadedComment ref="P24" dT="2020-06-24T17:24:17.60" personId="{E9AB3D0A-316B-AD4A-AF94-04839F2D6E82}" id="{65D3AE3E-A41F-3E4F-B95A-CD22ABB2AC51}">
    <text>2W QO
Min cap hold</text>
  </threadedComment>
  <threadedComment ref="P25" dT="2020-06-24T17:24:17.60" personId="{E9AB3D0A-316B-AD4A-AF94-04839F2D6E82}" id="{56EC9118-F529-F94B-99BA-BF94933F217F}">
    <text>2W QO
Min cap hold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9317C884-CDC6-B443-84E2-161F158F98A7}">
    <text>per Cleaning The Glass</text>
  </threadedComment>
  <threadedComment ref="W1" dT="2020-06-20T21:07:04.55" personId="{E9AB3D0A-316B-AD4A-AF94-04839F2D6E82}" id="{2635B09E-19B2-9A40-8ECC-A5103B8B4F6A}">
    <text>per Basketball Reference</text>
  </threadedComment>
  <threadedComment ref="S2" dT="2020-06-24T15:04:17.57" personId="{E9AB3D0A-316B-AD4A-AF94-04839F2D6E82}" id="{62782ABE-CAA7-B944-868A-650BBE00CED7}">
    <text>Bird</text>
  </threadedComment>
  <threadedComment ref="R4" dT="2020-06-24T15:11:01.23" personId="{E9AB3D0A-316B-AD4A-AF94-04839F2D6E82}" id="{425A42DC-B55D-F94C-AEBB-494E424E9D1D}">
    <text>Bird</text>
  </threadedComment>
  <threadedComment ref="Q5" dT="2020-06-24T15:36:59.38" personId="{E9AB3D0A-316B-AD4A-AF94-04839F2D6E82}" id="{6EAF1234-D0D3-184F-8394-2BF4770AE2AF}">
    <text>OLD: 6/29/21 deadline
$20,584,821 cap hold
Bird</text>
  </threadedComment>
  <threadedComment ref="R5" dT="2020-06-24T15:37:05.19" personId="{E9AB3D0A-316B-AD4A-AF94-04839F2D6E82}" id="{4A6819A7-65A3-194D-81EC-8985EC73BF3C}">
    <text>Bird</text>
  </threadedComment>
  <threadedComment ref="R8" dT="2020-06-24T15:42:38.24" personId="{E9AB3D0A-316B-AD4A-AF94-04839F2D6E82}" id="{221E9590-317B-FB4D-8883-A0041E03B095}">
    <text>$7,314,900 QO</text>
  </threadedComment>
  <threadedComment ref="P13" dT="2020-08-16T00:09:24.26" personId="{E9AB3D0A-316B-AD4A-AF94-04839F2D6E82}" id="{0C7AF2A9-6740-F54C-9D13-2BD9DAF03153}">
    <text>$1,200,000 gt, fully gt on league-wide cutdown date (late Feb 2021?)</text>
  </threadedComment>
  <threadedComment ref="Q14" dT="2020-06-24T15:44:38.79" personId="{E9AB3D0A-316B-AD4A-AF94-04839F2D6E82}" id="{D12D13EC-7E21-A540-90FC-8DD7F6381874}">
    <text>Bird</text>
  </threadedComment>
  <threadedComment ref="Q16" dT="2020-06-24T15:46:10.49" personId="{E9AB3D0A-316B-AD4A-AF94-04839F2D6E82}" id="{20429DDF-B379-AA46-A467-9FF287AF06C7}">
    <text>OLD: fully NG, fully gt on 7/1/21</text>
  </threadedComment>
  <threadedComment ref="R16" dT="2020-06-24T15:46:20.86" personId="{E9AB3D0A-316B-AD4A-AF94-04839F2D6E82}" id="{D877378C-47A4-3643-A8C9-264F9E7F899F}">
    <text>$2,228,276 QO
Bird</text>
  </threadedComment>
  <threadedComment ref="P21" dT="2020-06-24T15:46:27.94" personId="{E9AB3D0A-316B-AD4A-AF94-04839F2D6E82}" id="{997F9510-DE9A-B546-8722-9BAC32A19908}">
    <text>Non Bird
Minimum cap hold</text>
  </threadedComment>
  <threadedComment ref="P22" dT="2020-06-24T15:46:27.94" personId="{E9AB3D0A-316B-AD4A-AF94-04839F2D6E82}" id="{350F842B-9E23-4B49-9ED4-B8690BAAD2D1}">
    <text>Non Bird
Minimum cap hold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" dT="2020-06-20T19:55:49.92" personId="{E9AB3D0A-316B-AD4A-AF94-04839F2D6E82}" id="{55359452-250A-3945-A796-37439920F6D9}">
    <text>per Cleaning The Glass</text>
  </threadedComment>
  <threadedComment ref="W1" dT="2020-06-20T21:07:04.55" personId="{E9AB3D0A-316B-AD4A-AF94-04839F2D6E82}" id="{6927DFE0-BA3C-CF4A-9866-9113E78C5C97}">
    <text>per Basketball Reference</text>
  </threadedComment>
  <threadedComment ref="Q2" dT="2020-06-25T15:49:54.12" personId="{E9AB3D0A-316B-AD4A-AF94-04839F2D6E82}" id="{3D47BBFF-0DEE-3041-8134-088717A67F36}">
    <text>OLD: 6/29/21 deadline
$43,750,000 cap hold
Bird</text>
  </threadedComment>
  <threadedComment ref="R2" dT="2020-06-25T15:49:59.84" personId="{E9AB3D0A-316B-AD4A-AF94-04839F2D6E82}" id="{6D647591-4692-4C40-90DE-9B92561FDF7F}">
    <text>Bird</text>
  </threadedComment>
  <threadedComment ref="R4" dT="2020-06-23T16:03:44.60" personId="{E9AB3D0A-316B-AD4A-AF94-04839F2D6E82}" id="{0AC452C7-2AA4-A248-96D0-5E14B1FA5775}">
    <text>Bird</text>
  </threadedComment>
  <threadedComment ref="Q6" dT="2020-06-26T01:09:18.02" personId="{E9AB3D0A-316B-AD4A-AF94-04839F2D6E82}" id="{86E3F769-F227-2847-9401-F59E1DF78327}">
    <text>Early Bird</text>
  </threadedComment>
  <threadedComment ref="S8" dT="2020-06-26T02:31:42.99" personId="{E9AB3D0A-316B-AD4A-AF94-04839F2D6E82}" id="{E207842B-99AA-8D41-85FA-0819613249E7}">
    <text>$7,744,600 QO</text>
  </threadedComment>
  <threadedComment ref="R11" dT="2020-06-21T01:55:48.46" personId="{E9AB3D0A-316B-AD4A-AF94-04839F2D6E82}" id="{DB9E52F1-FA67-C24A-92D1-965DAD22E08A}">
    <text>$5,422,581 QO</text>
  </threadedComment>
  <threadedComment ref="Q13" dT="2020-06-26T02:34:29.00" personId="{E9AB3D0A-316B-AD4A-AF94-04839F2D6E82}" id="{AB693815-EC48-7943-80BC-1DBE4FF5EFDE}">
    <text>$2,122,822 QO
Bird</text>
  </threadedComment>
  <threadedComment ref="P17" dT="2020-11-21T03:40:24.33" personId="{E9AB3D0A-316B-AD4A-AF94-04839F2D6E82}" id="{145870AC-379D-5D46-A8B1-D85318761C7B}">
    <text>Dedmon / McGruder / Z. Smith</text>
  </threadedComment>
  <threadedComment ref="Q17" dT="2020-11-21T03:40:24.33" personId="{E9AB3D0A-316B-AD4A-AF94-04839F2D6E82}" id="{4AEF6023-B133-2149-918C-7CD9DF547439}">
    <text>Dedmon / McGruder / Z. Smith</text>
  </threadedComment>
  <threadedComment ref="R17" dT="2020-11-21T03:40:24.33" personId="{E9AB3D0A-316B-AD4A-AF94-04839F2D6E82}" id="{4CB4DAF0-F199-EE4A-BB52-9E7A71E08A87}">
    <text>Dedmon / McGruder / Z. Smith</text>
  </threadedComment>
  <threadedComment ref="S17" dT="2020-11-21T03:40:24.33" personId="{E9AB3D0A-316B-AD4A-AF94-04839F2D6E82}" id="{3ED2CACD-4FD4-1B4F-8C23-5564B744F865}">
    <text>Dedmon / McGruder</text>
  </threadedComment>
  <threadedComment ref="T17" dT="2020-11-21T03:40:24.33" personId="{E9AB3D0A-316B-AD4A-AF94-04839F2D6E82}" id="{74BC4D36-9DFF-F140-8961-BDE91AE20BD6}">
    <text>Dedmon / McGruder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HOU/2013.html" TargetMode="External"/><Relationship Id="rId13" Type="http://schemas.microsoft.com/office/2017/10/relationships/threadedComment" Target="../threadedComments/threadedComment11.xml"/><Relationship Id="rId3" Type="http://schemas.openxmlformats.org/officeDocument/2006/relationships/hyperlink" Target="https://www.basketball-reference.com/teams/HOU/2018.html" TargetMode="External"/><Relationship Id="rId7" Type="http://schemas.openxmlformats.org/officeDocument/2006/relationships/hyperlink" Target="https://www.basketball-reference.com/teams/HOU/2014.html" TargetMode="External"/><Relationship Id="rId12" Type="http://schemas.openxmlformats.org/officeDocument/2006/relationships/comments" Target="../comments11.xml"/><Relationship Id="rId2" Type="http://schemas.openxmlformats.org/officeDocument/2006/relationships/hyperlink" Target="https://www.basketball-reference.com/teams/HOU/2019.html" TargetMode="External"/><Relationship Id="rId1" Type="http://schemas.openxmlformats.org/officeDocument/2006/relationships/hyperlink" Target="https://www.basketball-reference.com/teams/HOU/2020.html" TargetMode="External"/><Relationship Id="rId6" Type="http://schemas.openxmlformats.org/officeDocument/2006/relationships/hyperlink" Target="https://www.basketball-reference.com/teams/HOU/2015.html" TargetMode="External"/><Relationship Id="rId11" Type="http://schemas.openxmlformats.org/officeDocument/2006/relationships/vmlDrawing" Target="../drawings/vmlDrawing11.vml"/><Relationship Id="rId5" Type="http://schemas.openxmlformats.org/officeDocument/2006/relationships/hyperlink" Target="https://www.basketball-reference.com/teams/HOU/2016.html" TargetMode="External"/><Relationship Id="rId10" Type="http://schemas.openxmlformats.org/officeDocument/2006/relationships/hyperlink" Target="https://www.basketball-reference.com/teams/HOU/2011.html" TargetMode="External"/><Relationship Id="rId4" Type="http://schemas.openxmlformats.org/officeDocument/2006/relationships/hyperlink" Target="https://www.basketball-reference.com/teams/HOU/2017.html" TargetMode="External"/><Relationship Id="rId9" Type="http://schemas.openxmlformats.org/officeDocument/2006/relationships/hyperlink" Target="https://www.basketball-reference.com/teams/HOU/2012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IND/2013.html" TargetMode="External"/><Relationship Id="rId13" Type="http://schemas.microsoft.com/office/2017/10/relationships/threadedComment" Target="../threadedComments/threadedComment12.xml"/><Relationship Id="rId3" Type="http://schemas.openxmlformats.org/officeDocument/2006/relationships/hyperlink" Target="https://www.basketball-reference.com/teams/IND/2018.html" TargetMode="External"/><Relationship Id="rId7" Type="http://schemas.openxmlformats.org/officeDocument/2006/relationships/hyperlink" Target="https://www.basketball-reference.com/teams/IND/2014.html" TargetMode="External"/><Relationship Id="rId12" Type="http://schemas.openxmlformats.org/officeDocument/2006/relationships/comments" Target="../comments12.xml"/><Relationship Id="rId2" Type="http://schemas.openxmlformats.org/officeDocument/2006/relationships/hyperlink" Target="https://www.basketball-reference.com/teams/IND/2019.html" TargetMode="External"/><Relationship Id="rId1" Type="http://schemas.openxmlformats.org/officeDocument/2006/relationships/hyperlink" Target="https://www.basketball-reference.com/teams/IND/2020.html" TargetMode="External"/><Relationship Id="rId6" Type="http://schemas.openxmlformats.org/officeDocument/2006/relationships/hyperlink" Target="https://www.basketball-reference.com/teams/IND/2015.html" TargetMode="External"/><Relationship Id="rId11" Type="http://schemas.openxmlformats.org/officeDocument/2006/relationships/vmlDrawing" Target="../drawings/vmlDrawing12.vml"/><Relationship Id="rId5" Type="http://schemas.openxmlformats.org/officeDocument/2006/relationships/hyperlink" Target="https://www.basketball-reference.com/teams/IND/2016.html" TargetMode="External"/><Relationship Id="rId10" Type="http://schemas.openxmlformats.org/officeDocument/2006/relationships/hyperlink" Target="https://www.basketball-reference.com/teams/IND/2011.html" TargetMode="External"/><Relationship Id="rId4" Type="http://schemas.openxmlformats.org/officeDocument/2006/relationships/hyperlink" Target="https://www.basketball-reference.com/teams/IND/2017.html" TargetMode="External"/><Relationship Id="rId9" Type="http://schemas.openxmlformats.org/officeDocument/2006/relationships/hyperlink" Target="https://www.basketball-reference.com/teams/IND/2012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MIA/2013.html" TargetMode="External"/><Relationship Id="rId13" Type="http://schemas.microsoft.com/office/2017/10/relationships/threadedComment" Target="../threadedComments/threadedComment16.xml"/><Relationship Id="rId3" Type="http://schemas.openxmlformats.org/officeDocument/2006/relationships/hyperlink" Target="https://www.basketball-reference.com/teams/MIA/2018.html" TargetMode="External"/><Relationship Id="rId7" Type="http://schemas.openxmlformats.org/officeDocument/2006/relationships/hyperlink" Target="https://www.basketball-reference.com/teams/MIA/2014.html" TargetMode="External"/><Relationship Id="rId12" Type="http://schemas.openxmlformats.org/officeDocument/2006/relationships/comments" Target="../comments16.xml"/><Relationship Id="rId2" Type="http://schemas.openxmlformats.org/officeDocument/2006/relationships/hyperlink" Target="https://www.basketball-reference.com/teams/MIA/2019.html" TargetMode="External"/><Relationship Id="rId1" Type="http://schemas.openxmlformats.org/officeDocument/2006/relationships/hyperlink" Target="https://www.basketball-reference.com/teams/MIA/2020.html" TargetMode="External"/><Relationship Id="rId6" Type="http://schemas.openxmlformats.org/officeDocument/2006/relationships/hyperlink" Target="https://www.basketball-reference.com/teams/MIA/2015.html" TargetMode="External"/><Relationship Id="rId11" Type="http://schemas.openxmlformats.org/officeDocument/2006/relationships/vmlDrawing" Target="../drawings/vmlDrawing16.vml"/><Relationship Id="rId5" Type="http://schemas.openxmlformats.org/officeDocument/2006/relationships/hyperlink" Target="https://www.basketball-reference.com/teams/MIA/2016.html" TargetMode="External"/><Relationship Id="rId10" Type="http://schemas.openxmlformats.org/officeDocument/2006/relationships/hyperlink" Target="https://www.basketball-reference.com/teams/MIA/2011.html" TargetMode="External"/><Relationship Id="rId4" Type="http://schemas.openxmlformats.org/officeDocument/2006/relationships/hyperlink" Target="https://www.basketball-reference.com/teams/MIA/2017.html" TargetMode="External"/><Relationship Id="rId9" Type="http://schemas.openxmlformats.org/officeDocument/2006/relationships/hyperlink" Target="https://www.basketball-reference.com/teams/MIA/2012.html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MIL/2013.html" TargetMode="External"/><Relationship Id="rId13" Type="http://schemas.microsoft.com/office/2017/10/relationships/threadedComment" Target="../threadedComments/threadedComment17.xml"/><Relationship Id="rId3" Type="http://schemas.openxmlformats.org/officeDocument/2006/relationships/hyperlink" Target="https://www.basketball-reference.com/teams/MIL/2018.html" TargetMode="External"/><Relationship Id="rId7" Type="http://schemas.openxmlformats.org/officeDocument/2006/relationships/hyperlink" Target="https://www.basketball-reference.com/teams/MIL/2014.html" TargetMode="External"/><Relationship Id="rId12" Type="http://schemas.openxmlformats.org/officeDocument/2006/relationships/comments" Target="../comments17.xml"/><Relationship Id="rId2" Type="http://schemas.openxmlformats.org/officeDocument/2006/relationships/hyperlink" Target="https://www.basketball-reference.com/teams/MIL/2019.html" TargetMode="External"/><Relationship Id="rId1" Type="http://schemas.openxmlformats.org/officeDocument/2006/relationships/hyperlink" Target="https://www.basketball-reference.com/teams/MIL/2020.html" TargetMode="External"/><Relationship Id="rId6" Type="http://schemas.openxmlformats.org/officeDocument/2006/relationships/hyperlink" Target="https://www.basketball-reference.com/teams/MIL/2015.html" TargetMode="External"/><Relationship Id="rId11" Type="http://schemas.openxmlformats.org/officeDocument/2006/relationships/vmlDrawing" Target="../drawings/vmlDrawing17.vml"/><Relationship Id="rId5" Type="http://schemas.openxmlformats.org/officeDocument/2006/relationships/hyperlink" Target="https://www.basketball-reference.com/teams/MIL/2016.html" TargetMode="External"/><Relationship Id="rId10" Type="http://schemas.openxmlformats.org/officeDocument/2006/relationships/hyperlink" Target="https://www.basketball-reference.com/teams/MIL/2011.html" TargetMode="External"/><Relationship Id="rId4" Type="http://schemas.openxmlformats.org/officeDocument/2006/relationships/hyperlink" Target="https://www.basketball-reference.com/teams/MIL/2017.html" TargetMode="External"/><Relationship Id="rId9" Type="http://schemas.openxmlformats.org/officeDocument/2006/relationships/hyperlink" Target="https://www.basketball-reference.com/teams/MIL/2012.htm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MIN/2013.html" TargetMode="External"/><Relationship Id="rId13" Type="http://schemas.microsoft.com/office/2017/10/relationships/threadedComment" Target="../threadedComments/threadedComment18.xml"/><Relationship Id="rId3" Type="http://schemas.openxmlformats.org/officeDocument/2006/relationships/hyperlink" Target="https://www.basketball-reference.com/teams/MIN/2018.html" TargetMode="External"/><Relationship Id="rId7" Type="http://schemas.openxmlformats.org/officeDocument/2006/relationships/hyperlink" Target="https://www.basketball-reference.com/teams/MIN/2014.html" TargetMode="External"/><Relationship Id="rId12" Type="http://schemas.openxmlformats.org/officeDocument/2006/relationships/comments" Target="../comments18.xml"/><Relationship Id="rId2" Type="http://schemas.openxmlformats.org/officeDocument/2006/relationships/hyperlink" Target="https://www.basketball-reference.com/teams/MIN/2019.html" TargetMode="External"/><Relationship Id="rId1" Type="http://schemas.openxmlformats.org/officeDocument/2006/relationships/hyperlink" Target="https://www.basketball-reference.com/teams/MIN/2020.html" TargetMode="External"/><Relationship Id="rId6" Type="http://schemas.openxmlformats.org/officeDocument/2006/relationships/hyperlink" Target="https://www.basketball-reference.com/teams/MIN/2015.html" TargetMode="External"/><Relationship Id="rId11" Type="http://schemas.openxmlformats.org/officeDocument/2006/relationships/vmlDrawing" Target="../drawings/vmlDrawing18.vml"/><Relationship Id="rId5" Type="http://schemas.openxmlformats.org/officeDocument/2006/relationships/hyperlink" Target="https://www.basketball-reference.com/teams/MIN/2016.html" TargetMode="External"/><Relationship Id="rId10" Type="http://schemas.openxmlformats.org/officeDocument/2006/relationships/hyperlink" Target="https://www.basketball-reference.com/teams/MIN/2011.html" TargetMode="External"/><Relationship Id="rId4" Type="http://schemas.openxmlformats.org/officeDocument/2006/relationships/hyperlink" Target="https://www.basketball-reference.com/teams/MIN/2017.html" TargetMode="External"/><Relationship Id="rId9" Type="http://schemas.openxmlformats.org/officeDocument/2006/relationships/hyperlink" Target="https://www.basketball-reference.com/teams/MIN/2012.htm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NOH/2013.html" TargetMode="External"/><Relationship Id="rId13" Type="http://schemas.microsoft.com/office/2017/10/relationships/threadedComment" Target="../threadedComments/threadedComment19.xml"/><Relationship Id="rId3" Type="http://schemas.openxmlformats.org/officeDocument/2006/relationships/hyperlink" Target="https://www.basketball-reference.com/teams/NOP/2018.html" TargetMode="External"/><Relationship Id="rId7" Type="http://schemas.openxmlformats.org/officeDocument/2006/relationships/hyperlink" Target="https://www.basketball-reference.com/teams/NOP/2014.html" TargetMode="External"/><Relationship Id="rId12" Type="http://schemas.openxmlformats.org/officeDocument/2006/relationships/comments" Target="../comments19.xml"/><Relationship Id="rId2" Type="http://schemas.openxmlformats.org/officeDocument/2006/relationships/hyperlink" Target="https://www.basketball-reference.com/teams/NOP/2019.html" TargetMode="External"/><Relationship Id="rId1" Type="http://schemas.openxmlformats.org/officeDocument/2006/relationships/hyperlink" Target="https://www.basketball-reference.com/teams/NOP/2020.html" TargetMode="External"/><Relationship Id="rId6" Type="http://schemas.openxmlformats.org/officeDocument/2006/relationships/hyperlink" Target="https://www.basketball-reference.com/teams/NOP/2015.html" TargetMode="External"/><Relationship Id="rId11" Type="http://schemas.openxmlformats.org/officeDocument/2006/relationships/vmlDrawing" Target="../drawings/vmlDrawing19.vml"/><Relationship Id="rId5" Type="http://schemas.openxmlformats.org/officeDocument/2006/relationships/hyperlink" Target="https://www.basketball-reference.com/teams/NOP/2016.html" TargetMode="External"/><Relationship Id="rId10" Type="http://schemas.openxmlformats.org/officeDocument/2006/relationships/hyperlink" Target="https://www.basketball-reference.com/teams/NOH/2011.html" TargetMode="External"/><Relationship Id="rId4" Type="http://schemas.openxmlformats.org/officeDocument/2006/relationships/hyperlink" Target="https://www.basketball-reference.com/teams/NOP/2017.html" TargetMode="External"/><Relationship Id="rId9" Type="http://schemas.openxmlformats.org/officeDocument/2006/relationships/hyperlink" Target="https://www.basketball-reference.com/teams/NOH/201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NYK/2013.html" TargetMode="External"/><Relationship Id="rId13" Type="http://schemas.microsoft.com/office/2017/10/relationships/threadedComment" Target="../threadedComments/threadedComment20.xml"/><Relationship Id="rId3" Type="http://schemas.openxmlformats.org/officeDocument/2006/relationships/hyperlink" Target="https://www.basketball-reference.com/teams/NYK/2018.html" TargetMode="External"/><Relationship Id="rId7" Type="http://schemas.openxmlformats.org/officeDocument/2006/relationships/hyperlink" Target="https://www.basketball-reference.com/teams/NYK/2014.html" TargetMode="External"/><Relationship Id="rId12" Type="http://schemas.openxmlformats.org/officeDocument/2006/relationships/comments" Target="../comments20.xml"/><Relationship Id="rId2" Type="http://schemas.openxmlformats.org/officeDocument/2006/relationships/hyperlink" Target="https://www.basketball-reference.com/teams/NYK/2019.html" TargetMode="External"/><Relationship Id="rId1" Type="http://schemas.openxmlformats.org/officeDocument/2006/relationships/hyperlink" Target="https://www.basketball-reference.com/teams/NYK/2020.html" TargetMode="External"/><Relationship Id="rId6" Type="http://schemas.openxmlformats.org/officeDocument/2006/relationships/hyperlink" Target="https://www.basketball-reference.com/teams/NYK/2015.html" TargetMode="External"/><Relationship Id="rId11" Type="http://schemas.openxmlformats.org/officeDocument/2006/relationships/vmlDrawing" Target="../drawings/vmlDrawing20.vml"/><Relationship Id="rId5" Type="http://schemas.openxmlformats.org/officeDocument/2006/relationships/hyperlink" Target="https://www.basketball-reference.com/teams/NYK/2016.html" TargetMode="External"/><Relationship Id="rId10" Type="http://schemas.openxmlformats.org/officeDocument/2006/relationships/hyperlink" Target="https://www.basketball-reference.com/teams/NYK/2011.html" TargetMode="External"/><Relationship Id="rId4" Type="http://schemas.openxmlformats.org/officeDocument/2006/relationships/hyperlink" Target="https://www.basketball-reference.com/teams/NYK/2017.html" TargetMode="External"/><Relationship Id="rId9" Type="http://schemas.openxmlformats.org/officeDocument/2006/relationships/hyperlink" Target="https://www.basketball-reference.com/teams/NYK/2012.htm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OKC/2013.html" TargetMode="External"/><Relationship Id="rId13" Type="http://schemas.microsoft.com/office/2017/10/relationships/threadedComment" Target="../threadedComments/threadedComment21.xml"/><Relationship Id="rId3" Type="http://schemas.openxmlformats.org/officeDocument/2006/relationships/hyperlink" Target="https://www.basketball-reference.com/teams/OKC/2018.html" TargetMode="External"/><Relationship Id="rId7" Type="http://schemas.openxmlformats.org/officeDocument/2006/relationships/hyperlink" Target="https://www.basketball-reference.com/teams/OKC/2014.html" TargetMode="External"/><Relationship Id="rId12" Type="http://schemas.openxmlformats.org/officeDocument/2006/relationships/comments" Target="../comments21.xml"/><Relationship Id="rId2" Type="http://schemas.openxmlformats.org/officeDocument/2006/relationships/hyperlink" Target="https://www.basketball-reference.com/teams/OKC/2019.html" TargetMode="External"/><Relationship Id="rId1" Type="http://schemas.openxmlformats.org/officeDocument/2006/relationships/hyperlink" Target="https://www.basketball-reference.com/teams/OKC/2020.html" TargetMode="External"/><Relationship Id="rId6" Type="http://schemas.openxmlformats.org/officeDocument/2006/relationships/hyperlink" Target="https://www.basketball-reference.com/teams/OKC/2015.html" TargetMode="External"/><Relationship Id="rId11" Type="http://schemas.openxmlformats.org/officeDocument/2006/relationships/vmlDrawing" Target="../drawings/vmlDrawing21.vml"/><Relationship Id="rId5" Type="http://schemas.openxmlformats.org/officeDocument/2006/relationships/hyperlink" Target="https://www.basketball-reference.com/teams/OKC/2016.html" TargetMode="External"/><Relationship Id="rId10" Type="http://schemas.openxmlformats.org/officeDocument/2006/relationships/hyperlink" Target="https://www.basketball-reference.com/teams/OKC/2011.html" TargetMode="External"/><Relationship Id="rId4" Type="http://schemas.openxmlformats.org/officeDocument/2006/relationships/hyperlink" Target="https://www.basketball-reference.com/teams/OKC/2017.html" TargetMode="External"/><Relationship Id="rId9" Type="http://schemas.openxmlformats.org/officeDocument/2006/relationships/hyperlink" Target="https://www.basketball-reference.com/teams/OKC/2012.html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ORL/2012.html" TargetMode="External"/><Relationship Id="rId13" Type="http://schemas.microsoft.com/office/2017/10/relationships/threadedComment" Target="../threadedComments/threadedComment22.xml"/><Relationship Id="rId3" Type="http://schemas.openxmlformats.org/officeDocument/2006/relationships/hyperlink" Target="https://www.basketball-reference.com/teams/ORL/2017.html" TargetMode="External"/><Relationship Id="rId7" Type="http://schemas.openxmlformats.org/officeDocument/2006/relationships/hyperlink" Target="https://www.basketball-reference.com/teams/ORL/2013.html" TargetMode="External"/><Relationship Id="rId12" Type="http://schemas.openxmlformats.org/officeDocument/2006/relationships/comments" Target="../comments22.xml"/><Relationship Id="rId2" Type="http://schemas.openxmlformats.org/officeDocument/2006/relationships/hyperlink" Target="https://www.basketball-reference.com/teams/ORL/2018.html" TargetMode="External"/><Relationship Id="rId1" Type="http://schemas.openxmlformats.org/officeDocument/2006/relationships/hyperlink" Target="https://www.basketball-reference.com/teams/ORL/2019.html" TargetMode="External"/><Relationship Id="rId6" Type="http://schemas.openxmlformats.org/officeDocument/2006/relationships/hyperlink" Target="https://www.basketball-reference.com/teams/ORL/2014.html" TargetMode="External"/><Relationship Id="rId11" Type="http://schemas.openxmlformats.org/officeDocument/2006/relationships/vmlDrawing" Target="../drawings/vmlDrawing22.vml"/><Relationship Id="rId5" Type="http://schemas.openxmlformats.org/officeDocument/2006/relationships/hyperlink" Target="https://www.basketball-reference.com/teams/ORL/2015.html" TargetMode="External"/><Relationship Id="rId10" Type="http://schemas.openxmlformats.org/officeDocument/2006/relationships/hyperlink" Target="https://www.basketball-reference.com/teams/ORL/2020.html" TargetMode="External"/><Relationship Id="rId4" Type="http://schemas.openxmlformats.org/officeDocument/2006/relationships/hyperlink" Target="https://www.basketball-reference.com/teams/ORL/2016.html" TargetMode="External"/><Relationship Id="rId9" Type="http://schemas.openxmlformats.org/officeDocument/2006/relationships/hyperlink" Target="https://www.basketball-reference.com/teams/ORL/2011.html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PHI/2013.html" TargetMode="External"/><Relationship Id="rId13" Type="http://schemas.microsoft.com/office/2017/10/relationships/threadedComment" Target="../threadedComments/threadedComment23.xml"/><Relationship Id="rId3" Type="http://schemas.openxmlformats.org/officeDocument/2006/relationships/hyperlink" Target="https://www.basketball-reference.com/teams/PHI/2018.html" TargetMode="External"/><Relationship Id="rId7" Type="http://schemas.openxmlformats.org/officeDocument/2006/relationships/hyperlink" Target="https://www.basketball-reference.com/teams/PHI/2014.html" TargetMode="External"/><Relationship Id="rId12" Type="http://schemas.openxmlformats.org/officeDocument/2006/relationships/comments" Target="../comments23.xml"/><Relationship Id="rId2" Type="http://schemas.openxmlformats.org/officeDocument/2006/relationships/hyperlink" Target="https://www.basketball-reference.com/teams/PHI/2019.html" TargetMode="External"/><Relationship Id="rId1" Type="http://schemas.openxmlformats.org/officeDocument/2006/relationships/hyperlink" Target="https://www.basketball-reference.com/teams/PHI/2020.html" TargetMode="External"/><Relationship Id="rId6" Type="http://schemas.openxmlformats.org/officeDocument/2006/relationships/hyperlink" Target="https://www.basketball-reference.com/teams/PHI/2015.html" TargetMode="External"/><Relationship Id="rId11" Type="http://schemas.openxmlformats.org/officeDocument/2006/relationships/vmlDrawing" Target="../drawings/vmlDrawing23.vml"/><Relationship Id="rId5" Type="http://schemas.openxmlformats.org/officeDocument/2006/relationships/hyperlink" Target="https://www.basketball-reference.com/teams/PHI/2016.html" TargetMode="External"/><Relationship Id="rId10" Type="http://schemas.openxmlformats.org/officeDocument/2006/relationships/hyperlink" Target="https://www.basketball-reference.com/teams/PHI/2011.html" TargetMode="External"/><Relationship Id="rId4" Type="http://schemas.openxmlformats.org/officeDocument/2006/relationships/hyperlink" Target="https://www.basketball-reference.com/teams/PHI/2017.html" TargetMode="External"/><Relationship Id="rId9" Type="http://schemas.openxmlformats.org/officeDocument/2006/relationships/hyperlink" Target="https://www.basketball-reference.com/teams/PHI/2012.htm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PHO/2013.html" TargetMode="External"/><Relationship Id="rId13" Type="http://schemas.microsoft.com/office/2017/10/relationships/threadedComment" Target="../threadedComments/threadedComment24.xml"/><Relationship Id="rId3" Type="http://schemas.openxmlformats.org/officeDocument/2006/relationships/hyperlink" Target="https://www.basketball-reference.com/teams/PHO/2018.html" TargetMode="External"/><Relationship Id="rId7" Type="http://schemas.openxmlformats.org/officeDocument/2006/relationships/hyperlink" Target="https://www.basketball-reference.com/teams/PHO/2014.html" TargetMode="External"/><Relationship Id="rId12" Type="http://schemas.openxmlformats.org/officeDocument/2006/relationships/comments" Target="../comments24.xml"/><Relationship Id="rId2" Type="http://schemas.openxmlformats.org/officeDocument/2006/relationships/hyperlink" Target="https://www.basketball-reference.com/teams/PHO/2019.html" TargetMode="External"/><Relationship Id="rId1" Type="http://schemas.openxmlformats.org/officeDocument/2006/relationships/hyperlink" Target="https://www.basketball-reference.com/teams/PHO/2020.html" TargetMode="External"/><Relationship Id="rId6" Type="http://schemas.openxmlformats.org/officeDocument/2006/relationships/hyperlink" Target="https://www.basketball-reference.com/teams/PHO/2015.html" TargetMode="External"/><Relationship Id="rId11" Type="http://schemas.openxmlformats.org/officeDocument/2006/relationships/vmlDrawing" Target="../drawings/vmlDrawing24.vml"/><Relationship Id="rId5" Type="http://schemas.openxmlformats.org/officeDocument/2006/relationships/hyperlink" Target="https://www.basketball-reference.com/teams/PHO/2016.html" TargetMode="External"/><Relationship Id="rId10" Type="http://schemas.openxmlformats.org/officeDocument/2006/relationships/hyperlink" Target="https://www.basketball-reference.com/teams/PHO/2011.html" TargetMode="External"/><Relationship Id="rId4" Type="http://schemas.openxmlformats.org/officeDocument/2006/relationships/hyperlink" Target="https://www.basketball-reference.com/teams/PHO/2017.html" TargetMode="External"/><Relationship Id="rId9" Type="http://schemas.openxmlformats.org/officeDocument/2006/relationships/hyperlink" Target="https://www.basketball-reference.com/teams/PHO/2012.html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POR/2013.html" TargetMode="External"/><Relationship Id="rId13" Type="http://schemas.microsoft.com/office/2017/10/relationships/threadedComment" Target="../threadedComments/threadedComment25.xml"/><Relationship Id="rId3" Type="http://schemas.openxmlformats.org/officeDocument/2006/relationships/hyperlink" Target="https://www.basketball-reference.com/teams/POR/2018.html" TargetMode="External"/><Relationship Id="rId7" Type="http://schemas.openxmlformats.org/officeDocument/2006/relationships/hyperlink" Target="https://www.basketball-reference.com/teams/POR/2014.html" TargetMode="External"/><Relationship Id="rId12" Type="http://schemas.openxmlformats.org/officeDocument/2006/relationships/comments" Target="../comments25.xml"/><Relationship Id="rId2" Type="http://schemas.openxmlformats.org/officeDocument/2006/relationships/hyperlink" Target="https://www.basketball-reference.com/teams/POR/2019.html" TargetMode="External"/><Relationship Id="rId1" Type="http://schemas.openxmlformats.org/officeDocument/2006/relationships/hyperlink" Target="https://www.basketball-reference.com/teams/POR/2020.html" TargetMode="External"/><Relationship Id="rId6" Type="http://schemas.openxmlformats.org/officeDocument/2006/relationships/hyperlink" Target="https://www.basketball-reference.com/teams/POR/2015.html" TargetMode="External"/><Relationship Id="rId11" Type="http://schemas.openxmlformats.org/officeDocument/2006/relationships/vmlDrawing" Target="../drawings/vmlDrawing25.vml"/><Relationship Id="rId5" Type="http://schemas.openxmlformats.org/officeDocument/2006/relationships/hyperlink" Target="https://www.basketball-reference.com/teams/POR/2016.html" TargetMode="External"/><Relationship Id="rId10" Type="http://schemas.openxmlformats.org/officeDocument/2006/relationships/hyperlink" Target="https://www.basketball-reference.com/teams/POR/2011.html" TargetMode="External"/><Relationship Id="rId4" Type="http://schemas.openxmlformats.org/officeDocument/2006/relationships/hyperlink" Target="https://www.basketball-reference.com/teams/POR/2017.html" TargetMode="External"/><Relationship Id="rId9" Type="http://schemas.openxmlformats.org/officeDocument/2006/relationships/hyperlink" Target="https://www.basketball-reference.com/teams/POR/2012.html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SAC/2013.html" TargetMode="External"/><Relationship Id="rId13" Type="http://schemas.microsoft.com/office/2017/10/relationships/threadedComment" Target="../threadedComments/threadedComment26.xml"/><Relationship Id="rId3" Type="http://schemas.openxmlformats.org/officeDocument/2006/relationships/hyperlink" Target="https://www.basketball-reference.com/teams/SAC/2018.html" TargetMode="External"/><Relationship Id="rId7" Type="http://schemas.openxmlformats.org/officeDocument/2006/relationships/hyperlink" Target="https://www.basketball-reference.com/teams/SAC/2014.html" TargetMode="External"/><Relationship Id="rId12" Type="http://schemas.openxmlformats.org/officeDocument/2006/relationships/comments" Target="../comments26.xml"/><Relationship Id="rId2" Type="http://schemas.openxmlformats.org/officeDocument/2006/relationships/hyperlink" Target="https://www.basketball-reference.com/teams/SAC/2019.html" TargetMode="External"/><Relationship Id="rId1" Type="http://schemas.openxmlformats.org/officeDocument/2006/relationships/hyperlink" Target="https://www.basketball-reference.com/teams/SAC/2020.html" TargetMode="External"/><Relationship Id="rId6" Type="http://schemas.openxmlformats.org/officeDocument/2006/relationships/hyperlink" Target="https://www.basketball-reference.com/teams/SAC/2015.html" TargetMode="External"/><Relationship Id="rId11" Type="http://schemas.openxmlformats.org/officeDocument/2006/relationships/vmlDrawing" Target="../drawings/vmlDrawing26.vml"/><Relationship Id="rId5" Type="http://schemas.openxmlformats.org/officeDocument/2006/relationships/hyperlink" Target="https://www.basketball-reference.com/teams/SAC/2016.html" TargetMode="External"/><Relationship Id="rId10" Type="http://schemas.openxmlformats.org/officeDocument/2006/relationships/hyperlink" Target="https://www.basketball-reference.com/teams/SAC/2011.html" TargetMode="External"/><Relationship Id="rId4" Type="http://schemas.openxmlformats.org/officeDocument/2006/relationships/hyperlink" Target="https://www.basketball-reference.com/teams/SAC/2017.html" TargetMode="External"/><Relationship Id="rId9" Type="http://schemas.openxmlformats.org/officeDocument/2006/relationships/hyperlink" Target="https://www.basketball-reference.com/teams/SAC/2012.html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SAS/2013.html" TargetMode="External"/><Relationship Id="rId13" Type="http://schemas.microsoft.com/office/2017/10/relationships/threadedComment" Target="../threadedComments/threadedComment27.xml"/><Relationship Id="rId3" Type="http://schemas.openxmlformats.org/officeDocument/2006/relationships/hyperlink" Target="https://www.basketball-reference.com/teams/SAS/2018.html" TargetMode="External"/><Relationship Id="rId7" Type="http://schemas.openxmlformats.org/officeDocument/2006/relationships/hyperlink" Target="https://www.basketball-reference.com/teams/SAS/2014.html" TargetMode="External"/><Relationship Id="rId12" Type="http://schemas.openxmlformats.org/officeDocument/2006/relationships/comments" Target="../comments27.xml"/><Relationship Id="rId2" Type="http://schemas.openxmlformats.org/officeDocument/2006/relationships/hyperlink" Target="https://www.basketball-reference.com/teams/SAS/2019.html" TargetMode="External"/><Relationship Id="rId1" Type="http://schemas.openxmlformats.org/officeDocument/2006/relationships/hyperlink" Target="https://www.basketball-reference.com/teams/SAS/2020.html" TargetMode="External"/><Relationship Id="rId6" Type="http://schemas.openxmlformats.org/officeDocument/2006/relationships/hyperlink" Target="https://www.basketball-reference.com/teams/SAS/2015.html" TargetMode="External"/><Relationship Id="rId11" Type="http://schemas.openxmlformats.org/officeDocument/2006/relationships/vmlDrawing" Target="../drawings/vmlDrawing27.vml"/><Relationship Id="rId5" Type="http://schemas.openxmlformats.org/officeDocument/2006/relationships/hyperlink" Target="https://www.basketball-reference.com/teams/SAS/2016.html" TargetMode="External"/><Relationship Id="rId10" Type="http://schemas.openxmlformats.org/officeDocument/2006/relationships/hyperlink" Target="https://www.basketball-reference.com/teams/SAS/2011.html" TargetMode="External"/><Relationship Id="rId4" Type="http://schemas.openxmlformats.org/officeDocument/2006/relationships/hyperlink" Target="https://www.basketball-reference.com/teams/SAS/2017.html" TargetMode="External"/><Relationship Id="rId9" Type="http://schemas.openxmlformats.org/officeDocument/2006/relationships/hyperlink" Target="https://www.basketball-reference.com/teams/SAS/2012.html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TOR/2013.html" TargetMode="External"/><Relationship Id="rId13" Type="http://schemas.microsoft.com/office/2017/10/relationships/threadedComment" Target="../threadedComments/threadedComment28.xml"/><Relationship Id="rId3" Type="http://schemas.openxmlformats.org/officeDocument/2006/relationships/hyperlink" Target="https://www.basketball-reference.com/teams/TOR/2018.html" TargetMode="External"/><Relationship Id="rId7" Type="http://schemas.openxmlformats.org/officeDocument/2006/relationships/hyperlink" Target="https://www.basketball-reference.com/teams/TOR/2014.html" TargetMode="External"/><Relationship Id="rId12" Type="http://schemas.openxmlformats.org/officeDocument/2006/relationships/comments" Target="../comments28.xml"/><Relationship Id="rId2" Type="http://schemas.openxmlformats.org/officeDocument/2006/relationships/hyperlink" Target="https://www.basketball-reference.com/teams/TOR/2019.html" TargetMode="External"/><Relationship Id="rId1" Type="http://schemas.openxmlformats.org/officeDocument/2006/relationships/hyperlink" Target="https://www.basketball-reference.com/teams/TOR/2020.html" TargetMode="External"/><Relationship Id="rId6" Type="http://schemas.openxmlformats.org/officeDocument/2006/relationships/hyperlink" Target="https://www.basketball-reference.com/teams/TOR/2015.html" TargetMode="External"/><Relationship Id="rId11" Type="http://schemas.openxmlformats.org/officeDocument/2006/relationships/vmlDrawing" Target="../drawings/vmlDrawing28.vml"/><Relationship Id="rId5" Type="http://schemas.openxmlformats.org/officeDocument/2006/relationships/hyperlink" Target="https://www.basketball-reference.com/teams/TOR/2016.html" TargetMode="External"/><Relationship Id="rId10" Type="http://schemas.openxmlformats.org/officeDocument/2006/relationships/hyperlink" Target="https://www.basketball-reference.com/teams/TOR/2011.html" TargetMode="External"/><Relationship Id="rId4" Type="http://schemas.openxmlformats.org/officeDocument/2006/relationships/hyperlink" Target="https://www.basketball-reference.com/teams/TOR/2017.html" TargetMode="External"/><Relationship Id="rId9" Type="http://schemas.openxmlformats.org/officeDocument/2006/relationships/hyperlink" Target="https://www.basketball-reference.com/teams/TOR/2012.html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WAS/2013.html" TargetMode="External"/><Relationship Id="rId13" Type="http://schemas.microsoft.com/office/2017/10/relationships/threadedComment" Target="../threadedComments/threadedComment30.xml"/><Relationship Id="rId3" Type="http://schemas.openxmlformats.org/officeDocument/2006/relationships/hyperlink" Target="https://www.basketball-reference.com/teams/WAS/2018.html" TargetMode="External"/><Relationship Id="rId7" Type="http://schemas.openxmlformats.org/officeDocument/2006/relationships/hyperlink" Target="https://www.basketball-reference.com/teams/WAS/2014.html" TargetMode="External"/><Relationship Id="rId12" Type="http://schemas.openxmlformats.org/officeDocument/2006/relationships/comments" Target="../comments30.xml"/><Relationship Id="rId2" Type="http://schemas.openxmlformats.org/officeDocument/2006/relationships/hyperlink" Target="https://www.basketball-reference.com/teams/WAS/2019.html" TargetMode="External"/><Relationship Id="rId1" Type="http://schemas.openxmlformats.org/officeDocument/2006/relationships/hyperlink" Target="https://www.basketball-reference.com/teams/WAS/2020.html" TargetMode="External"/><Relationship Id="rId6" Type="http://schemas.openxmlformats.org/officeDocument/2006/relationships/hyperlink" Target="https://www.basketball-reference.com/teams/WAS/2015.html" TargetMode="External"/><Relationship Id="rId11" Type="http://schemas.openxmlformats.org/officeDocument/2006/relationships/vmlDrawing" Target="../drawings/vmlDrawing30.vml"/><Relationship Id="rId5" Type="http://schemas.openxmlformats.org/officeDocument/2006/relationships/hyperlink" Target="https://www.basketball-reference.com/teams/WAS/2016.html" TargetMode="External"/><Relationship Id="rId10" Type="http://schemas.openxmlformats.org/officeDocument/2006/relationships/hyperlink" Target="https://www.basketball-reference.com/teams/WAS/2011.html" TargetMode="External"/><Relationship Id="rId4" Type="http://schemas.openxmlformats.org/officeDocument/2006/relationships/hyperlink" Target="https://www.basketball-reference.com/teams/WAS/2017.html" TargetMode="External"/><Relationship Id="rId9" Type="http://schemas.openxmlformats.org/officeDocument/2006/relationships/hyperlink" Target="https://www.basketball-reference.com/teams/WAS/2012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DET/2013.html" TargetMode="External"/><Relationship Id="rId13" Type="http://schemas.microsoft.com/office/2017/10/relationships/threadedComment" Target="../threadedComments/threadedComment9.xml"/><Relationship Id="rId3" Type="http://schemas.openxmlformats.org/officeDocument/2006/relationships/hyperlink" Target="https://www.basketball-reference.com/teams/DET/2018.html" TargetMode="External"/><Relationship Id="rId7" Type="http://schemas.openxmlformats.org/officeDocument/2006/relationships/hyperlink" Target="https://www.basketball-reference.com/teams/DET/2014.html" TargetMode="External"/><Relationship Id="rId12" Type="http://schemas.openxmlformats.org/officeDocument/2006/relationships/comments" Target="../comments9.xml"/><Relationship Id="rId2" Type="http://schemas.openxmlformats.org/officeDocument/2006/relationships/hyperlink" Target="https://www.basketball-reference.com/teams/DET/2019.html" TargetMode="External"/><Relationship Id="rId1" Type="http://schemas.openxmlformats.org/officeDocument/2006/relationships/hyperlink" Target="https://www.basketball-reference.com/teams/DET/2020.html" TargetMode="External"/><Relationship Id="rId6" Type="http://schemas.openxmlformats.org/officeDocument/2006/relationships/hyperlink" Target="https://www.basketball-reference.com/teams/DET/2015.html" TargetMode="External"/><Relationship Id="rId11" Type="http://schemas.openxmlformats.org/officeDocument/2006/relationships/vmlDrawing" Target="../drawings/vmlDrawing9.vml"/><Relationship Id="rId5" Type="http://schemas.openxmlformats.org/officeDocument/2006/relationships/hyperlink" Target="https://www.basketball-reference.com/teams/DET/2016.html" TargetMode="External"/><Relationship Id="rId10" Type="http://schemas.openxmlformats.org/officeDocument/2006/relationships/hyperlink" Target="https://www.basketball-reference.com/leagues/NBA_2011.html" TargetMode="External"/><Relationship Id="rId4" Type="http://schemas.openxmlformats.org/officeDocument/2006/relationships/hyperlink" Target="https://www.basketball-reference.com/teams/DET/2017.html" TargetMode="External"/><Relationship Id="rId9" Type="http://schemas.openxmlformats.org/officeDocument/2006/relationships/hyperlink" Target="https://www.basketball-reference.com/teams/DET/20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C8D4-1BD3-CE43-8BD3-E95E25400646}">
  <dimension ref="A1:AS70"/>
  <sheetViews>
    <sheetView tabSelected="1" zoomScaleNormal="100" workbookViewId="0"/>
  </sheetViews>
  <sheetFormatPr baseColWidth="10" defaultColWidth="10.83203125" defaultRowHeight="16" x14ac:dyDescent="0.2"/>
  <cols>
    <col min="1" max="1" width="4.6640625" style="3" customWidth="1"/>
    <col min="2" max="2" width="18.5" style="3" customWidth="1"/>
    <col min="3" max="3" width="7.5" style="3" customWidth="1"/>
    <col min="4" max="4" width="7.33203125" style="3" customWidth="1"/>
    <col min="5" max="5" width="10.6640625" style="3" customWidth="1"/>
    <col min="6" max="6" width="7.83203125" style="3" customWidth="1"/>
    <col min="7" max="7" width="10.5" style="3" customWidth="1"/>
    <col min="8" max="8" width="6.1640625" style="3" customWidth="1"/>
    <col min="9" max="9" width="19.6640625" style="3" customWidth="1"/>
    <col min="10" max="10" width="11.1640625" style="3" customWidth="1"/>
    <col min="11" max="11" width="11.6640625" style="3" customWidth="1"/>
    <col min="12" max="12" width="4.83203125" style="3" customWidth="1"/>
    <col min="13" max="13" width="36" style="3" bestFit="1" customWidth="1"/>
    <col min="14" max="14" width="16.83203125" style="3" customWidth="1"/>
    <col min="15" max="15" width="42" style="3" customWidth="1"/>
    <col min="16" max="16" width="12.6640625" style="3" customWidth="1"/>
    <col min="17" max="17" width="12.5" style="3" customWidth="1"/>
    <col min="18" max="18" width="13.5" style="3" customWidth="1"/>
    <col min="19" max="19" width="12.1640625" style="3" customWidth="1"/>
    <col min="20" max="20" width="12" style="3" customWidth="1"/>
    <col min="21" max="21" width="10.33203125" style="3" customWidth="1"/>
    <col min="22" max="22" width="90.1640625" style="3" customWidth="1"/>
    <col min="23" max="23" width="26.1640625" style="3" customWidth="1"/>
    <col min="24" max="24" width="9.6640625" style="3" customWidth="1"/>
    <col min="25" max="25" width="4.6640625" style="3" customWidth="1"/>
    <col min="26" max="26" width="8.33203125" style="3" customWidth="1"/>
    <col min="27" max="28" width="5.83203125" style="3" customWidth="1"/>
    <col min="29" max="29" width="7.6640625" style="3" customWidth="1"/>
    <col min="30" max="30" width="4.83203125" style="3" customWidth="1"/>
    <col min="31" max="31" width="5" style="3" customWidth="1"/>
    <col min="32" max="32" width="6.1640625" style="3" customWidth="1"/>
    <col min="33" max="33" width="7.83203125" style="3" customWidth="1"/>
    <col min="34" max="34" width="5.1640625" style="3" customWidth="1"/>
    <col min="35" max="35" width="5" style="3" customWidth="1"/>
    <col min="36" max="36" width="7" style="3" customWidth="1"/>
    <col min="37" max="38" width="6.1640625" style="3" customWidth="1"/>
    <col min="39" max="39" width="5.83203125" style="3" customWidth="1"/>
    <col min="40" max="40" width="5.1640625" style="3" customWidth="1"/>
    <col min="41" max="16384" width="10.83203125" style="3"/>
  </cols>
  <sheetData>
    <row r="1" spans="1:45" x14ac:dyDescent="0.2">
      <c r="A1" s="209" t="s">
        <v>2125</v>
      </c>
      <c r="B1" s="209" t="s">
        <v>2126</v>
      </c>
      <c r="C1" s="209" t="s">
        <v>2127</v>
      </c>
      <c r="D1" s="209" t="s">
        <v>2128</v>
      </c>
      <c r="E1" s="209" t="s">
        <v>2129</v>
      </c>
      <c r="F1" s="209" t="s">
        <v>2130</v>
      </c>
      <c r="G1" s="209" t="s">
        <v>2131</v>
      </c>
      <c r="H1" s="209" t="s">
        <v>2132</v>
      </c>
      <c r="I1" s="209" t="s">
        <v>2133</v>
      </c>
      <c r="J1" s="209" t="s">
        <v>2134</v>
      </c>
      <c r="K1" s="209" t="s">
        <v>2135</v>
      </c>
      <c r="L1" s="209" t="s">
        <v>2136</v>
      </c>
      <c r="M1" s="209" t="s">
        <v>2137</v>
      </c>
      <c r="N1" s="209" t="s">
        <v>2138</v>
      </c>
      <c r="O1" s="209" t="s">
        <v>2139</v>
      </c>
      <c r="P1" s="209" t="s">
        <v>2140</v>
      </c>
      <c r="Q1" s="209" t="s">
        <v>2141</v>
      </c>
      <c r="R1" s="209" t="s">
        <v>2142</v>
      </c>
      <c r="S1" s="209" t="s">
        <v>2143</v>
      </c>
      <c r="T1" s="209" t="s">
        <v>2144</v>
      </c>
      <c r="U1" s="209" t="s">
        <v>2145</v>
      </c>
      <c r="V1" s="209" t="s">
        <v>2146</v>
      </c>
      <c r="W1" s="209" t="s">
        <v>2147</v>
      </c>
      <c r="X1" s="209" t="s">
        <v>2127</v>
      </c>
      <c r="Y1" s="209" t="s">
        <v>2148</v>
      </c>
      <c r="Z1" s="209" t="s">
        <v>2149</v>
      </c>
      <c r="AA1" s="209" t="s">
        <v>2150</v>
      </c>
      <c r="AB1" s="209" t="s">
        <v>2151</v>
      </c>
      <c r="AC1" s="209" t="s">
        <v>2152</v>
      </c>
      <c r="AD1" s="209" t="s">
        <v>2153</v>
      </c>
      <c r="AE1" s="209" t="s">
        <v>2154</v>
      </c>
      <c r="AF1" s="209" t="s">
        <v>2155</v>
      </c>
      <c r="AG1" s="209" t="s">
        <v>2156</v>
      </c>
      <c r="AH1" s="209" t="s">
        <v>2157</v>
      </c>
      <c r="AI1" s="209" t="s">
        <v>2158</v>
      </c>
      <c r="AJ1" s="209" t="s">
        <v>2159</v>
      </c>
      <c r="AK1" s="209" t="s">
        <v>2160</v>
      </c>
      <c r="AL1" s="209" t="s">
        <v>2161</v>
      </c>
      <c r="AM1" s="209" t="s">
        <v>2162</v>
      </c>
      <c r="AN1" s="209" t="s">
        <v>2163</v>
      </c>
      <c r="AO1" s="210"/>
      <c r="AP1" s="211"/>
      <c r="AQ1" s="6"/>
      <c r="AR1" s="6"/>
      <c r="AS1" s="6"/>
    </row>
    <row r="2" spans="1:45" x14ac:dyDescent="0.2">
      <c r="A2" s="107">
        <v>8</v>
      </c>
      <c r="B2" s="3" t="s">
        <v>126</v>
      </c>
      <c r="C2" s="3" t="s">
        <v>2696</v>
      </c>
      <c r="D2" s="105">
        <v>610</v>
      </c>
      <c r="E2" s="105">
        <v>71</v>
      </c>
      <c r="F2" s="106">
        <v>233</v>
      </c>
      <c r="G2" s="4">
        <v>32363</v>
      </c>
      <c r="H2" s="119">
        <f t="shared" ref="H2:H18" ca="1" si="0">ROUNDDOWN(YEARFRAC($G$26,G2),1)</f>
        <v>32.299999999999997</v>
      </c>
      <c r="I2" t="s">
        <v>1386</v>
      </c>
      <c r="J2" s="3">
        <v>13</v>
      </c>
      <c r="K2" s="107">
        <v>2008</v>
      </c>
      <c r="L2" s="107">
        <v>6</v>
      </c>
      <c r="M2" s="2" t="s">
        <v>2677</v>
      </c>
      <c r="N2" s="2" t="s">
        <v>346</v>
      </c>
      <c r="O2" s="2" t="s">
        <v>2448</v>
      </c>
      <c r="P2" s="11">
        <v>19500000</v>
      </c>
      <c r="Q2" s="11">
        <v>20475000</v>
      </c>
      <c r="R2" s="15">
        <v>21450000</v>
      </c>
      <c r="S2" s="14">
        <f>R2*1.5</f>
        <v>32175000</v>
      </c>
      <c r="T2" s="12"/>
      <c r="U2"/>
      <c r="V2"/>
      <c r="W2" t="s">
        <v>1388</v>
      </c>
      <c r="X2" s="69">
        <v>4</v>
      </c>
      <c r="Y2" s="69">
        <v>55</v>
      </c>
      <c r="Z2" s="65">
        <f>33/55</f>
        <v>0.6</v>
      </c>
      <c r="AA2" s="119">
        <v>116.8</v>
      </c>
      <c r="AB2" s="119">
        <v>111.8</v>
      </c>
      <c r="AC2" s="119">
        <f t="shared" ref="AC2" si="1">AA2-AB2</f>
        <v>5</v>
      </c>
      <c r="AD2" s="119">
        <v>30.7</v>
      </c>
      <c r="AE2" s="119">
        <v>19.399999999999999</v>
      </c>
      <c r="AF2" s="65">
        <v>0.61099999999999999</v>
      </c>
      <c r="AG2" s="119">
        <v>24.4</v>
      </c>
      <c r="AH2" s="119">
        <v>4.0999999999999996</v>
      </c>
      <c r="AI2" s="119">
        <v>1.6</v>
      </c>
      <c r="AJ2" s="65">
        <v>0.16300000000000001</v>
      </c>
      <c r="AK2" s="119">
        <v>4.0999999999999996</v>
      </c>
      <c r="AL2" s="119">
        <v>-0.9</v>
      </c>
      <c r="AM2" s="119">
        <v>2.2000000000000002</v>
      </c>
      <c r="AN2" s="119">
        <v>13</v>
      </c>
      <c r="AO2" s="210"/>
      <c r="AP2" s="211"/>
      <c r="AQ2" s="6"/>
      <c r="AR2" s="6"/>
      <c r="AS2" s="6"/>
    </row>
    <row r="3" spans="1:45" x14ac:dyDescent="0.2">
      <c r="A3" s="3">
        <v>13</v>
      </c>
      <c r="B3" s="3" t="s">
        <v>157</v>
      </c>
      <c r="C3" s="3" t="s">
        <v>2697</v>
      </c>
      <c r="D3" s="105">
        <v>66</v>
      </c>
      <c r="E3" s="105">
        <v>611</v>
      </c>
      <c r="F3" s="106">
        <v>220</v>
      </c>
      <c r="G3" s="4">
        <v>33834</v>
      </c>
      <c r="H3" s="110">
        <f t="shared" ca="1" si="0"/>
        <v>28.2</v>
      </c>
      <c r="I3" s="3" t="s">
        <v>379</v>
      </c>
      <c r="J3" s="3">
        <v>4</v>
      </c>
      <c r="K3" s="3">
        <v>2014</v>
      </c>
      <c r="L3" s="3">
        <v>27</v>
      </c>
      <c r="M3" s="3" t="s">
        <v>2713</v>
      </c>
      <c r="N3" s="3" t="s">
        <v>279</v>
      </c>
      <c r="O3" s="3" t="s">
        <v>2579</v>
      </c>
      <c r="P3" s="11">
        <v>18000000</v>
      </c>
      <c r="Q3" s="11">
        <v>18000000</v>
      </c>
      <c r="R3" s="16">
        <v>18000000</v>
      </c>
      <c r="S3" s="47">
        <v>18000000</v>
      </c>
      <c r="T3" s="14">
        <f>S3*1.5</f>
        <v>27000000</v>
      </c>
      <c r="V3" s="3" t="s">
        <v>2580</v>
      </c>
      <c r="X3" s="3" t="s">
        <v>1627</v>
      </c>
      <c r="Y3" s="107">
        <v>3</v>
      </c>
      <c r="Z3" s="107">
        <v>53</v>
      </c>
      <c r="AA3" s="41">
        <f>26/53</f>
        <v>0.49056603773584906</v>
      </c>
      <c r="AB3" s="110">
        <v>108.1</v>
      </c>
      <c r="AC3" s="110">
        <v>110.3</v>
      </c>
      <c r="AD3" s="110">
        <f t="shared" ref="AD3" si="2">AB3-AC3</f>
        <v>-2.2000000000000028</v>
      </c>
      <c r="AE3" s="110">
        <v>28.5</v>
      </c>
      <c r="AF3" s="110">
        <v>14.3</v>
      </c>
      <c r="AG3" s="41">
        <v>0.56000000000000005</v>
      </c>
      <c r="AH3" s="110">
        <v>22.3</v>
      </c>
      <c r="AI3" s="110">
        <v>1.2</v>
      </c>
      <c r="AJ3" s="110">
        <v>1.1000000000000001</v>
      </c>
      <c r="AK3" s="41">
        <v>7.4999999999999997E-2</v>
      </c>
      <c r="AL3" s="110">
        <v>0.7</v>
      </c>
      <c r="AM3" s="110">
        <v>-0.3</v>
      </c>
      <c r="AN3" s="110">
        <v>0.9</v>
      </c>
      <c r="AO3" s="110">
        <v>9.8000000000000007</v>
      </c>
      <c r="AP3" s="70"/>
      <c r="AQ3" s="6"/>
      <c r="AR3" s="6"/>
      <c r="AS3" s="6"/>
    </row>
    <row r="4" spans="1:45" x14ac:dyDescent="0.2">
      <c r="A4" s="107">
        <v>15</v>
      </c>
      <c r="B4" s="3" t="s">
        <v>190</v>
      </c>
      <c r="C4" s="3" t="s">
        <v>2698</v>
      </c>
      <c r="D4" s="105">
        <v>610</v>
      </c>
      <c r="E4" s="105">
        <v>75</v>
      </c>
      <c r="F4" s="106">
        <v>240</v>
      </c>
      <c r="G4" s="4">
        <v>34472</v>
      </c>
      <c r="H4" s="110">
        <f t="shared" ca="1" si="0"/>
        <v>26.5</v>
      </c>
      <c r="I4" s="3" t="s">
        <v>235</v>
      </c>
      <c r="J4" s="3">
        <v>7</v>
      </c>
      <c r="K4" s="107">
        <v>2014</v>
      </c>
      <c r="L4" s="109">
        <v>25</v>
      </c>
      <c r="M4" s="3" t="s">
        <v>236</v>
      </c>
      <c r="N4" s="3" t="s">
        <v>237</v>
      </c>
      <c r="O4" s="3" t="s">
        <v>2719</v>
      </c>
      <c r="P4" s="11">
        <v>16000000</v>
      </c>
      <c r="Q4" s="11">
        <v>17103448</v>
      </c>
      <c r="R4" s="11">
        <v>18206896</v>
      </c>
      <c r="S4" s="18">
        <f>R4*1.5</f>
        <v>27310344</v>
      </c>
      <c r="T4" s="17"/>
      <c r="V4" s="24" t="s">
        <v>1830</v>
      </c>
      <c r="W4" s="5" t="s">
        <v>238</v>
      </c>
      <c r="X4" s="107">
        <v>5</v>
      </c>
      <c r="Y4" s="107">
        <v>39</v>
      </c>
      <c r="Z4" s="41">
        <f>22/39</f>
        <v>0.5641025641025641</v>
      </c>
      <c r="AA4" s="110">
        <v>110</v>
      </c>
      <c r="AB4" s="110">
        <v>107.4</v>
      </c>
      <c r="AC4" s="110">
        <f t="shared" ref="AC4:AC16" si="3">AA4-AB4</f>
        <v>2.5999999999999943</v>
      </c>
      <c r="AD4" s="110">
        <v>32.799999999999997</v>
      </c>
      <c r="AE4" s="110">
        <v>20.7</v>
      </c>
      <c r="AF4" s="3">
        <v>0.626</v>
      </c>
      <c r="AG4" s="3">
        <v>16</v>
      </c>
      <c r="AH4" s="3">
        <v>2.9</v>
      </c>
      <c r="AI4" s="3">
        <v>2.1</v>
      </c>
      <c r="AJ4" s="41">
        <v>0.186</v>
      </c>
      <c r="AK4" s="110">
        <v>1.1000000000000001</v>
      </c>
      <c r="AL4" s="110">
        <v>0.4</v>
      </c>
      <c r="AM4" s="110">
        <v>1.1000000000000001</v>
      </c>
      <c r="AN4" s="110">
        <v>14.3</v>
      </c>
    </row>
    <row r="5" spans="1:45" x14ac:dyDescent="0.2">
      <c r="B5" s="3" t="s">
        <v>46</v>
      </c>
      <c r="C5" s="3" t="s">
        <v>2699</v>
      </c>
      <c r="D5" s="105">
        <v>66</v>
      </c>
      <c r="E5" s="105">
        <v>70</v>
      </c>
      <c r="F5" s="106">
        <v>213</v>
      </c>
      <c r="G5" s="4">
        <v>33552</v>
      </c>
      <c r="H5" s="110">
        <f t="shared" ca="1" si="0"/>
        <v>29</v>
      </c>
      <c r="I5" s="3" t="s">
        <v>785</v>
      </c>
      <c r="J5" s="3">
        <v>8</v>
      </c>
      <c r="K5" s="109">
        <v>2013</v>
      </c>
      <c r="L5" s="109">
        <v>20</v>
      </c>
      <c r="M5" s="3" t="s">
        <v>2520</v>
      </c>
      <c r="N5" s="3" t="s">
        <v>786</v>
      </c>
      <c r="O5" s="3" t="s">
        <v>2169</v>
      </c>
      <c r="P5" s="16">
        <v>12178571</v>
      </c>
      <c r="Q5" s="14">
        <f>P5*1.5</f>
        <v>18267856.5</v>
      </c>
      <c r="T5" s="25"/>
      <c r="U5" s="59"/>
      <c r="V5" s="59" t="s">
        <v>1851</v>
      </c>
      <c r="W5" s="59" t="s">
        <v>787</v>
      </c>
      <c r="X5" s="69">
        <v>3</v>
      </c>
      <c r="Y5" s="69">
        <v>59</v>
      </c>
      <c r="Z5" s="65">
        <f>18/59</f>
        <v>0.30508474576271188</v>
      </c>
      <c r="AA5" s="119">
        <v>105.9</v>
      </c>
      <c r="AB5" s="119">
        <v>111.4</v>
      </c>
      <c r="AC5" s="119">
        <f t="shared" si="3"/>
        <v>-5.5</v>
      </c>
      <c r="AD5" s="119">
        <v>27.8</v>
      </c>
      <c r="AE5" s="119">
        <v>9.6999999999999993</v>
      </c>
      <c r="AF5" s="65">
        <v>0.59799999999999998</v>
      </c>
      <c r="AG5" s="119">
        <v>11.4</v>
      </c>
      <c r="AH5" s="119">
        <v>2.1</v>
      </c>
      <c r="AI5" s="119">
        <v>0.5</v>
      </c>
      <c r="AJ5" s="65">
        <v>7.5999999999999998E-2</v>
      </c>
      <c r="AK5" s="119">
        <v>-1.1000000000000001</v>
      </c>
      <c r="AL5" s="119">
        <v>-0.6</v>
      </c>
      <c r="AM5" s="119">
        <v>0.1</v>
      </c>
      <c r="AN5" s="119">
        <v>6.2</v>
      </c>
    </row>
    <row r="6" spans="1:45" x14ac:dyDescent="0.2">
      <c r="A6" s="3">
        <v>7</v>
      </c>
      <c r="B6" s="3" t="s">
        <v>81</v>
      </c>
      <c r="C6" s="3" t="s">
        <v>2700</v>
      </c>
      <c r="D6" s="105">
        <v>61</v>
      </c>
      <c r="E6" s="105">
        <v>69</v>
      </c>
      <c r="F6" s="106">
        <v>180</v>
      </c>
      <c r="G6" s="4">
        <v>31465</v>
      </c>
      <c r="H6" s="110">
        <f t="shared" ca="1" si="0"/>
        <v>34.700000000000003</v>
      </c>
      <c r="I6" s="3" t="s">
        <v>266</v>
      </c>
      <c r="J6" s="3">
        <v>15</v>
      </c>
      <c r="K6" s="109">
        <v>2006</v>
      </c>
      <c r="L6" s="109">
        <v>21</v>
      </c>
      <c r="M6" s="3" t="s">
        <v>2636</v>
      </c>
      <c r="N6" s="3" t="s">
        <v>279</v>
      </c>
      <c r="O6" s="3" t="s">
        <v>2517</v>
      </c>
      <c r="P6" s="11">
        <v>7500000</v>
      </c>
      <c r="Q6" s="11">
        <v>7500000</v>
      </c>
      <c r="R6" s="14">
        <f>Q6*1.3</f>
        <v>9750000</v>
      </c>
      <c r="S6" s="12"/>
      <c r="T6" s="12"/>
      <c r="U6"/>
      <c r="V6" t="s">
        <v>2654</v>
      </c>
      <c r="W6" t="s">
        <v>701</v>
      </c>
      <c r="X6" s="69">
        <v>1</v>
      </c>
      <c r="Y6" s="69">
        <v>48</v>
      </c>
      <c r="Z6" s="65">
        <f>37/48</f>
        <v>0.77083333333333337</v>
      </c>
      <c r="AA6" s="119">
        <v>108.7</v>
      </c>
      <c r="AB6" s="119">
        <v>107.3</v>
      </c>
      <c r="AC6" s="119">
        <f t="shared" ref="AC6" si="4">AA6-AB6</f>
        <v>1.4000000000000057</v>
      </c>
      <c r="AD6" s="119">
        <v>20.5</v>
      </c>
      <c r="AE6" s="119">
        <v>12.4</v>
      </c>
      <c r="AF6" s="65">
        <v>0.49399999999999999</v>
      </c>
      <c r="AG6" s="119">
        <v>18.7</v>
      </c>
      <c r="AH6" s="119">
        <v>0.2</v>
      </c>
      <c r="AI6" s="119">
        <v>1.3</v>
      </c>
      <c r="AJ6" s="65">
        <v>7.2999999999999995E-2</v>
      </c>
      <c r="AK6" s="119">
        <v>-1.1000000000000001</v>
      </c>
      <c r="AL6" s="119">
        <v>0</v>
      </c>
      <c r="AM6" s="119">
        <v>0.2</v>
      </c>
      <c r="AN6" s="119">
        <v>10.4</v>
      </c>
      <c r="AO6"/>
    </row>
    <row r="7" spans="1:45" x14ac:dyDescent="0.2">
      <c r="A7" s="107">
        <v>12</v>
      </c>
      <c r="B7" s="3" t="s">
        <v>240</v>
      </c>
      <c r="C7" s="3" t="s">
        <v>2701</v>
      </c>
      <c r="D7" s="105">
        <v>67</v>
      </c>
      <c r="E7" s="105">
        <v>70</v>
      </c>
      <c r="F7" s="106">
        <v>225</v>
      </c>
      <c r="G7" s="4">
        <v>35765</v>
      </c>
      <c r="H7" s="110">
        <f t="shared" ca="1" si="0"/>
        <v>22.9</v>
      </c>
      <c r="I7" s="3" t="s">
        <v>242</v>
      </c>
      <c r="J7" s="3">
        <v>2</v>
      </c>
      <c r="K7" s="107">
        <v>2019</v>
      </c>
      <c r="L7" s="109">
        <v>4</v>
      </c>
      <c r="M7" s="3" t="s">
        <v>243</v>
      </c>
      <c r="N7" s="3" t="s">
        <v>244</v>
      </c>
      <c r="O7" s="3" t="s">
        <v>1972</v>
      </c>
      <c r="P7" s="11">
        <v>7422000</v>
      </c>
      <c r="Q7" s="31">
        <v>7775400</v>
      </c>
      <c r="R7" s="31">
        <v>9835881</v>
      </c>
      <c r="S7" s="32">
        <f>R7*3</f>
        <v>29507643</v>
      </c>
      <c r="T7" s="21"/>
      <c r="W7" s="3" t="s">
        <v>245</v>
      </c>
      <c r="X7" s="107">
        <v>3</v>
      </c>
      <c r="Y7" s="107">
        <v>63</v>
      </c>
      <c r="Z7" s="41">
        <f>19/63</f>
        <v>0.30158730158730157</v>
      </c>
      <c r="AA7" s="110">
        <v>108</v>
      </c>
      <c r="AB7" s="110">
        <v>113.6</v>
      </c>
      <c r="AC7" s="110">
        <f t="shared" si="3"/>
        <v>-5.5999999999999943</v>
      </c>
      <c r="AD7" s="110">
        <v>32</v>
      </c>
      <c r="AE7" s="110">
        <v>8.6</v>
      </c>
      <c r="AF7" s="3">
        <v>0.52100000000000002</v>
      </c>
      <c r="AG7" s="3">
        <v>17.5</v>
      </c>
      <c r="AH7" s="3">
        <v>-0.4</v>
      </c>
      <c r="AI7" s="3">
        <v>0.5</v>
      </c>
      <c r="AJ7" s="41">
        <v>1E-3</v>
      </c>
      <c r="AK7" s="110">
        <v>-2.8</v>
      </c>
      <c r="AL7" s="110">
        <v>-1.8</v>
      </c>
      <c r="AM7" s="110">
        <v>-1.4</v>
      </c>
      <c r="AN7" s="110">
        <v>5.8</v>
      </c>
    </row>
    <row r="8" spans="1:45" x14ac:dyDescent="0.2">
      <c r="A8" s="107">
        <v>11</v>
      </c>
      <c r="B8" s="3" t="s">
        <v>246</v>
      </c>
      <c r="C8" s="3" t="s">
        <v>2702</v>
      </c>
      <c r="D8" s="105">
        <v>61</v>
      </c>
      <c r="E8" s="105">
        <v>62</v>
      </c>
      <c r="F8" s="106">
        <v>180</v>
      </c>
      <c r="G8" s="4">
        <v>36057</v>
      </c>
      <c r="H8" s="110">
        <f t="shared" ca="1" si="0"/>
        <v>22.1</v>
      </c>
      <c r="I8" s="3" t="s">
        <v>248</v>
      </c>
      <c r="J8" s="3">
        <v>3</v>
      </c>
      <c r="K8" s="107">
        <v>2018</v>
      </c>
      <c r="L8" s="109">
        <v>5</v>
      </c>
      <c r="M8" s="3" t="s">
        <v>249</v>
      </c>
      <c r="N8" s="3" t="s">
        <v>244</v>
      </c>
      <c r="O8" s="3" t="s">
        <v>1982</v>
      </c>
      <c r="P8" s="11">
        <v>6571800</v>
      </c>
      <c r="Q8" s="31">
        <v>8326471</v>
      </c>
      <c r="R8" s="32">
        <f>Q8*3</f>
        <v>24979413</v>
      </c>
      <c r="W8" s="3" t="s">
        <v>250</v>
      </c>
      <c r="X8" s="107">
        <v>1</v>
      </c>
      <c r="Y8" s="107">
        <v>60</v>
      </c>
      <c r="Z8" s="41">
        <f>18/60</f>
        <v>0.3</v>
      </c>
      <c r="AA8" s="110">
        <v>111.2</v>
      </c>
      <c r="AB8" s="110">
        <v>116.1</v>
      </c>
      <c r="AC8" s="110">
        <f t="shared" si="3"/>
        <v>-4.8999999999999915</v>
      </c>
      <c r="AD8" s="110">
        <v>35.299999999999997</v>
      </c>
      <c r="AE8" s="110">
        <v>23.9</v>
      </c>
      <c r="AF8" s="3">
        <v>0.59499999999999997</v>
      </c>
      <c r="AG8" s="3">
        <v>34.9</v>
      </c>
      <c r="AH8" s="3">
        <v>5.4</v>
      </c>
      <c r="AI8" s="3">
        <v>0.5</v>
      </c>
      <c r="AJ8" s="41">
        <v>0.13400000000000001</v>
      </c>
      <c r="AK8" s="110">
        <v>6.3</v>
      </c>
      <c r="AL8" s="110">
        <v>-2.2999999999999998</v>
      </c>
      <c r="AM8" s="110">
        <v>3.2</v>
      </c>
      <c r="AN8" s="110">
        <v>16</v>
      </c>
    </row>
    <row r="9" spans="1:45" x14ac:dyDescent="0.2">
      <c r="B9" s="3" t="s">
        <v>2254</v>
      </c>
      <c r="C9" s="3" t="s">
        <v>2703</v>
      </c>
      <c r="D9" s="105">
        <v>69</v>
      </c>
      <c r="E9" s="105">
        <v>71</v>
      </c>
      <c r="F9" s="106">
        <v>245</v>
      </c>
      <c r="G9" s="4">
        <v>36871</v>
      </c>
      <c r="H9" s="110">
        <f t="shared" ca="1" si="0"/>
        <v>19.899999999999999</v>
      </c>
      <c r="I9" s="3" t="s">
        <v>224</v>
      </c>
      <c r="J9" s="3">
        <v>1</v>
      </c>
      <c r="K9" s="3">
        <v>2020</v>
      </c>
      <c r="L9" s="109">
        <v>6</v>
      </c>
      <c r="M9" s="16" t="s">
        <v>2255</v>
      </c>
      <c r="N9" s="19" t="s">
        <v>244</v>
      </c>
      <c r="O9" s="19" t="s">
        <v>2256</v>
      </c>
      <c r="P9" s="11">
        <v>5813640</v>
      </c>
      <c r="Q9" s="11">
        <v>6104280</v>
      </c>
      <c r="R9" s="50">
        <v>6395160</v>
      </c>
      <c r="S9" s="50">
        <f>R9*1.268</f>
        <v>8109062.8799999999</v>
      </c>
      <c r="T9" s="49">
        <f>S9*3</f>
        <v>24327188.640000001</v>
      </c>
      <c r="X9" s="107"/>
      <c r="Y9" s="107"/>
      <c r="Z9" s="41"/>
      <c r="AA9" s="110"/>
      <c r="AB9" s="110"/>
      <c r="AC9" s="110"/>
      <c r="AD9" s="110"/>
      <c r="AE9" s="110"/>
      <c r="AJ9" s="41"/>
      <c r="AK9" s="110"/>
      <c r="AL9" s="110"/>
      <c r="AM9" s="110"/>
      <c r="AN9" s="110"/>
    </row>
    <row r="10" spans="1:45" x14ac:dyDescent="0.2">
      <c r="B10" s="3" t="s">
        <v>24</v>
      </c>
      <c r="C10" s="3" t="s">
        <v>2704</v>
      </c>
      <c r="D10" s="105">
        <v>63</v>
      </c>
      <c r="E10" s="105">
        <v>69</v>
      </c>
      <c r="F10" s="106">
        <v>205</v>
      </c>
      <c r="G10" s="4">
        <v>34411</v>
      </c>
      <c r="H10" s="110">
        <f t="shared" ca="1" si="0"/>
        <v>26.6</v>
      </c>
      <c r="I10" s="3" t="s">
        <v>546</v>
      </c>
      <c r="J10" s="3">
        <v>5</v>
      </c>
      <c r="K10" s="109">
        <v>2016</v>
      </c>
      <c r="L10" s="109">
        <v>5</v>
      </c>
      <c r="M10" s="3" t="s">
        <v>2504</v>
      </c>
      <c r="N10" s="3" t="s">
        <v>291</v>
      </c>
      <c r="O10" s="3" t="s">
        <v>2505</v>
      </c>
      <c r="P10" s="11">
        <f>4767000</f>
        <v>4767000</v>
      </c>
      <c r="Q10" s="47">
        <f>P10*1.05</f>
        <v>5005350</v>
      </c>
      <c r="R10" s="14">
        <f>Q10*1.3</f>
        <v>6506955</v>
      </c>
      <c r="S10" s="12"/>
      <c r="T10" s="22"/>
      <c r="U10"/>
      <c r="V10"/>
      <c r="W10" s="59" t="s">
        <v>547</v>
      </c>
      <c r="X10" s="69">
        <v>1</v>
      </c>
      <c r="Y10" s="69">
        <v>51</v>
      </c>
      <c r="Z10" s="65">
        <f>19/51</f>
        <v>0.37254901960784315</v>
      </c>
      <c r="AA10" s="119">
        <v>103.5</v>
      </c>
      <c r="AB10" s="119">
        <v>103.6</v>
      </c>
      <c r="AC10" s="119">
        <f t="shared" ref="AC10" si="5">AA10-AB10</f>
        <v>-9.9999999999994316E-2</v>
      </c>
      <c r="AD10" s="119">
        <v>24.9</v>
      </c>
      <c r="AE10" s="119">
        <v>12.1</v>
      </c>
      <c r="AF10" s="65">
        <v>0.51</v>
      </c>
      <c r="AG10" s="119">
        <v>14.6</v>
      </c>
      <c r="AH10" s="119">
        <v>0.3</v>
      </c>
      <c r="AI10" s="119">
        <v>2</v>
      </c>
      <c r="AJ10" s="65">
        <v>8.5000000000000006E-2</v>
      </c>
      <c r="AK10" s="119">
        <v>-3.7</v>
      </c>
      <c r="AL10" s="119">
        <v>3.1</v>
      </c>
      <c r="AM10" s="119">
        <v>0.4</v>
      </c>
      <c r="AN10" s="119">
        <v>8.1999999999999993</v>
      </c>
      <c r="AO10"/>
    </row>
    <row r="11" spans="1:45" x14ac:dyDescent="0.2">
      <c r="A11" s="107">
        <v>22</v>
      </c>
      <c r="B11" s="3" t="s">
        <v>251</v>
      </c>
      <c r="C11" s="3" t="s">
        <v>2705</v>
      </c>
      <c r="D11" s="105">
        <v>68</v>
      </c>
      <c r="E11" s="105">
        <v>71</v>
      </c>
      <c r="F11" s="106">
        <v>218</v>
      </c>
      <c r="G11" s="4">
        <v>36404</v>
      </c>
      <c r="H11" s="110">
        <f t="shared" ca="1" si="0"/>
        <v>21.2</v>
      </c>
      <c r="I11" s="3" t="s">
        <v>253</v>
      </c>
      <c r="J11" s="3">
        <v>2</v>
      </c>
      <c r="K11" s="107">
        <v>2019</v>
      </c>
      <c r="L11" s="109">
        <v>10</v>
      </c>
      <c r="M11" s="3" t="s">
        <v>254</v>
      </c>
      <c r="N11" s="3" t="s">
        <v>244</v>
      </c>
      <c r="O11" s="11" t="s">
        <v>1983</v>
      </c>
      <c r="P11" s="11">
        <v>4458000</v>
      </c>
      <c r="Q11" s="31">
        <v>4670160</v>
      </c>
      <c r="R11" s="31">
        <v>5954454</v>
      </c>
      <c r="S11" s="33">
        <f>R11*3</f>
        <v>17863362</v>
      </c>
      <c r="T11" s="21"/>
      <c r="W11" s="3" t="s">
        <v>255</v>
      </c>
      <c r="X11" s="107">
        <v>4</v>
      </c>
      <c r="Y11" s="107">
        <v>58</v>
      </c>
      <c r="Z11" s="41">
        <f>17/58</f>
        <v>0.29310344827586204</v>
      </c>
      <c r="AA11" s="110">
        <v>106.9</v>
      </c>
      <c r="AB11" s="110">
        <v>113.2</v>
      </c>
      <c r="AC11" s="110">
        <f t="shared" si="3"/>
        <v>-6.2999999999999972</v>
      </c>
      <c r="AD11" s="110">
        <v>26.7</v>
      </c>
      <c r="AE11" s="110">
        <v>9</v>
      </c>
      <c r="AF11" s="3">
        <v>0.5</v>
      </c>
      <c r="AG11" s="3">
        <v>18.899999999999999</v>
      </c>
      <c r="AH11" s="3">
        <v>-1.2</v>
      </c>
      <c r="AI11" s="3">
        <v>0.8</v>
      </c>
      <c r="AJ11" s="41">
        <v>-1.0999999999999999E-2</v>
      </c>
      <c r="AK11" s="110">
        <v>-3.2</v>
      </c>
      <c r="AL11" s="110">
        <v>-1</v>
      </c>
      <c r="AM11" s="110">
        <v>-0.9</v>
      </c>
      <c r="AN11" s="110">
        <v>5.9</v>
      </c>
    </row>
    <row r="12" spans="1:45" x14ac:dyDescent="0.2">
      <c r="A12" s="107">
        <v>20</v>
      </c>
      <c r="B12" s="3" t="s">
        <v>256</v>
      </c>
      <c r="C12" s="3" t="s">
        <v>2706</v>
      </c>
      <c r="D12" s="105">
        <v>69</v>
      </c>
      <c r="E12" s="105">
        <v>611</v>
      </c>
      <c r="F12" s="106">
        <v>235</v>
      </c>
      <c r="G12" s="4">
        <v>35696</v>
      </c>
      <c r="H12" s="110">
        <f t="shared" ca="1" si="0"/>
        <v>23.1</v>
      </c>
      <c r="I12" s="3" t="s">
        <v>231</v>
      </c>
      <c r="J12" s="3">
        <v>4</v>
      </c>
      <c r="K12" s="107">
        <v>2017</v>
      </c>
      <c r="L12" s="109">
        <v>19</v>
      </c>
      <c r="M12" s="3" t="s">
        <v>257</v>
      </c>
      <c r="N12" s="3" t="s">
        <v>244</v>
      </c>
      <c r="O12" s="3" t="s">
        <v>1973</v>
      </c>
      <c r="P12" s="11">
        <v>4137302</v>
      </c>
      <c r="Q12" s="32">
        <f>P12*3</f>
        <v>12411906</v>
      </c>
      <c r="W12" s="3" t="s">
        <v>258</v>
      </c>
      <c r="X12" s="107">
        <v>4</v>
      </c>
      <c r="Y12" s="107">
        <v>41</v>
      </c>
      <c r="Z12" s="41">
        <f>15/41</f>
        <v>0.36585365853658536</v>
      </c>
      <c r="AA12" s="110">
        <v>107</v>
      </c>
      <c r="AB12" s="110">
        <v>112.1</v>
      </c>
      <c r="AC12" s="110">
        <f t="shared" si="3"/>
        <v>-5.0999999999999943</v>
      </c>
      <c r="AD12" s="110">
        <v>33.200000000000003</v>
      </c>
      <c r="AE12" s="110">
        <v>23.5</v>
      </c>
      <c r="AF12" s="3">
        <v>0.65900000000000003</v>
      </c>
      <c r="AG12" s="3">
        <v>22.7</v>
      </c>
      <c r="AH12" s="3">
        <v>3.8</v>
      </c>
      <c r="AI12" s="3">
        <v>1.1000000000000001</v>
      </c>
      <c r="AJ12" s="41">
        <v>0.17399999999999999</v>
      </c>
      <c r="AK12" s="110">
        <v>3.7</v>
      </c>
      <c r="AL12" s="110">
        <v>-0.7</v>
      </c>
      <c r="AM12" s="110">
        <v>1.7</v>
      </c>
      <c r="AN12" s="110">
        <v>15.2</v>
      </c>
    </row>
    <row r="13" spans="1:45" x14ac:dyDescent="0.2">
      <c r="A13" s="107">
        <v>3</v>
      </c>
      <c r="B13" s="3" t="s">
        <v>259</v>
      </c>
      <c r="C13" s="3" t="s">
        <v>2707</v>
      </c>
      <c r="D13" s="105">
        <v>67</v>
      </c>
      <c r="E13" s="105">
        <v>68</v>
      </c>
      <c r="F13" s="106">
        <v>190</v>
      </c>
      <c r="G13" s="4">
        <v>36034</v>
      </c>
      <c r="H13" s="110">
        <f t="shared" ca="1" si="0"/>
        <v>22.2</v>
      </c>
      <c r="I13" s="3" t="s">
        <v>260</v>
      </c>
      <c r="J13" s="3">
        <v>3</v>
      </c>
      <c r="K13" s="107">
        <v>2018</v>
      </c>
      <c r="L13" s="109">
        <v>19</v>
      </c>
      <c r="M13" s="3" t="s">
        <v>261</v>
      </c>
      <c r="N13" s="3" t="s">
        <v>244</v>
      </c>
      <c r="O13" s="3" t="s">
        <v>1949</v>
      </c>
      <c r="P13" s="11">
        <v>2761920</v>
      </c>
      <c r="Q13" s="31">
        <v>4253357</v>
      </c>
      <c r="R13" s="32">
        <f>Q13*3</f>
        <v>12760071</v>
      </c>
      <c r="W13" s="3" t="s">
        <v>262</v>
      </c>
      <c r="X13" s="107">
        <v>2</v>
      </c>
      <c r="Y13" s="107">
        <v>56</v>
      </c>
      <c r="Z13" s="41">
        <f>19/56</f>
        <v>0.3392857142857143</v>
      </c>
      <c r="AA13" s="110">
        <v>107.5</v>
      </c>
      <c r="AB13" s="110">
        <v>113.6</v>
      </c>
      <c r="AC13" s="110">
        <f t="shared" si="3"/>
        <v>-6.0999999999999943</v>
      </c>
      <c r="AD13" s="110">
        <v>31.4</v>
      </c>
      <c r="AE13" s="110">
        <v>11.5</v>
      </c>
      <c r="AF13" s="3">
        <v>0.53600000000000003</v>
      </c>
      <c r="AG13" s="3">
        <v>17.100000000000001</v>
      </c>
      <c r="AH13" s="3">
        <v>1</v>
      </c>
      <c r="AI13" s="3">
        <v>0.6</v>
      </c>
      <c r="AJ13" s="41">
        <v>4.2000000000000003E-2</v>
      </c>
      <c r="AK13" s="110">
        <v>-0.6</v>
      </c>
      <c r="AL13" s="110">
        <v>-0.9</v>
      </c>
      <c r="AM13" s="110">
        <v>0.2</v>
      </c>
      <c r="AN13" s="110">
        <v>7.8</v>
      </c>
    </row>
    <row r="14" spans="1:45" x14ac:dyDescent="0.2">
      <c r="A14" s="107">
        <v>0</v>
      </c>
      <c r="B14" s="3" t="s">
        <v>6</v>
      </c>
      <c r="C14" s="3" t="s">
        <v>2708</v>
      </c>
      <c r="D14" s="105">
        <v>60</v>
      </c>
      <c r="E14" s="105"/>
      <c r="F14" s="106">
        <v>180</v>
      </c>
      <c r="G14" s="4">
        <v>34974</v>
      </c>
      <c r="H14" s="110">
        <f t="shared" ca="1" si="0"/>
        <v>25.1</v>
      </c>
      <c r="I14" s="3" t="s">
        <v>281</v>
      </c>
      <c r="J14" s="3">
        <v>3</v>
      </c>
      <c r="K14" s="107">
        <v>2018</v>
      </c>
      <c r="L14" s="108"/>
      <c r="M14" s="3" t="s">
        <v>282</v>
      </c>
      <c r="N14" s="3" t="s">
        <v>276</v>
      </c>
      <c r="O14" s="3" t="s">
        <v>2718</v>
      </c>
      <c r="P14" s="30">
        <v>1701593</v>
      </c>
      <c r="Q14" s="32">
        <v>2126991</v>
      </c>
      <c r="W14" s="5" t="s">
        <v>284</v>
      </c>
      <c r="X14" s="107">
        <v>1</v>
      </c>
      <c r="Y14" s="107">
        <v>34</v>
      </c>
      <c r="Z14" s="41">
        <f>13/34</f>
        <v>0.38235294117647056</v>
      </c>
      <c r="AA14" s="110">
        <v>94.5</v>
      </c>
      <c r="AB14" s="110">
        <v>108.2</v>
      </c>
      <c r="AC14" s="110">
        <f t="shared" si="3"/>
        <v>-13.700000000000003</v>
      </c>
      <c r="AD14" s="110">
        <v>12.7</v>
      </c>
      <c r="AE14" s="110">
        <v>11.7</v>
      </c>
      <c r="AF14" s="3">
        <v>0.50700000000000001</v>
      </c>
      <c r="AG14" s="3">
        <v>22.4</v>
      </c>
      <c r="AH14" s="3">
        <v>-0.1</v>
      </c>
      <c r="AI14" s="3">
        <v>0.2</v>
      </c>
      <c r="AJ14" s="41">
        <v>1.2999999999999999E-2</v>
      </c>
      <c r="AK14" s="110">
        <v>-1.5</v>
      </c>
      <c r="AL14" s="110">
        <v>-1.3</v>
      </c>
      <c r="AM14" s="110">
        <v>-0.1</v>
      </c>
      <c r="AN14" s="110">
        <v>9.4</v>
      </c>
    </row>
    <row r="15" spans="1:45" x14ac:dyDescent="0.2">
      <c r="A15" s="107">
        <v>18</v>
      </c>
      <c r="B15" s="3" t="s">
        <v>90</v>
      </c>
      <c r="C15" s="3" t="s">
        <v>2709</v>
      </c>
      <c r="D15" s="105">
        <v>66</v>
      </c>
      <c r="E15" s="105">
        <v>610</v>
      </c>
      <c r="F15" s="106">
        <v>226</v>
      </c>
      <c r="G15" s="4">
        <v>33315</v>
      </c>
      <c r="H15" s="110">
        <f t="shared" ca="1" si="0"/>
        <v>29.6</v>
      </c>
      <c r="I15" s="3" t="s">
        <v>511</v>
      </c>
      <c r="J15" s="3">
        <v>7</v>
      </c>
      <c r="K15" s="107">
        <v>2013</v>
      </c>
      <c r="L15" s="107">
        <v>23</v>
      </c>
      <c r="M15" s="3" t="s">
        <v>2714</v>
      </c>
      <c r="N15" s="3" t="s">
        <v>276</v>
      </c>
      <c r="O15" s="3" t="s">
        <v>2438</v>
      </c>
      <c r="P15" s="11">
        <v>1620564</v>
      </c>
      <c r="Q15" s="14"/>
      <c r="W15" s="3" t="s">
        <v>1170</v>
      </c>
      <c r="X15" s="107">
        <v>3</v>
      </c>
      <c r="Y15" s="107">
        <v>6</v>
      </c>
      <c r="Z15" s="41">
        <f>3/6</f>
        <v>0.5</v>
      </c>
      <c r="AA15" s="110">
        <v>109.5</v>
      </c>
      <c r="AB15" s="110">
        <v>109.3</v>
      </c>
      <c r="AC15" s="110">
        <f t="shared" si="3"/>
        <v>0.20000000000000284</v>
      </c>
      <c r="AD15" s="110">
        <v>15.2</v>
      </c>
      <c r="AE15" s="110">
        <v>5.9</v>
      </c>
      <c r="AF15" s="41">
        <v>0.44700000000000001</v>
      </c>
      <c r="AG15" s="110">
        <v>11.5</v>
      </c>
      <c r="AH15" s="110">
        <v>-0.1</v>
      </c>
      <c r="AI15" s="110">
        <v>0.1</v>
      </c>
      <c r="AJ15" s="41">
        <v>-6.0000000000000001E-3</v>
      </c>
      <c r="AK15" s="110">
        <v>-4.5</v>
      </c>
      <c r="AL15" s="110">
        <v>0.8</v>
      </c>
      <c r="AM15" s="110">
        <v>0</v>
      </c>
      <c r="AN15" s="110">
        <v>3.2</v>
      </c>
      <c r="AO15" s="59"/>
      <c r="AP15" s="59"/>
    </row>
    <row r="16" spans="1:45" x14ac:dyDescent="0.2">
      <c r="A16" s="107">
        <v>24</v>
      </c>
      <c r="B16" s="3" t="s">
        <v>277</v>
      </c>
      <c r="C16" s="3" t="s">
        <v>2710</v>
      </c>
      <c r="D16" s="105">
        <v>69</v>
      </c>
      <c r="E16" s="105">
        <v>73</v>
      </c>
      <c r="F16" s="106">
        <v>240</v>
      </c>
      <c r="G16" s="4">
        <v>36022</v>
      </c>
      <c r="H16" s="110">
        <f t="shared" ca="1" si="0"/>
        <v>22.2</v>
      </c>
      <c r="I16" s="3" t="s">
        <v>260</v>
      </c>
      <c r="J16" s="3">
        <v>2</v>
      </c>
      <c r="K16" s="107">
        <v>2019</v>
      </c>
      <c r="L16" s="109">
        <v>34</v>
      </c>
      <c r="M16" s="3" t="s">
        <v>278</v>
      </c>
      <c r="N16" s="3" t="s">
        <v>279</v>
      </c>
      <c r="O16" s="3" t="s">
        <v>1984</v>
      </c>
      <c r="P16" s="11">
        <v>1517981</v>
      </c>
      <c r="Q16" s="11">
        <v>1782621</v>
      </c>
      <c r="R16" s="32">
        <v>2288276</v>
      </c>
      <c r="W16" s="3" t="s">
        <v>280</v>
      </c>
      <c r="X16" s="107">
        <v>5</v>
      </c>
      <c r="Y16" s="107">
        <v>56</v>
      </c>
      <c r="Z16" s="41">
        <f>18/56</f>
        <v>0.32142857142857145</v>
      </c>
      <c r="AA16" s="110">
        <v>102</v>
      </c>
      <c r="AB16" s="110">
        <v>107.6</v>
      </c>
      <c r="AC16" s="110">
        <f t="shared" si="3"/>
        <v>-5.5999999999999943</v>
      </c>
      <c r="AD16" s="110">
        <v>12.7</v>
      </c>
      <c r="AE16" s="110">
        <v>11.9</v>
      </c>
      <c r="AF16" s="3">
        <v>0.54200000000000004</v>
      </c>
      <c r="AG16" s="3">
        <v>15.3</v>
      </c>
      <c r="AH16" s="3">
        <v>0.4</v>
      </c>
      <c r="AI16" s="3">
        <v>0.4</v>
      </c>
      <c r="AJ16" s="41">
        <v>5.5E-2</v>
      </c>
      <c r="AK16" s="110">
        <v>-3.2</v>
      </c>
      <c r="AL16" s="110">
        <v>-1</v>
      </c>
      <c r="AM16" s="110">
        <v>-0.4</v>
      </c>
      <c r="AN16" s="110">
        <v>7.9</v>
      </c>
    </row>
    <row r="17" spans="1:41" x14ac:dyDescent="0.2">
      <c r="B17" s="3" t="s">
        <v>2362</v>
      </c>
      <c r="C17" s="3" t="s">
        <v>2711</v>
      </c>
      <c r="D17" s="105">
        <v>64</v>
      </c>
      <c r="E17" s="105">
        <v>67</v>
      </c>
      <c r="F17" s="106">
        <v>205</v>
      </c>
      <c r="G17" s="4">
        <v>35678</v>
      </c>
      <c r="H17" s="110">
        <f t="shared" ca="1" si="0"/>
        <v>23.2</v>
      </c>
      <c r="I17" s="3" t="s">
        <v>389</v>
      </c>
      <c r="J17" s="3">
        <v>1</v>
      </c>
      <c r="K17" s="3">
        <v>2020</v>
      </c>
      <c r="L17" s="109">
        <v>50</v>
      </c>
      <c r="M17" s="16" t="s">
        <v>2385</v>
      </c>
      <c r="N17" s="3" t="s">
        <v>288</v>
      </c>
      <c r="O17" s="3" t="s">
        <v>2516</v>
      </c>
      <c r="P17" s="11" t="s">
        <v>288</v>
      </c>
      <c r="Q17" s="49"/>
      <c r="R17" s="11"/>
      <c r="S17" s="11"/>
      <c r="T17" s="11"/>
      <c r="X17" s="107"/>
      <c r="Y17" s="107"/>
      <c r="Z17" s="41"/>
      <c r="AA17" s="110"/>
      <c r="AB17" s="110"/>
      <c r="AC17" s="110"/>
      <c r="AD17" s="110"/>
      <c r="AE17" s="110"/>
      <c r="AJ17" s="41"/>
      <c r="AK17" s="110"/>
      <c r="AL17" s="110"/>
      <c r="AM17" s="110"/>
      <c r="AN17" s="110"/>
    </row>
    <row r="18" spans="1:41" x14ac:dyDescent="0.2">
      <c r="A18" s="107"/>
      <c r="B18" s="3" t="s">
        <v>2643</v>
      </c>
      <c r="C18" s="3" t="s">
        <v>2712</v>
      </c>
      <c r="D18" s="105">
        <v>610</v>
      </c>
      <c r="E18" s="105">
        <v>70</v>
      </c>
      <c r="F18" s="106">
        <v>245</v>
      </c>
      <c r="G18" s="4">
        <v>35693</v>
      </c>
      <c r="H18" s="110">
        <f t="shared" ca="1" si="0"/>
        <v>23.1</v>
      </c>
      <c r="I18" s="3" t="s">
        <v>2644</v>
      </c>
      <c r="J18" s="3">
        <v>1</v>
      </c>
      <c r="K18" s="107">
        <v>2020</v>
      </c>
      <c r="L18" s="109"/>
      <c r="M18" s="3" t="s">
        <v>2681</v>
      </c>
      <c r="N18" s="3" t="s">
        <v>288</v>
      </c>
      <c r="O18" s="3" t="s">
        <v>2516</v>
      </c>
      <c r="P18" s="11" t="s">
        <v>288</v>
      </c>
      <c r="Q18" s="49"/>
      <c r="R18" s="19"/>
      <c r="X18" s="107"/>
      <c r="Y18" s="107"/>
      <c r="Z18" s="41"/>
      <c r="AA18" s="110"/>
      <c r="AB18" s="110"/>
      <c r="AC18" s="110"/>
      <c r="AD18" s="110"/>
      <c r="AE18" s="110"/>
      <c r="AJ18" s="41"/>
      <c r="AK18" s="110"/>
      <c r="AL18" s="110"/>
      <c r="AM18" s="110"/>
      <c r="AN18" s="110"/>
    </row>
    <row r="19" spans="1:41" x14ac:dyDescent="0.2">
      <c r="A19" s="107"/>
      <c r="B19" s="3" t="s">
        <v>290</v>
      </c>
      <c r="D19" s="105"/>
      <c r="E19" s="105"/>
      <c r="F19" s="106"/>
      <c r="G19" s="4"/>
      <c r="H19" s="110"/>
      <c r="K19" s="107"/>
      <c r="L19" s="109"/>
      <c r="O19" s="159"/>
      <c r="P19" s="11">
        <f>744684</f>
        <v>744684</v>
      </c>
      <c r="Q19" s="11"/>
      <c r="R19" s="19"/>
      <c r="X19" s="107"/>
      <c r="Y19" s="107"/>
      <c r="Z19" s="41"/>
      <c r="AA19" s="110"/>
      <c r="AB19" s="110"/>
      <c r="AC19" s="110"/>
      <c r="AD19" s="110"/>
      <c r="AE19" s="110"/>
      <c r="AJ19" s="41"/>
      <c r="AK19" s="110"/>
      <c r="AL19" s="110"/>
      <c r="AM19" s="110"/>
      <c r="AN19" s="110"/>
    </row>
    <row r="20" spans="1:41" x14ac:dyDescent="0.2">
      <c r="A20" s="107"/>
      <c r="D20" s="105"/>
      <c r="E20" s="105"/>
      <c r="F20" s="106"/>
      <c r="G20" s="4"/>
      <c r="H20" s="110"/>
      <c r="K20" s="107"/>
      <c r="L20" s="109"/>
      <c r="P20" s="57"/>
      <c r="X20" s="107"/>
      <c r="Y20" s="107"/>
      <c r="Z20" s="41"/>
      <c r="AA20" s="110"/>
      <c r="AB20" s="110"/>
      <c r="AC20" s="110"/>
      <c r="AD20" s="110"/>
      <c r="AE20" s="110"/>
      <c r="AJ20" s="41"/>
      <c r="AK20" s="110"/>
      <c r="AL20" s="110"/>
      <c r="AM20" s="110"/>
      <c r="AN20" s="110"/>
    </row>
    <row r="21" spans="1:41" x14ac:dyDescent="0.2">
      <c r="A21" s="107">
        <v>7</v>
      </c>
      <c r="B21" s="3" t="s">
        <v>2</v>
      </c>
      <c r="D21" s="105">
        <v>610</v>
      </c>
      <c r="E21" s="105">
        <v>72</v>
      </c>
      <c r="F21" s="106">
        <v>235</v>
      </c>
      <c r="G21" s="4">
        <v>35142</v>
      </c>
      <c r="H21" s="110">
        <f ca="1">ROUNDDOWN(YEARFRAC($G$26,G21),1)</f>
        <v>24.6</v>
      </c>
      <c r="I21" s="3" t="s">
        <v>266</v>
      </c>
      <c r="J21" s="3">
        <v>5</v>
      </c>
      <c r="K21" s="107">
        <v>2016</v>
      </c>
      <c r="L21" s="108">
        <v>28</v>
      </c>
      <c r="M21" s="3" t="s">
        <v>267</v>
      </c>
      <c r="O21" s="11"/>
      <c r="P21" s="32">
        <f>7016541</f>
        <v>7016541</v>
      </c>
      <c r="R21" s="26"/>
      <c r="W21" s="3" t="s">
        <v>269</v>
      </c>
      <c r="X21" s="107">
        <v>5</v>
      </c>
      <c r="Y21" s="107">
        <v>33</v>
      </c>
      <c r="Z21" s="41">
        <f>14/33</f>
        <v>0.42424242424242425</v>
      </c>
      <c r="AA21" s="110">
        <v>107.8</v>
      </c>
      <c r="AB21" s="110">
        <v>106.5</v>
      </c>
      <c r="AC21" s="110">
        <f t="shared" ref="AC21:AC24" si="6">AA21-AB21</f>
        <v>1.2999999999999972</v>
      </c>
      <c r="AD21" s="110">
        <v>17.2</v>
      </c>
      <c r="AE21" s="110">
        <v>15.4</v>
      </c>
      <c r="AF21" s="3">
        <v>0.58799999999999997</v>
      </c>
      <c r="AG21" s="3">
        <v>14.3</v>
      </c>
      <c r="AH21" s="3">
        <v>1</v>
      </c>
      <c r="AI21" s="3">
        <v>0.4</v>
      </c>
      <c r="AJ21" s="41">
        <v>0.122</v>
      </c>
      <c r="AK21" s="110">
        <v>-1.5</v>
      </c>
      <c r="AL21" s="110">
        <v>0.3</v>
      </c>
      <c r="AM21" s="110">
        <v>0.1</v>
      </c>
      <c r="AN21" s="110">
        <v>9.3000000000000007</v>
      </c>
    </row>
    <row r="22" spans="1:41" x14ac:dyDescent="0.2">
      <c r="A22" s="107">
        <v>2</v>
      </c>
      <c r="B22" s="3" t="s">
        <v>4</v>
      </c>
      <c r="D22" s="105">
        <v>65</v>
      </c>
      <c r="E22" s="105">
        <v>611</v>
      </c>
      <c r="F22" s="106">
        <v>219</v>
      </c>
      <c r="G22" s="4">
        <v>34270</v>
      </c>
      <c r="H22" s="110">
        <f ca="1">ROUNDDOWN(YEARFRAC($G$26,G22),1)</f>
        <v>27</v>
      </c>
      <c r="I22" s="3" t="s">
        <v>273</v>
      </c>
      <c r="J22" s="3">
        <v>5</v>
      </c>
      <c r="K22" s="107">
        <v>2015</v>
      </c>
      <c r="L22" s="108"/>
      <c r="M22" s="3" t="s">
        <v>232</v>
      </c>
      <c r="P22" s="18">
        <v>1620564</v>
      </c>
      <c r="Q22" s="54"/>
      <c r="W22" s="3" t="s">
        <v>274</v>
      </c>
      <c r="X22" s="107">
        <v>2</v>
      </c>
      <c r="Y22" s="107">
        <v>22</v>
      </c>
      <c r="Z22" s="41">
        <f>9/22</f>
        <v>0.40909090909090912</v>
      </c>
      <c r="AA22" s="110">
        <v>108.2</v>
      </c>
      <c r="AB22" s="110">
        <v>113.3</v>
      </c>
      <c r="AC22" s="110">
        <f t="shared" si="6"/>
        <v>-5.0999999999999943</v>
      </c>
      <c r="AD22" s="110">
        <v>12.1</v>
      </c>
      <c r="AE22" s="110">
        <v>8</v>
      </c>
      <c r="AF22" s="3">
        <v>0.47799999999999998</v>
      </c>
      <c r="AG22" s="3">
        <v>13.3</v>
      </c>
      <c r="AH22" s="3">
        <v>0</v>
      </c>
      <c r="AI22" s="3">
        <v>0.1</v>
      </c>
      <c r="AJ22" s="41">
        <v>2.1999999999999999E-2</v>
      </c>
      <c r="AK22" s="110">
        <v>-3.2</v>
      </c>
      <c r="AL22" s="110">
        <v>-1.7</v>
      </c>
      <c r="AM22" s="110">
        <v>-0.2</v>
      </c>
      <c r="AN22" s="110">
        <v>3.5</v>
      </c>
    </row>
    <row r="23" spans="1:41" x14ac:dyDescent="0.2">
      <c r="B23" s="3" t="s">
        <v>52</v>
      </c>
      <c r="D23" s="105">
        <v>63</v>
      </c>
      <c r="E23" s="105">
        <v>611</v>
      </c>
      <c r="F23" s="106">
        <v>210</v>
      </c>
      <c r="G23" s="4">
        <v>35193</v>
      </c>
      <c r="H23" s="110">
        <f ca="1">ROUNDDOWN(YEARFRAC($G$26,G23),1)</f>
        <v>24.5</v>
      </c>
      <c r="I23" s="3" t="s">
        <v>807</v>
      </c>
      <c r="J23" s="3">
        <v>3</v>
      </c>
      <c r="K23" s="109">
        <v>2018</v>
      </c>
      <c r="L23" s="109">
        <v>38</v>
      </c>
      <c r="M23" s="3" t="s">
        <v>808</v>
      </c>
      <c r="O23" s="159"/>
      <c r="P23" s="14">
        <v>1620564</v>
      </c>
      <c r="Q23" s="16"/>
      <c r="T23" s="25"/>
      <c r="U23" s="59"/>
      <c r="V23" s="59"/>
      <c r="W23" s="59" t="s">
        <v>809</v>
      </c>
      <c r="X23" s="69">
        <v>3</v>
      </c>
      <c r="Y23" s="69">
        <v>8</v>
      </c>
      <c r="Z23" s="65">
        <f>2/8</f>
        <v>0.25</v>
      </c>
      <c r="AA23" s="119">
        <v>93.4</v>
      </c>
      <c r="AB23" s="119">
        <v>122.1</v>
      </c>
      <c r="AC23" s="119">
        <f t="shared" si="6"/>
        <v>-28.699999999999989</v>
      </c>
      <c r="AD23" s="119">
        <v>7.7</v>
      </c>
      <c r="AE23" s="119">
        <v>3.2</v>
      </c>
      <c r="AF23" s="65">
        <v>0.45300000000000001</v>
      </c>
      <c r="AG23" s="119">
        <v>15.6</v>
      </c>
      <c r="AH23" s="119">
        <v>-0.1</v>
      </c>
      <c r="AI23" s="119">
        <v>0</v>
      </c>
      <c r="AJ23" s="65">
        <v>-3.7999999999999999E-2</v>
      </c>
      <c r="AK23" s="119">
        <v>-6.1</v>
      </c>
      <c r="AL23" s="119">
        <v>-1.8</v>
      </c>
      <c r="AM23" s="119">
        <v>-0.1</v>
      </c>
      <c r="AN23" s="119">
        <v>-1.3</v>
      </c>
      <c r="AO23" s="59"/>
    </row>
    <row r="24" spans="1:41" x14ac:dyDescent="0.2">
      <c r="A24" s="107">
        <v>4</v>
      </c>
      <c r="B24" s="3" t="s">
        <v>285</v>
      </c>
      <c r="D24" s="105">
        <v>66</v>
      </c>
      <c r="E24" s="105">
        <v>67</v>
      </c>
      <c r="F24" s="106">
        <v>199</v>
      </c>
      <c r="G24" s="4">
        <v>35463</v>
      </c>
      <c r="H24" s="110">
        <f ca="1">ROUNDDOWN(YEARFRAC($G$26,G24),1)</f>
        <v>23.8</v>
      </c>
      <c r="I24" s="3" t="s">
        <v>286</v>
      </c>
      <c r="J24" s="3">
        <v>2</v>
      </c>
      <c r="K24" s="107">
        <v>2019</v>
      </c>
      <c r="L24" s="109"/>
      <c r="M24" s="3" t="s">
        <v>287</v>
      </c>
      <c r="P24" s="68"/>
      <c r="Q24" s="54"/>
      <c r="W24" s="3" t="s">
        <v>289</v>
      </c>
      <c r="X24" s="107">
        <v>2</v>
      </c>
      <c r="Y24" s="107">
        <v>10</v>
      </c>
      <c r="Z24" s="41">
        <f>1/10</f>
        <v>0.1</v>
      </c>
      <c r="AA24" s="110">
        <v>106.9</v>
      </c>
      <c r="AB24" s="110">
        <v>73</v>
      </c>
      <c r="AC24" s="110">
        <f t="shared" si="6"/>
        <v>33.900000000000006</v>
      </c>
      <c r="AD24" s="110">
        <v>4</v>
      </c>
      <c r="AE24" s="110">
        <v>11.1</v>
      </c>
      <c r="AF24" s="3">
        <v>0.47199999999999998</v>
      </c>
      <c r="AG24" s="3">
        <v>25.1</v>
      </c>
      <c r="AH24" s="3">
        <v>0</v>
      </c>
      <c r="AI24" s="3">
        <v>0</v>
      </c>
      <c r="AJ24" s="41">
        <v>-2.8000000000000001E-2</v>
      </c>
      <c r="AK24" s="110">
        <v>-1.1000000000000001</v>
      </c>
      <c r="AL24" s="110">
        <v>-1.4</v>
      </c>
      <c r="AM24" s="110">
        <v>0</v>
      </c>
      <c r="AN24" s="110">
        <v>7.8</v>
      </c>
    </row>
    <row r="25" spans="1:41" x14ac:dyDescent="0.2">
      <c r="A25" s="107"/>
      <c r="D25" s="105"/>
      <c r="E25" s="105"/>
      <c r="F25" s="106"/>
      <c r="G25" s="4"/>
      <c r="H25" s="110"/>
      <c r="K25" s="107"/>
      <c r="L25" s="109"/>
      <c r="P25" s="57"/>
      <c r="Q25" s="54"/>
      <c r="X25" s="107"/>
      <c r="Y25" s="107"/>
      <c r="Z25" s="41"/>
      <c r="AA25" s="110"/>
      <c r="AB25" s="110"/>
      <c r="AC25" s="110"/>
      <c r="AD25" s="110"/>
      <c r="AE25" s="110"/>
      <c r="AJ25" s="41"/>
      <c r="AK25" s="110"/>
      <c r="AL25" s="110"/>
      <c r="AM25" s="110"/>
      <c r="AN25" s="110"/>
    </row>
    <row r="26" spans="1:41" x14ac:dyDescent="0.2">
      <c r="E26" s="4"/>
      <c r="F26" s="36"/>
      <c r="G26" s="4">
        <f ca="1">TODAY()</f>
        <v>44162</v>
      </c>
      <c r="H26" s="36">
        <f ca="1">AVERAGE(H2:H16)</f>
        <v>25.706666666666667</v>
      </c>
      <c r="J26" s="36">
        <f>AVERAGE(J2:J16)</f>
        <v>5.2666666666666666</v>
      </c>
      <c r="K26" s="23"/>
      <c r="L26" s="54"/>
      <c r="M26" s="54"/>
      <c r="N26" s="54"/>
      <c r="O26" s="54"/>
      <c r="Q26" s="54"/>
    </row>
    <row r="27" spans="1:41" x14ac:dyDescent="0.2">
      <c r="E27" s="4"/>
      <c r="F27" s="36"/>
      <c r="G27" s="4"/>
      <c r="H27" s="36">
        <f ca="1">MEDIAN(H2:H16)</f>
        <v>25.1</v>
      </c>
      <c r="J27" s="36">
        <f>MEDIAN(J2:J16)</f>
        <v>4</v>
      </c>
      <c r="K27" s="23"/>
      <c r="L27" s="54"/>
      <c r="M27" s="54"/>
      <c r="N27" s="54"/>
      <c r="O27" s="54"/>
    </row>
    <row r="28" spans="1:41" x14ac:dyDescent="0.2">
      <c r="B28" s="5" t="s">
        <v>1985</v>
      </c>
      <c r="H28" s="36"/>
      <c r="K28" s="29"/>
      <c r="L28" s="16"/>
      <c r="M28" s="16"/>
      <c r="N28" s="16"/>
      <c r="O28" s="102"/>
      <c r="P28" s="11">
        <f>SUM(P2:P19)-P14+100000</f>
        <v>113093462</v>
      </c>
      <c r="Q28" s="11" t="s">
        <v>2723</v>
      </c>
      <c r="R28" s="11"/>
      <c r="S28" s="46"/>
      <c r="T28" s="22"/>
    </row>
    <row r="29" spans="1:41" x14ac:dyDescent="0.2">
      <c r="B29" s="3" t="s">
        <v>1876</v>
      </c>
      <c r="C29" s="3">
        <v>14</v>
      </c>
      <c r="K29" s="29"/>
      <c r="L29" s="16"/>
      <c r="M29" s="16"/>
      <c r="N29" s="16"/>
      <c r="O29" s="102"/>
      <c r="P29" s="29">
        <f>SUM(P2:P19)</f>
        <v>114695055</v>
      </c>
      <c r="Q29" s="11" t="s">
        <v>2693</v>
      </c>
      <c r="R29" s="11"/>
      <c r="S29" s="46"/>
      <c r="T29" s="22"/>
    </row>
    <row r="30" spans="1:41" x14ac:dyDescent="0.2">
      <c r="B30" s="3" t="s">
        <v>2457</v>
      </c>
      <c r="C30" s="3">
        <v>1</v>
      </c>
      <c r="L30" s="16"/>
      <c r="M30" s="16"/>
      <c r="N30" s="16"/>
      <c r="O30" s="16"/>
      <c r="P30" s="11"/>
      <c r="Q30" s="11"/>
      <c r="R30" s="11"/>
      <c r="S30" s="11"/>
      <c r="T30" s="11"/>
    </row>
    <row r="31" spans="1:41" x14ac:dyDescent="0.2">
      <c r="B31" s="24" t="s">
        <v>2539</v>
      </c>
      <c r="C31" s="3">
        <v>2</v>
      </c>
      <c r="L31" s="16"/>
      <c r="M31" s="16"/>
      <c r="N31" s="16"/>
      <c r="O31" s="3" t="s">
        <v>292</v>
      </c>
      <c r="P31" s="22" t="e">
        <f>#REF!</f>
        <v>#REF!</v>
      </c>
      <c r="Q31" s="11"/>
      <c r="R31" s="11"/>
      <c r="S31" s="11"/>
      <c r="T31" s="11"/>
    </row>
    <row r="32" spans="1:41" x14ac:dyDescent="0.2">
      <c r="B32" s="24" t="s">
        <v>291</v>
      </c>
      <c r="C32" s="22">
        <f>4767000-P10</f>
        <v>0</v>
      </c>
      <c r="D32" s="3" t="s">
        <v>24</v>
      </c>
      <c r="J32" s="4"/>
      <c r="L32" s="103"/>
      <c r="M32" s="16"/>
      <c r="N32" s="16"/>
      <c r="O32" s="54" t="s">
        <v>294</v>
      </c>
      <c r="P32" s="22" t="e">
        <f>#REF!</f>
        <v>#REF!</v>
      </c>
      <c r="Q32" s="11"/>
      <c r="R32" s="11"/>
      <c r="S32" s="11"/>
      <c r="T32" s="11"/>
    </row>
    <row r="33" spans="2:20" x14ac:dyDescent="0.2">
      <c r="B33" s="24" t="s">
        <v>293</v>
      </c>
      <c r="C33" s="22">
        <v>0</v>
      </c>
      <c r="J33" s="4"/>
      <c r="L33" s="103"/>
      <c r="M33" s="16"/>
      <c r="N33" s="16"/>
      <c r="O33" s="54" t="s">
        <v>2694</v>
      </c>
      <c r="P33" s="22" t="e">
        <f>#REF!</f>
        <v>#REF!</v>
      </c>
      <c r="Q33" s="11"/>
      <c r="R33" s="11"/>
      <c r="S33" s="11"/>
      <c r="T33" s="11"/>
    </row>
    <row r="34" spans="2:20" x14ac:dyDescent="0.2">
      <c r="B34" s="3" t="s">
        <v>295</v>
      </c>
      <c r="C34" s="22">
        <v>0</v>
      </c>
      <c r="J34" s="4"/>
      <c r="L34" s="103"/>
      <c r="M34" s="16"/>
      <c r="N34" s="16"/>
      <c r="O34" s="54"/>
      <c r="P34" s="22"/>
      <c r="Q34" s="11"/>
      <c r="R34" s="11"/>
      <c r="S34" s="11"/>
      <c r="T34" s="11"/>
    </row>
    <row r="35" spans="2:20" x14ac:dyDescent="0.2">
      <c r="C35" s="22"/>
      <c r="K35" s="22"/>
      <c r="L35" s="54"/>
      <c r="M35" s="54"/>
      <c r="N35" s="54"/>
      <c r="O35" s="54"/>
      <c r="P35" s="22"/>
    </row>
    <row r="36" spans="2:20" x14ac:dyDescent="0.2">
      <c r="B36" s="5" t="s">
        <v>1875</v>
      </c>
      <c r="K36" s="22"/>
      <c r="L36" s="54"/>
      <c r="M36" s="54"/>
      <c r="N36" s="54"/>
      <c r="O36" s="54"/>
    </row>
    <row r="37" spans="2:20" x14ac:dyDescent="0.2">
      <c r="B37" s="3" t="s">
        <v>296</v>
      </c>
      <c r="C37" s="41">
        <f>20/67</f>
        <v>0.29850746268656714</v>
      </c>
      <c r="D37" s="3" t="s">
        <v>315</v>
      </c>
      <c r="J37" s="22"/>
      <c r="K37" s="22"/>
      <c r="L37" s="54"/>
      <c r="M37" s="54"/>
      <c r="N37" s="54"/>
      <c r="O37" s="54"/>
    </row>
    <row r="38" spans="2:20" x14ac:dyDescent="0.2">
      <c r="B38" s="3" t="s">
        <v>298</v>
      </c>
      <c r="C38" s="110">
        <v>107</v>
      </c>
      <c r="D38" s="3" t="s">
        <v>1688</v>
      </c>
    </row>
    <row r="39" spans="2:20" x14ac:dyDescent="0.2">
      <c r="B39" s="3" t="s">
        <v>299</v>
      </c>
      <c r="C39" s="110">
        <v>114.4</v>
      </c>
      <c r="D39" s="3" t="s">
        <v>1952</v>
      </c>
      <c r="K39" s="208"/>
    </row>
    <row r="40" spans="2:20" x14ac:dyDescent="0.2">
      <c r="B40" s="3" t="s">
        <v>300</v>
      </c>
      <c r="C40" s="110">
        <f>C38-C39</f>
        <v>-7.4000000000000057</v>
      </c>
      <c r="D40" s="3" t="s">
        <v>1952</v>
      </c>
    </row>
    <row r="41" spans="2:20" x14ac:dyDescent="0.2">
      <c r="B41" s="3" t="s">
        <v>301</v>
      </c>
      <c r="C41" s="36">
        <v>103.28</v>
      </c>
      <c r="D41" s="3" t="s">
        <v>1980</v>
      </c>
    </row>
    <row r="43" spans="2:20" x14ac:dyDescent="0.2">
      <c r="B43" s="24" t="s">
        <v>302</v>
      </c>
    </row>
    <row r="44" spans="2:20" x14ac:dyDescent="0.2">
      <c r="B44" s="3" t="s">
        <v>303</v>
      </c>
    </row>
    <row r="45" spans="2:20" x14ac:dyDescent="0.2">
      <c r="B45" s="3" t="s">
        <v>304</v>
      </c>
      <c r="L45" s="208"/>
    </row>
    <row r="46" spans="2:20" x14ac:dyDescent="0.2">
      <c r="B46" s="3" t="s">
        <v>305</v>
      </c>
    </row>
    <row r="47" spans="2:20" x14ac:dyDescent="0.2">
      <c r="B47" s="3" t="s">
        <v>306</v>
      </c>
    </row>
    <row r="48" spans="2:20" x14ac:dyDescent="0.2">
      <c r="B48" s="3" t="s">
        <v>307</v>
      </c>
    </row>
    <row r="49" spans="2:9" x14ac:dyDescent="0.2">
      <c r="B49" s="3" t="s">
        <v>308</v>
      </c>
    </row>
    <row r="50" spans="2:9" x14ac:dyDescent="0.2">
      <c r="B50" s="3" t="s">
        <v>309</v>
      </c>
    </row>
    <row r="52" spans="2:9" x14ac:dyDescent="0.2">
      <c r="B52" s="3" t="s">
        <v>310</v>
      </c>
    </row>
    <row r="53" spans="2:9" x14ac:dyDescent="0.2">
      <c r="B53" s="3" t="s">
        <v>311</v>
      </c>
    </row>
    <row r="54" spans="2:9" x14ac:dyDescent="0.2">
      <c r="B54" s="3" t="s">
        <v>312</v>
      </c>
    </row>
    <row r="55" spans="2:9" x14ac:dyDescent="0.2">
      <c r="B55" s="3" t="s">
        <v>313</v>
      </c>
    </row>
    <row r="56" spans="2:9" x14ac:dyDescent="0.2">
      <c r="B56" s="3" t="s">
        <v>2695</v>
      </c>
    </row>
    <row r="58" spans="2:9" x14ac:dyDescent="0.2">
      <c r="B58" s="5" t="s">
        <v>1989</v>
      </c>
      <c r="H58" s="38"/>
      <c r="I58" s="38"/>
    </row>
    <row r="59" spans="2:9" x14ac:dyDescent="0.2">
      <c r="B59" s="40" t="s">
        <v>314</v>
      </c>
      <c r="C59" s="3">
        <v>20</v>
      </c>
      <c r="D59" s="3">
        <v>47</v>
      </c>
      <c r="E59" s="3" t="s">
        <v>315</v>
      </c>
      <c r="G59" s="3" t="s">
        <v>297</v>
      </c>
      <c r="H59" s="38"/>
      <c r="I59" s="38" t="s">
        <v>316</v>
      </c>
    </row>
    <row r="60" spans="2:9" x14ac:dyDescent="0.2">
      <c r="B60" s="40" t="s">
        <v>317</v>
      </c>
      <c r="C60" s="3">
        <v>29</v>
      </c>
      <c r="D60" s="3">
        <v>53</v>
      </c>
      <c r="E60" s="3" t="s">
        <v>318</v>
      </c>
      <c r="G60" s="3" t="s">
        <v>297</v>
      </c>
      <c r="I60" s="3" t="s">
        <v>316</v>
      </c>
    </row>
    <row r="61" spans="2:9" x14ac:dyDescent="0.2">
      <c r="B61" s="40" t="s">
        <v>319</v>
      </c>
      <c r="C61" s="3">
        <v>24</v>
      </c>
      <c r="D61" s="3">
        <v>58</v>
      </c>
      <c r="E61" s="3" t="s">
        <v>320</v>
      </c>
      <c r="G61" s="3" t="s">
        <v>321</v>
      </c>
      <c r="I61" s="3" t="s">
        <v>316</v>
      </c>
    </row>
    <row r="62" spans="2:9" x14ac:dyDescent="0.2">
      <c r="B62" s="40" t="s">
        <v>322</v>
      </c>
      <c r="C62" s="3">
        <v>43</v>
      </c>
      <c r="D62" s="3">
        <v>39</v>
      </c>
      <c r="E62" s="3" t="s">
        <v>323</v>
      </c>
      <c r="G62" s="3" t="s">
        <v>321</v>
      </c>
      <c r="I62" s="3" t="s">
        <v>324</v>
      </c>
    </row>
    <row r="63" spans="2:9" x14ac:dyDescent="0.2">
      <c r="B63" s="40" t="s">
        <v>325</v>
      </c>
      <c r="C63" s="3">
        <v>48</v>
      </c>
      <c r="D63" s="3">
        <v>34</v>
      </c>
      <c r="E63" s="3" t="s">
        <v>326</v>
      </c>
      <c r="G63" s="3" t="s">
        <v>321</v>
      </c>
      <c r="I63" s="3" t="s">
        <v>327</v>
      </c>
    </row>
    <row r="64" spans="2:9" x14ac:dyDescent="0.2">
      <c r="B64" s="40" t="s">
        <v>328</v>
      </c>
      <c r="C64" s="3">
        <v>60</v>
      </c>
      <c r="D64" s="3">
        <v>22</v>
      </c>
      <c r="E64" s="3" t="s">
        <v>329</v>
      </c>
      <c r="G64" s="3" t="s">
        <v>321</v>
      </c>
      <c r="I64" s="3" t="s">
        <v>330</v>
      </c>
    </row>
    <row r="65" spans="2:9" x14ac:dyDescent="0.2">
      <c r="B65" s="40" t="s">
        <v>331</v>
      </c>
      <c r="C65" s="3">
        <v>38</v>
      </c>
      <c r="D65" s="3">
        <v>44</v>
      </c>
      <c r="E65" s="3" t="s">
        <v>332</v>
      </c>
      <c r="G65" s="3" t="s">
        <v>321</v>
      </c>
      <c r="I65" s="3" t="s">
        <v>333</v>
      </c>
    </row>
    <row r="66" spans="2:9" x14ac:dyDescent="0.2">
      <c r="B66" s="40" t="s">
        <v>334</v>
      </c>
      <c r="C66" s="3">
        <v>44</v>
      </c>
      <c r="D66" s="3">
        <v>38</v>
      </c>
      <c r="E66" s="3" t="s">
        <v>335</v>
      </c>
      <c r="G66" s="3" t="s">
        <v>336</v>
      </c>
      <c r="I66" s="3" t="s">
        <v>337</v>
      </c>
    </row>
    <row r="67" spans="2:9" x14ac:dyDescent="0.2">
      <c r="B67" s="40" t="s">
        <v>338</v>
      </c>
      <c r="C67" s="3">
        <v>40</v>
      </c>
      <c r="D67" s="3">
        <v>26</v>
      </c>
      <c r="E67" s="3" t="s">
        <v>323</v>
      </c>
      <c r="G67" s="3" t="s">
        <v>336</v>
      </c>
      <c r="I67" s="3" t="s">
        <v>339</v>
      </c>
    </row>
    <row r="68" spans="2:9" x14ac:dyDescent="0.2">
      <c r="B68" s="40" t="s">
        <v>340</v>
      </c>
      <c r="C68" s="3">
        <v>44</v>
      </c>
      <c r="D68" s="3">
        <v>38</v>
      </c>
      <c r="E68" s="3" t="s">
        <v>323</v>
      </c>
      <c r="G68" s="3" t="s">
        <v>336</v>
      </c>
      <c r="I68" s="3" t="s">
        <v>341</v>
      </c>
    </row>
    <row r="69" spans="2:9" x14ac:dyDescent="0.2">
      <c r="B69" s="3" t="s">
        <v>342</v>
      </c>
      <c r="C69" s="3">
        <f>SUM(C59:C68)</f>
        <v>390</v>
      </c>
      <c r="D69" s="3">
        <f>SUM(D59:D68)</f>
        <v>399</v>
      </c>
      <c r="E69" s="41">
        <f>C69/(D69+C69)</f>
        <v>0.49429657794676807</v>
      </c>
    </row>
    <row r="70" spans="2:9" x14ac:dyDescent="0.2">
      <c r="E70" s="41"/>
    </row>
  </sheetData>
  <pageMargins left="0.7" right="0.7" top="0.75" bottom="0.75" header="0.3" footer="0.3"/>
  <ignoredErrors>
    <ignoredError sqref="J26:J27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D232-5D92-654F-907F-46FE4D106AE6}">
  <dimension ref="A1:AQ71"/>
  <sheetViews>
    <sheetView zoomScaleNormal="100" workbookViewId="0"/>
  </sheetViews>
  <sheetFormatPr baseColWidth="10" defaultColWidth="11" defaultRowHeight="16" x14ac:dyDescent="0.2"/>
  <cols>
    <col min="1" max="1" width="5.1640625" customWidth="1"/>
    <col min="2" max="2" width="20.6640625" customWidth="1"/>
    <col min="3" max="3" width="12.1640625" customWidth="1"/>
    <col min="4" max="4" width="9.5" customWidth="1"/>
    <col min="5" max="5" width="10.6640625" customWidth="1"/>
    <col min="6" max="6" width="8.5" customWidth="1"/>
    <col min="7" max="7" width="10.83203125" customWidth="1"/>
    <col min="8" max="8" width="6.83203125" customWidth="1"/>
    <col min="9" max="9" width="27.33203125" customWidth="1"/>
    <col min="10" max="10" width="10.1640625" customWidth="1"/>
    <col min="11" max="11" width="9.6640625" customWidth="1"/>
    <col min="12" max="12" width="5.5" customWidth="1"/>
    <col min="13" max="13" width="25.83203125" customWidth="1"/>
    <col min="14" max="14" width="14.83203125" customWidth="1"/>
    <col min="15" max="15" width="47.83203125" customWidth="1"/>
    <col min="16" max="16" width="13.5" customWidth="1"/>
    <col min="17" max="17" width="13.33203125" customWidth="1"/>
    <col min="18" max="18" width="13.6640625" customWidth="1"/>
    <col min="19" max="20" width="13" customWidth="1"/>
    <col min="21" max="21" width="10.1640625" customWidth="1"/>
    <col min="22" max="22" width="17" customWidth="1"/>
    <col min="23" max="23" width="26.1640625" customWidth="1"/>
    <col min="25" max="25" width="4.5" customWidth="1"/>
    <col min="26" max="26" width="7.83203125" customWidth="1"/>
    <col min="27" max="27" width="6.1640625" customWidth="1"/>
    <col min="28" max="28" width="6.33203125" customWidth="1"/>
    <col min="29" max="29" width="7.6640625" customWidth="1"/>
    <col min="30" max="30" width="5.33203125" customWidth="1"/>
    <col min="31" max="31" width="5.1640625" customWidth="1"/>
    <col min="32" max="32" width="6.5" customWidth="1"/>
    <col min="33" max="33" width="7.6640625" customWidth="1"/>
    <col min="34" max="34" width="5.1640625" customWidth="1"/>
    <col min="35" max="35" width="5" customWidth="1"/>
    <col min="36" max="36" width="6.83203125" customWidth="1"/>
    <col min="37" max="37" width="6.1640625" customWidth="1"/>
    <col min="38" max="38" width="5.83203125" customWidth="1"/>
    <col min="39" max="39" width="5.5" customWidth="1"/>
    <col min="40" max="40" width="4.83203125" customWidth="1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3" x14ac:dyDescent="0.2">
      <c r="A2" s="3">
        <v>30</v>
      </c>
      <c r="B2" s="3" t="s">
        <v>827</v>
      </c>
      <c r="C2" s="3" t="s">
        <v>247</v>
      </c>
      <c r="D2" s="105">
        <v>63</v>
      </c>
      <c r="E2" s="105">
        <v>64</v>
      </c>
      <c r="F2" s="106">
        <v>185</v>
      </c>
      <c r="G2" s="4">
        <v>32216</v>
      </c>
      <c r="H2" s="110">
        <f t="shared" ref="H2:H20" ca="1" si="0">ROUNDDOWN(YEARFRAC($G$24,G2),1)</f>
        <v>32.700000000000003</v>
      </c>
      <c r="I2" s="3" t="s">
        <v>828</v>
      </c>
      <c r="J2" s="3">
        <v>12</v>
      </c>
      <c r="K2" s="109">
        <v>2009</v>
      </c>
      <c r="L2" s="109">
        <v>7</v>
      </c>
      <c r="M2" s="3" t="s">
        <v>829</v>
      </c>
      <c r="N2" s="3" t="s">
        <v>1</v>
      </c>
      <c r="O2" s="3" t="s">
        <v>1892</v>
      </c>
      <c r="P2" s="11">
        <v>43006362</v>
      </c>
      <c r="Q2" s="11">
        <v>45780966</v>
      </c>
      <c r="R2" s="14">
        <v>48070014</v>
      </c>
      <c r="S2" s="12"/>
      <c r="T2" s="12"/>
      <c r="U2" s="59"/>
      <c r="V2" s="59" t="s">
        <v>347</v>
      </c>
      <c r="W2" s="96" t="s">
        <v>284</v>
      </c>
      <c r="X2" s="69">
        <v>1</v>
      </c>
      <c r="Y2" s="69">
        <v>5</v>
      </c>
      <c r="Z2" s="65">
        <f>1/5</f>
        <v>0.2</v>
      </c>
      <c r="AA2" s="119">
        <v>108.5</v>
      </c>
      <c r="AB2" s="119">
        <v>123.7</v>
      </c>
      <c r="AC2" s="119">
        <f t="shared" ref="AC2:AC17" si="1">AA2-AB2</f>
        <v>-15.200000000000003</v>
      </c>
      <c r="AD2" s="119">
        <v>27.9</v>
      </c>
      <c r="AE2" s="119">
        <v>21.7</v>
      </c>
      <c r="AF2" s="65">
        <v>0.55700000000000005</v>
      </c>
      <c r="AG2" s="119">
        <v>33.6</v>
      </c>
      <c r="AH2" s="119">
        <v>0.2</v>
      </c>
      <c r="AI2" s="119">
        <v>0.1</v>
      </c>
      <c r="AJ2" s="65">
        <v>0.104</v>
      </c>
      <c r="AK2" s="119">
        <v>4.5</v>
      </c>
      <c r="AL2" s="119">
        <v>-0.6</v>
      </c>
      <c r="AM2" s="119">
        <v>0.2</v>
      </c>
      <c r="AN2" s="119">
        <v>13.3</v>
      </c>
    </row>
    <row r="3" spans="1:43" x14ac:dyDescent="0.2">
      <c r="A3" s="3">
        <v>11</v>
      </c>
      <c r="B3" s="3" t="s">
        <v>830</v>
      </c>
      <c r="C3" s="3" t="s">
        <v>252</v>
      </c>
      <c r="D3" s="105">
        <v>66</v>
      </c>
      <c r="E3" s="105">
        <v>69</v>
      </c>
      <c r="F3" s="106">
        <v>215</v>
      </c>
      <c r="G3" s="4">
        <v>32912</v>
      </c>
      <c r="H3" s="110">
        <f t="shared" ca="1" si="0"/>
        <v>30.8</v>
      </c>
      <c r="I3" s="3" t="s">
        <v>831</v>
      </c>
      <c r="J3" s="3">
        <v>10</v>
      </c>
      <c r="K3" s="109">
        <v>2011</v>
      </c>
      <c r="L3" s="109">
        <v>11</v>
      </c>
      <c r="M3" s="3" t="s">
        <v>832</v>
      </c>
      <c r="N3" s="3" t="s">
        <v>1</v>
      </c>
      <c r="O3" s="3" t="s">
        <v>1893</v>
      </c>
      <c r="P3" s="11">
        <v>35361460</v>
      </c>
      <c r="Q3" s="11">
        <v>37980720</v>
      </c>
      <c r="R3" s="11">
        <v>40600080</v>
      </c>
      <c r="S3" s="11">
        <v>43219440</v>
      </c>
      <c r="T3" s="14">
        <v>49926100</v>
      </c>
      <c r="U3" s="59"/>
      <c r="V3" s="59" t="s">
        <v>347</v>
      </c>
      <c r="W3" s="59" t="s">
        <v>833</v>
      </c>
      <c r="X3" s="69">
        <v>2</v>
      </c>
      <c r="Y3" s="69">
        <v>78</v>
      </c>
      <c r="Z3" s="65">
        <f>54/78</f>
        <v>0.69230769230769229</v>
      </c>
      <c r="AA3" s="119">
        <v>115</v>
      </c>
      <c r="AB3" s="119">
        <v>108.5</v>
      </c>
      <c r="AC3" s="119">
        <f t="shared" si="1"/>
        <v>6.5</v>
      </c>
      <c r="AD3" s="119">
        <v>34</v>
      </c>
      <c r="AE3" s="119">
        <v>16.600000000000001</v>
      </c>
      <c r="AF3" s="65">
        <v>0.57099999999999995</v>
      </c>
      <c r="AG3" s="119">
        <v>25.6</v>
      </c>
      <c r="AH3" s="119">
        <v>2.9</v>
      </c>
      <c r="AI3" s="119">
        <v>2.2999999999999998</v>
      </c>
      <c r="AJ3" s="65">
        <v>9.5000000000000001E-2</v>
      </c>
      <c r="AK3" s="119">
        <v>1.1000000000000001</v>
      </c>
      <c r="AL3" s="119">
        <v>-1.4</v>
      </c>
      <c r="AM3" s="119">
        <v>1.2</v>
      </c>
      <c r="AN3" s="119">
        <v>10.3</v>
      </c>
    </row>
    <row r="4" spans="1:43" x14ac:dyDescent="0.2">
      <c r="A4" s="3">
        <v>22</v>
      </c>
      <c r="B4" s="3" t="s">
        <v>834</v>
      </c>
      <c r="C4" s="3" t="s">
        <v>241</v>
      </c>
      <c r="D4" s="105">
        <v>67</v>
      </c>
      <c r="E4" s="105">
        <v>70</v>
      </c>
      <c r="F4" s="106">
        <v>197</v>
      </c>
      <c r="G4" s="4">
        <v>34753</v>
      </c>
      <c r="H4" s="110">
        <f t="shared" ca="1" si="0"/>
        <v>25.7</v>
      </c>
      <c r="I4" s="3" t="s">
        <v>498</v>
      </c>
      <c r="J4" s="3">
        <v>7</v>
      </c>
      <c r="K4" s="109">
        <v>2014</v>
      </c>
      <c r="L4" s="109">
        <v>1</v>
      </c>
      <c r="M4" s="3" t="s">
        <v>835</v>
      </c>
      <c r="N4" s="3" t="s">
        <v>836</v>
      </c>
      <c r="O4" s="3" t="s">
        <v>1894</v>
      </c>
      <c r="P4" s="11">
        <v>29542010</v>
      </c>
      <c r="Q4" s="11">
        <v>31579390</v>
      </c>
      <c r="R4" s="11">
        <v>33616770</v>
      </c>
      <c r="S4" s="14">
        <v>40979925</v>
      </c>
      <c r="T4" s="3"/>
      <c r="U4" s="59"/>
      <c r="V4" s="59"/>
      <c r="W4" s="59" t="s">
        <v>837</v>
      </c>
      <c r="X4" s="69">
        <v>3</v>
      </c>
      <c r="Y4" s="69">
        <v>12</v>
      </c>
      <c r="Z4" s="65">
        <f>3/12</f>
        <v>0.25</v>
      </c>
      <c r="AA4" s="119">
        <v>106.7</v>
      </c>
      <c r="AB4" s="119">
        <v>116.5</v>
      </c>
      <c r="AC4" s="119">
        <f t="shared" si="1"/>
        <v>-9.7999999999999972</v>
      </c>
      <c r="AD4" s="119">
        <v>33.6</v>
      </c>
      <c r="AE4" s="119">
        <v>17.5</v>
      </c>
      <c r="AF4" s="65">
        <v>0.54200000000000004</v>
      </c>
      <c r="AG4" s="119">
        <v>25.4</v>
      </c>
      <c r="AH4" s="119">
        <v>0.2</v>
      </c>
      <c r="AI4" s="119">
        <v>0.3</v>
      </c>
      <c r="AJ4" s="65">
        <v>6.4000000000000001E-2</v>
      </c>
      <c r="AK4" s="119">
        <v>1</v>
      </c>
      <c r="AL4" s="119">
        <v>-1.1000000000000001</v>
      </c>
      <c r="AM4" s="119">
        <v>0.2</v>
      </c>
      <c r="AN4" s="119">
        <v>9.9</v>
      </c>
    </row>
    <row r="5" spans="1:43" x14ac:dyDescent="0.2">
      <c r="A5" s="3">
        <v>23</v>
      </c>
      <c r="B5" s="3" t="s">
        <v>838</v>
      </c>
      <c r="C5" s="3" t="s">
        <v>241</v>
      </c>
      <c r="D5" s="105">
        <v>66</v>
      </c>
      <c r="E5" s="105">
        <v>71</v>
      </c>
      <c r="F5" s="106">
        <v>230</v>
      </c>
      <c r="G5" s="4">
        <v>32936</v>
      </c>
      <c r="H5" s="110">
        <f t="shared" ca="1" si="0"/>
        <v>30.7</v>
      </c>
      <c r="I5" s="3" t="s">
        <v>489</v>
      </c>
      <c r="J5" s="3">
        <v>9</v>
      </c>
      <c r="K5" s="109">
        <v>2012</v>
      </c>
      <c r="L5" s="109">
        <v>35</v>
      </c>
      <c r="M5" s="3" t="s">
        <v>839</v>
      </c>
      <c r="N5" s="3" t="s">
        <v>1</v>
      </c>
      <c r="O5" s="3" t="s">
        <v>1891</v>
      </c>
      <c r="P5" s="11">
        <v>22246956</v>
      </c>
      <c r="Q5" s="11">
        <v>24026712</v>
      </c>
      <c r="R5" s="11">
        <v>25806468</v>
      </c>
      <c r="S5" s="47">
        <v>27586224</v>
      </c>
      <c r="T5" s="14">
        <f>S5*1.5</f>
        <v>41379336</v>
      </c>
      <c r="U5" s="59"/>
      <c r="V5" s="59" t="s">
        <v>347</v>
      </c>
      <c r="W5" s="59" t="s">
        <v>840</v>
      </c>
      <c r="X5" s="69">
        <v>4</v>
      </c>
      <c r="Y5" s="69">
        <v>43</v>
      </c>
      <c r="Z5" s="65">
        <f>10/43</f>
        <v>0.23255813953488372</v>
      </c>
      <c r="AA5" s="119">
        <v>103.2</v>
      </c>
      <c r="AB5" s="119">
        <v>110.4</v>
      </c>
      <c r="AC5" s="119">
        <f t="shared" si="1"/>
        <v>-7.2000000000000028</v>
      </c>
      <c r="AD5" s="119">
        <v>28.4</v>
      </c>
      <c r="AE5" s="119">
        <v>12.6</v>
      </c>
      <c r="AF5" s="65">
        <v>0.48899999999999999</v>
      </c>
      <c r="AG5" s="119">
        <v>15.7</v>
      </c>
      <c r="AH5" s="119">
        <v>-0.2</v>
      </c>
      <c r="AI5" s="119">
        <v>1.3</v>
      </c>
      <c r="AJ5" s="65">
        <v>4.3999999999999997E-2</v>
      </c>
      <c r="AK5" s="119">
        <v>-2</v>
      </c>
      <c r="AL5" s="119">
        <v>1.9</v>
      </c>
      <c r="AM5" s="119">
        <v>0.6</v>
      </c>
      <c r="AN5" s="119">
        <v>10</v>
      </c>
    </row>
    <row r="6" spans="1:43" x14ac:dyDescent="0.2">
      <c r="A6" s="3"/>
      <c r="B6" s="3" t="s">
        <v>1543</v>
      </c>
      <c r="C6" s="59" t="s">
        <v>241</v>
      </c>
      <c r="D6" s="142">
        <v>67</v>
      </c>
      <c r="E6" s="142">
        <v>73</v>
      </c>
      <c r="F6" s="143">
        <v>203</v>
      </c>
      <c r="G6" s="4">
        <v>35042</v>
      </c>
      <c r="H6" s="110">
        <f t="shared" ca="1" si="0"/>
        <v>24.9</v>
      </c>
      <c r="I6" s="59" t="s">
        <v>498</v>
      </c>
      <c r="J6" s="3">
        <v>5</v>
      </c>
      <c r="K6" s="59">
        <v>2015</v>
      </c>
      <c r="L6" s="59">
        <v>15</v>
      </c>
      <c r="M6" s="3" t="s">
        <v>2621</v>
      </c>
      <c r="N6" s="3" t="s">
        <v>783</v>
      </c>
      <c r="O6" s="59" t="s">
        <v>2100</v>
      </c>
      <c r="P6" s="16">
        <v>14375000</v>
      </c>
      <c r="Q6" s="14">
        <f>P6*1.5</f>
        <v>21562500</v>
      </c>
      <c r="R6" s="12"/>
      <c r="S6" s="12"/>
      <c r="T6" s="12"/>
      <c r="U6" s="59"/>
      <c r="V6" s="59"/>
      <c r="W6" s="59" t="s">
        <v>1544</v>
      </c>
      <c r="X6" s="69">
        <v>3</v>
      </c>
      <c r="Y6" s="69">
        <v>56</v>
      </c>
      <c r="Z6" s="65">
        <f>22/56</f>
        <v>0.39285714285714285</v>
      </c>
      <c r="AA6" s="119">
        <v>110.6</v>
      </c>
      <c r="AB6" s="119">
        <v>110.4</v>
      </c>
      <c r="AC6" s="119">
        <f t="shared" si="1"/>
        <v>0.19999999999998863</v>
      </c>
      <c r="AD6" s="119">
        <v>34.5</v>
      </c>
      <c r="AE6" s="119">
        <v>14.9</v>
      </c>
      <c r="AF6" s="65">
        <v>0.56000000000000005</v>
      </c>
      <c r="AG6" s="119">
        <v>22.4</v>
      </c>
      <c r="AH6" s="119">
        <v>1.7</v>
      </c>
      <c r="AI6" s="119">
        <v>1.9</v>
      </c>
      <c r="AJ6" s="65">
        <v>0.09</v>
      </c>
      <c r="AK6" s="119">
        <v>-0.3</v>
      </c>
      <c r="AL6" s="119">
        <v>-0.4</v>
      </c>
      <c r="AM6" s="119">
        <v>0.7</v>
      </c>
      <c r="AN6" s="119">
        <v>9.6999999999999993</v>
      </c>
      <c r="AO6" s="59"/>
      <c r="AP6" s="59"/>
      <c r="AQ6" s="59"/>
    </row>
    <row r="7" spans="1:43" x14ac:dyDescent="0.2">
      <c r="A7" s="6">
        <v>3</v>
      </c>
      <c r="B7" s="2" t="s">
        <v>2239</v>
      </c>
      <c r="C7" s="3" t="s">
        <v>234</v>
      </c>
      <c r="D7" s="105">
        <v>71</v>
      </c>
      <c r="E7" s="105">
        <v>74</v>
      </c>
      <c r="F7" s="106">
        <v>235</v>
      </c>
      <c r="G7" s="62">
        <v>36981</v>
      </c>
      <c r="H7" s="110">
        <f t="shared" ca="1" si="0"/>
        <v>19.600000000000001</v>
      </c>
      <c r="I7" s="3" t="s">
        <v>223</v>
      </c>
      <c r="J7" s="3">
        <v>1</v>
      </c>
      <c r="K7" s="54">
        <v>2020</v>
      </c>
      <c r="L7" s="109">
        <v>2</v>
      </c>
      <c r="M7" s="16" t="s">
        <v>2241</v>
      </c>
      <c r="N7" s="16" t="s">
        <v>244</v>
      </c>
      <c r="O7" s="16" t="s">
        <v>2242</v>
      </c>
      <c r="P7" s="87">
        <v>8730240</v>
      </c>
      <c r="Q7" s="87">
        <v>9166800</v>
      </c>
      <c r="R7" s="90">
        <v>9603360</v>
      </c>
      <c r="S7" s="90">
        <f>R7*1.262</f>
        <v>12119440.32</v>
      </c>
      <c r="T7" s="91">
        <f>S7*2.5</f>
        <v>30298600.800000001</v>
      </c>
      <c r="U7" s="59"/>
      <c r="V7" s="59"/>
      <c r="W7" s="59"/>
      <c r="X7" s="69"/>
      <c r="Y7" s="69"/>
      <c r="Z7" s="65"/>
      <c r="AA7" s="119"/>
      <c r="AB7" s="119"/>
      <c r="AC7" s="119"/>
      <c r="AD7" s="119"/>
      <c r="AE7" s="119"/>
      <c r="AF7" s="65"/>
      <c r="AG7" s="119"/>
      <c r="AH7" s="119"/>
      <c r="AI7" s="119"/>
      <c r="AJ7" s="65"/>
      <c r="AK7" s="119"/>
      <c r="AL7" s="119"/>
      <c r="AM7" s="119"/>
      <c r="AN7" s="119"/>
      <c r="AO7" s="59"/>
      <c r="AP7" s="59"/>
      <c r="AQ7" s="59"/>
    </row>
    <row r="8" spans="1:43" x14ac:dyDescent="0.2">
      <c r="A8" s="3">
        <v>5</v>
      </c>
      <c r="B8" s="3" t="s">
        <v>841</v>
      </c>
      <c r="C8" s="3" t="s">
        <v>234</v>
      </c>
      <c r="D8" s="105">
        <v>69</v>
      </c>
      <c r="E8" s="105">
        <v>74</v>
      </c>
      <c r="F8" s="106">
        <v>222</v>
      </c>
      <c r="G8" s="4">
        <v>35101</v>
      </c>
      <c r="H8" s="110">
        <f t="shared" ca="1" si="0"/>
        <v>24.8</v>
      </c>
      <c r="I8" s="3" t="s">
        <v>534</v>
      </c>
      <c r="J8" s="3">
        <v>6</v>
      </c>
      <c r="K8" s="109">
        <v>2015</v>
      </c>
      <c r="L8" s="109">
        <v>30</v>
      </c>
      <c r="M8" s="3" t="s">
        <v>842</v>
      </c>
      <c r="N8" s="3" t="s">
        <v>1</v>
      </c>
      <c r="O8" s="3" t="s">
        <v>1895</v>
      </c>
      <c r="P8" s="11">
        <v>4821429</v>
      </c>
      <c r="Q8" s="47">
        <v>5178572</v>
      </c>
      <c r="R8" s="14">
        <f>Q8*1.9</f>
        <v>9839286.7999999989</v>
      </c>
      <c r="S8" s="12"/>
      <c r="T8" s="12"/>
      <c r="U8" s="59"/>
      <c r="V8" s="59"/>
      <c r="W8" s="59" t="s">
        <v>843</v>
      </c>
      <c r="X8" s="69">
        <v>5</v>
      </c>
      <c r="Y8" s="69">
        <v>20</v>
      </c>
      <c r="Z8" s="65">
        <f>6/20</f>
        <v>0.3</v>
      </c>
      <c r="AA8" s="119">
        <v>92.6</v>
      </c>
      <c r="AB8" s="119">
        <v>110.9</v>
      </c>
      <c r="AC8" s="119">
        <f t="shared" si="1"/>
        <v>-18.300000000000011</v>
      </c>
      <c r="AD8" s="119">
        <v>13.1</v>
      </c>
      <c r="AE8" s="119">
        <v>9.4</v>
      </c>
      <c r="AF8" s="65">
        <v>0.40300000000000002</v>
      </c>
      <c r="AG8" s="119">
        <v>15.7</v>
      </c>
      <c r="AH8" s="119">
        <v>-0.2</v>
      </c>
      <c r="AI8" s="119">
        <v>0.2</v>
      </c>
      <c r="AJ8" s="65">
        <v>5.0000000000000001E-3</v>
      </c>
      <c r="AK8" s="119">
        <v>-4.8</v>
      </c>
      <c r="AL8" s="119">
        <v>-0.8</v>
      </c>
      <c r="AM8" s="119">
        <v>-0.2</v>
      </c>
      <c r="AN8" s="119">
        <v>5.6</v>
      </c>
    </row>
    <row r="9" spans="1:43" x14ac:dyDescent="0.2">
      <c r="A9" s="107"/>
      <c r="B9" s="3" t="s">
        <v>10</v>
      </c>
      <c r="C9" s="3" t="s">
        <v>230</v>
      </c>
      <c r="D9" s="105">
        <v>63</v>
      </c>
      <c r="E9" s="105">
        <v>68</v>
      </c>
      <c r="F9" s="106">
        <v>210</v>
      </c>
      <c r="G9" s="4">
        <v>32714</v>
      </c>
      <c r="H9" s="110">
        <f t="shared" ca="1" si="0"/>
        <v>31.3</v>
      </c>
      <c r="I9" s="3" t="s">
        <v>379</v>
      </c>
      <c r="J9" s="3">
        <v>3</v>
      </c>
      <c r="K9" s="109">
        <v>2011</v>
      </c>
      <c r="L9" s="108"/>
      <c r="M9" s="3" t="s">
        <v>2661</v>
      </c>
      <c r="N9" s="3" t="s">
        <v>748</v>
      </c>
      <c r="O9" s="11" t="s">
        <v>2438</v>
      </c>
      <c r="P9" s="87">
        <f>2250000</f>
        <v>2250000</v>
      </c>
      <c r="Q9" s="88">
        <f>P9*1.2</f>
        <v>2700000</v>
      </c>
      <c r="R9" s="3"/>
      <c r="S9" s="3"/>
      <c r="T9" s="27"/>
      <c r="U9" s="3"/>
      <c r="V9" s="3"/>
      <c r="W9" s="3" t="s">
        <v>380</v>
      </c>
      <c r="X9" s="107">
        <v>1</v>
      </c>
      <c r="Y9" s="107">
        <v>63</v>
      </c>
      <c r="Z9" s="41">
        <f>43/63</f>
        <v>0.68253968253968256</v>
      </c>
      <c r="AA9" s="110">
        <v>107.7</v>
      </c>
      <c r="AB9" s="110">
        <v>104.8</v>
      </c>
      <c r="AC9" s="110">
        <f t="shared" si="1"/>
        <v>2.9000000000000057</v>
      </c>
      <c r="AD9" s="110">
        <v>19.3</v>
      </c>
      <c r="AE9" s="110">
        <v>11.8</v>
      </c>
      <c r="AF9" s="41">
        <v>0.56000000000000005</v>
      </c>
      <c r="AG9" s="110">
        <v>15.4</v>
      </c>
      <c r="AH9" s="110">
        <v>1.2</v>
      </c>
      <c r="AI9" s="110">
        <v>1.5</v>
      </c>
      <c r="AJ9" s="41">
        <v>0.108</v>
      </c>
      <c r="AK9" s="110">
        <v>-2.5</v>
      </c>
      <c r="AL9" s="110">
        <v>1.2</v>
      </c>
      <c r="AM9" s="110">
        <v>0.2</v>
      </c>
      <c r="AN9" s="110">
        <v>8.1</v>
      </c>
      <c r="AO9" s="3"/>
      <c r="AP9" s="3"/>
      <c r="AQ9" s="3"/>
    </row>
    <row r="10" spans="1:43" x14ac:dyDescent="0.2">
      <c r="A10" s="3">
        <v>3</v>
      </c>
      <c r="B10" s="3" t="s">
        <v>844</v>
      </c>
      <c r="C10" s="3" t="s">
        <v>230</v>
      </c>
      <c r="D10" s="105">
        <v>64</v>
      </c>
      <c r="E10" s="105">
        <v>67</v>
      </c>
      <c r="F10" s="106">
        <v>194</v>
      </c>
      <c r="G10" s="4">
        <v>36330</v>
      </c>
      <c r="H10" s="110">
        <f t="shared" ca="1" si="0"/>
        <v>21.4</v>
      </c>
      <c r="I10" s="3" t="s">
        <v>425</v>
      </c>
      <c r="J10" s="3">
        <v>2</v>
      </c>
      <c r="K10" s="109">
        <v>2019</v>
      </c>
      <c r="L10" s="109">
        <v>28</v>
      </c>
      <c r="M10" s="3" t="s">
        <v>845</v>
      </c>
      <c r="N10" s="3" t="s">
        <v>244</v>
      </c>
      <c r="O10" s="3" t="s">
        <v>1896</v>
      </c>
      <c r="P10" s="11">
        <v>2063280</v>
      </c>
      <c r="Q10" s="50">
        <v>2161440</v>
      </c>
      <c r="R10" s="50">
        <v>3901399</v>
      </c>
      <c r="S10" s="49">
        <v>11704197</v>
      </c>
      <c r="T10" s="3"/>
      <c r="U10" s="59"/>
      <c r="V10" s="59"/>
      <c r="W10" s="59" t="s">
        <v>846</v>
      </c>
      <c r="X10" s="69">
        <v>2</v>
      </c>
      <c r="Y10" s="69">
        <v>57</v>
      </c>
      <c r="Z10" s="65">
        <f>12/57</f>
        <v>0.21052631578947367</v>
      </c>
      <c r="AA10" s="119">
        <v>101.8</v>
      </c>
      <c r="AB10" s="119">
        <v>110</v>
      </c>
      <c r="AC10" s="119">
        <f t="shared" si="1"/>
        <v>-8.2000000000000028</v>
      </c>
      <c r="AD10" s="119">
        <v>22.3</v>
      </c>
      <c r="AE10" s="119">
        <v>7.2</v>
      </c>
      <c r="AF10" s="65">
        <v>0.45400000000000001</v>
      </c>
      <c r="AG10" s="119">
        <v>21.1</v>
      </c>
      <c r="AH10" s="119">
        <v>-1.6</v>
      </c>
      <c r="AI10" s="119">
        <v>0.4</v>
      </c>
      <c r="AJ10" s="65">
        <v>-4.7E-2</v>
      </c>
      <c r="AK10" s="119">
        <v>-4.4000000000000004</v>
      </c>
      <c r="AL10" s="119">
        <v>-2.2000000000000002</v>
      </c>
      <c r="AM10" s="119">
        <v>-1.5</v>
      </c>
      <c r="AN10" s="119">
        <v>5.0999999999999996</v>
      </c>
    </row>
    <row r="11" spans="1:43" x14ac:dyDescent="0.2">
      <c r="A11" s="3">
        <v>32</v>
      </c>
      <c r="B11" s="3" t="s">
        <v>55</v>
      </c>
      <c r="C11" s="3" t="s">
        <v>234</v>
      </c>
      <c r="D11" s="105">
        <v>69</v>
      </c>
      <c r="E11" s="105">
        <v>71</v>
      </c>
      <c r="F11" s="106">
        <v>240</v>
      </c>
      <c r="G11" s="4">
        <v>35613</v>
      </c>
      <c r="H11" s="110">
        <f t="shared" ca="1" si="0"/>
        <v>23.4</v>
      </c>
      <c r="I11" s="3" t="s">
        <v>831</v>
      </c>
      <c r="J11" s="3">
        <v>5</v>
      </c>
      <c r="K11" s="109">
        <v>2016</v>
      </c>
      <c r="L11" s="109">
        <v>8</v>
      </c>
      <c r="M11" s="3" t="s">
        <v>857</v>
      </c>
      <c r="N11" s="3" t="s">
        <v>276</v>
      </c>
      <c r="O11" s="159" t="s">
        <v>283</v>
      </c>
      <c r="P11" s="15">
        <v>1824003</v>
      </c>
      <c r="Q11" s="51">
        <v>1856061</v>
      </c>
      <c r="R11" s="3"/>
      <c r="S11" s="3"/>
      <c r="T11" s="154"/>
      <c r="U11" s="59"/>
      <c r="V11" s="59"/>
      <c r="W11" s="59" t="s">
        <v>479</v>
      </c>
      <c r="X11" s="69">
        <v>5</v>
      </c>
      <c r="Y11" s="69">
        <v>59</v>
      </c>
      <c r="Z11" s="65">
        <f>15/59</f>
        <v>0.25423728813559321</v>
      </c>
      <c r="AA11" s="119">
        <v>103.7</v>
      </c>
      <c r="AB11" s="119">
        <v>113.2</v>
      </c>
      <c r="AC11" s="119">
        <f t="shared" si="1"/>
        <v>-9.5</v>
      </c>
      <c r="AD11" s="119">
        <v>20.3</v>
      </c>
      <c r="AE11" s="119">
        <v>9.4</v>
      </c>
      <c r="AF11" s="65">
        <v>0.60399999999999998</v>
      </c>
      <c r="AG11" s="119">
        <v>19</v>
      </c>
      <c r="AH11" s="119">
        <v>2.1</v>
      </c>
      <c r="AI11" s="119">
        <v>1.3</v>
      </c>
      <c r="AJ11" s="65">
        <v>0.13600000000000001</v>
      </c>
      <c r="AK11" s="119">
        <v>0.1</v>
      </c>
      <c r="AL11" s="119">
        <v>0.5</v>
      </c>
      <c r="AM11" s="119">
        <v>0.8</v>
      </c>
      <c r="AN11" s="119">
        <v>12.7</v>
      </c>
    </row>
    <row r="12" spans="1:43" x14ac:dyDescent="0.2">
      <c r="A12" s="3">
        <v>1</v>
      </c>
      <c r="B12" s="3" t="s">
        <v>54</v>
      </c>
      <c r="C12" s="3" t="s">
        <v>230</v>
      </c>
      <c r="D12" s="105">
        <v>65</v>
      </c>
      <c r="E12" s="105"/>
      <c r="F12" s="106">
        <v>210</v>
      </c>
      <c r="G12" s="4">
        <v>33898</v>
      </c>
      <c r="H12" s="110">
        <f t="shared" ca="1" si="0"/>
        <v>28.1</v>
      </c>
      <c r="I12" s="3" t="s">
        <v>474</v>
      </c>
      <c r="J12" s="3">
        <v>4</v>
      </c>
      <c r="K12" s="109">
        <v>2016</v>
      </c>
      <c r="L12" s="109"/>
      <c r="M12" s="3" t="s">
        <v>854</v>
      </c>
      <c r="N12" s="3" t="s">
        <v>495</v>
      </c>
      <c r="O12" s="159" t="s">
        <v>855</v>
      </c>
      <c r="P12" s="15">
        <v>1762796</v>
      </c>
      <c r="Q12" s="15">
        <v>1910860</v>
      </c>
      <c r="R12" s="51">
        <v>1948864</v>
      </c>
      <c r="S12" s="3"/>
      <c r="T12" s="12"/>
      <c r="U12" s="59"/>
      <c r="V12" s="59"/>
      <c r="W12" s="59" t="s">
        <v>856</v>
      </c>
      <c r="X12" s="69">
        <v>2</v>
      </c>
      <c r="Y12" s="69">
        <v>49</v>
      </c>
      <c r="Z12" s="65">
        <f>12/49</f>
        <v>0.24489795918367346</v>
      </c>
      <c r="AA12" s="119">
        <v>105.6</v>
      </c>
      <c r="AB12" s="119">
        <v>109.7</v>
      </c>
      <c r="AC12" s="119">
        <f t="shared" si="1"/>
        <v>-4.1000000000000085</v>
      </c>
      <c r="AD12" s="119">
        <v>29</v>
      </c>
      <c r="AE12" s="119">
        <v>12.7</v>
      </c>
      <c r="AF12" s="65">
        <v>0.54800000000000004</v>
      </c>
      <c r="AG12" s="119">
        <v>19</v>
      </c>
      <c r="AH12" s="119">
        <v>0.9</v>
      </c>
      <c r="AI12" s="119">
        <v>0.8</v>
      </c>
      <c r="AJ12" s="65">
        <v>5.8000000000000003E-2</v>
      </c>
      <c r="AK12" s="119">
        <v>-1.5</v>
      </c>
      <c r="AL12" s="119">
        <v>-0.8</v>
      </c>
      <c r="AM12" s="119">
        <v>-0.1</v>
      </c>
      <c r="AN12" s="119">
        <v>8.9</v>
      </c>
    </row>
    <row r="13" spans="1:43" x14ac:dyDescent="0.2">
      <c r="A13" s="3"/>
      <c r="B13" s="3" t="s">
        <v>156</v>
      </c>
      <c r="C13" s="3" t="s">
        <v>241</v>
      </c>
      <c r="D13" s="105">
        <v>64</v>
      </c>
      <c r="E13" s="105">
        <v>70</v>
      </c>
      <c r="F13" s="106">
        <v>195</v>
      </c>
      <c r="G13" s="4">
        <v>32690</v>
      </c>
      <c r="H13" s="110">
        <f t="shared" ca="1" si="0"/>
        <v>31.4</v>
      </c>
      <c r="I13" s="3" t="s">
        <v>1618</v>
      </c>
      <c r="J13" s="3">
        <v>9</v>
      </c>
      <c r="K13" s="3">
        <v>2012</v>
      </c>
      <c r="L13" s="3"/>
      <c r="M13" s="3" t="s">
        <v>2662</v>
      </c>
      <c r="N13" s="3" t="s">
        <v>276</v>
      </c>
      <c r="O13" s="3" t="s">
        <v>2438</v>
      </c>
      <c r="P13" s="11">
        <v>1620564</v>
      </c>
      <c r="Q13" s="14">
        <v>1707576</v>
      </c>
      <c r="R13" s="12"/>
      <c r="S13" s="12"/>
      <c r="T13" s="12"/>
      <c r="U13" s="3"/>
      <c r="V13" s="3"/>
      <c r="W13" s="3"/>
      <c r="X13" s="3" t="s">
        <v>1620</v>
      </c>
      <c r="Y13" s="107">
        <v>2</v>
      </c>
      <c r="Z13" s="107">
        <v>21</v>
      </c>
      <c r="AA13" s="41">
        <f>13/21</f>
        <v>0.61904761904761907</v>
      </c>
      <c r="AB13" s="110">
        <v>107</v>
      </c>
      <c r="AC13" s="110">
        <v>104.3</v>
      </c>
      <c r="AD13" s="110">
        <f t="shared" ref="AD13" si="2">AB13-AC13</f>
        <v>2.7000000000000028</v>
      </c>
      <c r="AE13" s="110">
        <v>23.5</v>
      </c>
      <c r="AF13" s="110">
        <v>13</v>
      </c>
      <c r="AG13" s="41">
        <v>0.54300000000000004</v>
      </c>
      <c r="AH13" s="110">
        <v>19.899999999999999</v>
      </c>
      <c r="AI13" s="110">
        <v>0.2</v>
      </c>
      <c r="AJ13" s="110">
        <v>0.6</v>
      </c>
      <c r="AK13" s="41">
        <v>7.6999999999999999E-2</v>
      </c>
      <c r="AL13" s="110">
        <v>-3</v>
      </c>
      <c r="AM13" s="110">
        <v>0.4</v>
      </c>
      <c r="AN13" s="110">
        <v>-0.1</v>
      </c>
      <c r="AO13" s="110">
        <v>9.1</v>
      </c>
    </row>
    <row r="14" spans="1:43" x14ac:dyDescent="0.2">
      <c r="A14" s="3">
        <v>7</v>
      </c>
      <c r="B14" s="3" t="s">
        <v>847</v>
      </c>
      <c r="C14" s="3" t="s">
        <v>234</v>
      </c>
      <c r="D14" s="105">
        <v>66</v>
      </c>
      <c r="E14" s="105">
        <v>70</v>
      </c>
      <c r="F14" s="106">
        <v>255</v>
      </c>
      <c r="G14" s="4">
        <v>35373</v>
      </c>
      <c r="H14" s="110">
        <f t="shared" ca="1" si="0"/>
        <v>24</v>
      </c>
      <c r="I14" s="3" t="s">
        <v>559</v>
      </c>
      <c r="J14" s="3">
        <v>2</v>
      </c>
      <c r="K14" s="109">
        <v>2019</v>
      </c>
      <c r="L14" s="109">
        <v>41</v>
      </c>
      <c r="M14" s="3" t="s">
        <v>848</v>
      </c>
      <c r="N14" s="3" t="s">
        <v>495</v>
      </c>
      <c r="O14" s="3" t="s">
        <v>750</v>
      </c>
      <c r="P14" s="11">
        <v>1517981</v>
      </c>
      <c r="Q14" s="11">
        <v>1782621</v>
      </c>
      <c r="R14" s="49">
        <v>2228276</v>
      </c>
      <c r="S14" s="3"/>
      <c r="T14" s="3"/>
      <c r="U14" s="59"/>
      <c r="V14" s="59"/>
      <c r="W14" s="59" t="s">
        <v>849</v>
      </c>
      <c r="X14" s="69">
        <v>4</v>
      </c>
      <c r="Y14" s="69">
        <v>60</v>
      </c>
      <c r="Z14" s="65">
        <f>14/60</f>
        <v>0.23333333333333334</v>
      </c>
      <c r="AA14" s="119">
        <v>103.6</v>
      </c>
      <c r="AB14" s="119">
        <v>114.2</v>
      </c>
      <c r="AC14" s="119">
        <f t="shared" si="1"/>
        <v>-10.600000000000009</v>
      </c>
      <c r="AD14" s="119">
        <v>27.6</v>
      </c>
      <c r="AE14" s="119">
        <v>14.5</v>
      </c>
      <c r="AF14" s="65">
        <v>0.57099999999999995</v>
      </c>
      <c r="AG14" s="119">
        <v>21.4</v>
      </c>
      <c r="AH14" s="119">
        <v>1.6</v>
      </c>
      <c r="AI14" s="119">
        <v>0.5</v>
      </c>
      <c r="AJ14" s="65">
        <v>6.2E-2</v>
      </c>
      <c r="AK14" s="119">
        <v>-0.7</v>
      </c>
      <c r="AL14" s="119">
        <v>-2</v>
      </c>
      <c r="AM14" s="119">
        <v>-0.3</v>
      </c>
      <c r="AN14" s="119">
        <v>9.6</v>
      </c>
    </row>
    <row r="15" spans="1:43" x14ac:dyDescent="0.2">
      <c r="A15" s="3">
        <v>6</v>
      </c>
      <c r="B15" s="3" t="s">
        <v>850</v>
      </c>
      <c r="C15" s="3" t="s">
        <v>234</v>
      </c>
      <c r="D15" s="105">
        <v>610</v>
      </c>
      <c r="E15" s="105">
        <v>72</v>
      </c>
      <c r="F15" s="106">
        <v>215</v>
      </c>
      <c r="G15" s="4">
        <v>36756</v>
      </c>
      <c r="H15" s="110">
        <f t="shared" ca="1" si="0"/>
        <v>20.2</v>
      </c>
      <c r="I15" s="3" t="s">
        <v>851</v>
      </c>
      <c r="J15" s="3">
        <v>2</v>
      </c>
      <c r="K15" s="109">
        <v>2019</v>
      </c>
      <c r="L15" s="109">
        <v>39</v>
      </c>
      <c r="M15" s="3" t="s">
        <v>852</v>
      </c>
      <c r="N15" s="3" t="s">
        <v>495</v>
      </c>
      <c r="O15" s="3" t="s">
        <v>1897</v>
      </c>
      <c r="P15" s="11">
        <v>1517981</v>
      </c>
      <c r="Q15" s="15">
        <v>1782621</v>
      </c>
      <c r="R15" s="15">
        <v>1930681</v>
      </c>
      <c r="S15" s="14">
        <v>2026863</v>
      </c>
      <c r="T15" s="12"/>
      <c r="U15" s="59"/>
      <c r="V15" s="59"/>
      <c r="W15" s="59" t="s">
        <v>853</v>
      </c>
      <c r="X15" s="69">
        <v>5</v>
      </c>
      <c r="Y15" s="69">
        <v>14</v>
      </c>
      <c r="Z15" s="65">
        <f>1/14</f>
        <v>7.1428571428571425E-2</v>
      </c>
      <c r="AA15" s="119">
        <v>106.2</v>
      </c>
      <c r="AB15" s="119">
        <v>109.2</v>
      </c>
      <c r="AC15" s="119">
        <f t="shared" si="1"/>
        <v>-3</v>
      </c>
      <c r="AD15" s="119">
        <v>9.9</v>
      </c>
      <c r="AE15" s="119">
        <v>14.5</v>
      </c>
      <c r="AF15" s="65">
        <v>0.61</v>
      </c>
      <c r="AG15" s="119">
        <v>18.2</v>
      </c>
      <c r="AH15" s="119">
        <v>0.2</v>
      </c>
      <c r="AI15" s="119">
        <v>0.1</v>
      </c>
      <c r="AJ15" s="65">
        <v>8.1000000000000003E-2</v>
      </c>
      <c r="AK15" s="119">
        <v>-1.3</v>
      </c>
      <c r="AL15" s="119">
        <v>-0.8</v>
      </c>
      <c r="AM15" s="119">
        <v>0</v>
      </c>
      <c r="AN15" s="119">
        <v>8.9</v>
      </c>
    </row>
    <row r="16" spans="1:43" x14ac:dyDescent="0.2">
      <c r="A16" s="3">
        <v>95</v>
      </c>
      <c r="B16" s="3" t="s">
        <v>58</v>
      </c>
      <c r="C16" s="3" t="s">
        <v>252</v>
      </c>
      <c r="D16" s="105">
        <v>66</v>
      </c>
      <c r="E16" s="105">
        <v>610</v>
      </c>
      <c r="F16" s="106">
        <v>209</v>
      </c>
      <c r="G16" s="4">
        <v>34038</v>
      </c>
      <c r="H16" s="110">
        <f t="shared" ca="1" si="0"/>
        <v>27.7</v>
      </c>
      <c r="I16" s="3" t="s">
        <v>860</v>
      </c>
      <c r="J16" s="3">
        <v>2</v>
      </c>
      <c r="K16" s="109">
        <v>2015</v>
      </c>
      <c r="L16" s="109"/>
      <c r="M16" s="3" t="s">
        <v>446</v>
      </c>
      <c r="N16" s="3" t="s">
        <v>495</v>
      </c>
      <c r="O16" s="159" t="s">
        <v>859</v>
      </c>
      <c r="P16" s="15">
        <v>1517981</v>
      </c>
      <c r="Q16" s="15">
        <v>1782621</v>
      </c>
      <c r="R16" s="68">
        <v>2228276</v>
      </c>
      <c r="S16" s="12"/>
      <c r="U16" s="59"/>
      <c r="V16" s="59"/>
      <c r="W16" s="59" t="s">
        <v>861</v>
      </c>
      <c r="X16" s="69">
        <v>3</v>
      </c>
      <c r="Y16" s="69">
        <v>13</v>
      </c>
      <c r="Z16" s="65">
        <f>3/13</f>
        <v>0.23076923076923078</v>
      </c>
      <c r="AA16" s="119">
        <v>99.5</v>
      </c>
      <c r="AB16" s="119">
        <v>111.5</v>
      </c>
      <c r="AC16" s="119">
        <f t="shared" si="1"/>
        <v>-12</v>
      </c>
      <c r="AD16" s="119">
        <v>20.9</v>
      </c>
      <c r="AE16" s="119">
        <v>9.4</v>
      </c>
      <c r="AF16" s="65">
        <v>0.52900000000000003</v>
      </c>
      <c r="AG16" s="119">
        <v>12.7</v>
      </c>
      <c r="AH16" s="119">
        <v>-0.1</v>
      </c>
      <c r="AI16" s="119">
        <v>0.2</v>
      </c>
      <c r="AJ16" s="65">
        <v>0.03</v>
      </c>
      <c r="AK16" s="119">
        <v>-3.9</v>
      </c>
      <c r="AL16" s="119">
        <v>0.4</v>
      </c>
      <c r="AM16" s="119">
        <v>-0.1</v>
      </c>
      <c r="AN16" s="119">
        <v>7.4</v>
      </c>
    </row>
    <row r="17" spans="1:40" x14ac:dyDescent="0.2">
      <c r="A17" s="3">
        <v>12</v>
      </c>
      <c r="B17" s="3" t="s">
        <v>59</v>
      </c>
      <c r="C17" s="3" t="s">
        <v>252</v>
      </c>
      <c r="D17" s="105">
        <v>63</v>
      </c>
      <c r="E17" s="105">
        <v>68</v>
      </c>
      <c r="F17" s="106">
        <v>184</v>
      </c>
      <c r="G17" s="4">
        <v>34497</v>
      </c>
      <c r="H17" s="110">
        <f t="shared" ca="1" si="0"/>
        <v>26.4</v>
      </c>
      <c r="I17" s="3" t="s">
        <v>266</v>
      </c>
      <c r="J17" s="3">
        <v>2</v>
      </c>
      <c r="K17" s="109">
        <v>2017</v>
      </c>
      <c r="L17" s="109"/>
      <c r="M17" s="3" t="s">
        <v>862</v>
      </c>
      <c r="N17" s="3" t="s">
        <v>495</v>
      </c>
      <c r="O17" s="159" t="s">
        <v>863</v>
      </c>
      <c r="P17" s="15">
        <v>1517981</v>
      </c>
      <c r="Q17" s="15">
        <v>1782621</v>
      </c>
      <c r="R17" s="68">
        <v>2228276</v>
      </c>
      <c r="S17" s="3"/>
      <c r="T17" s="12"/>
      <c r="U17" s="59"/>
      <c r="V17" s="59"/>
      <c r="W17" s="59" t="s">
        <v>864</v>
      </c>
      <c r="X17" s="69">
        <v>1</v>
      </c>
      <c r="Y17" s="69">
        <v>7</v>
      </c>
      <c r="Z17" s="65">
        <f>3.7</f>
        <v>3.7</v>
      </c>
      <c r="AA17" s="119">
        <v>113.3</v>
      </c>
      <c r="AB17" s="119">
        <v>107.1</v>
      </c>
      <c r="AC17" s="119">
        <f t="shared" si="1"/>
        <v>6.2000000000000028</v>
      </c>
      <c r="AD17" s="119">
        <v>29.1</v>
      </c>
      <c r="AE17" s="119">
        <v>7.8</v>
      </c>
      <c r="AF17" s="65">
        <v>0.55300000000000005</v>
      </c>
      <c r="AG17" s="119">
        <v>16.2</v>
      </c>
      <c r="AH17" s="119">
        <v>0.1</v>
      </c>
      <c r="AI17" s="119">
        <v>0</v>
      </c>
      <c r="AJ17" s="65">
        <v>1.7000000000000001E-2</v>
      </c>
      <c r="AK17" s="119">
        <v>-3.3</v>
      </c>
      <c r="AL17" s="119">
        <v>-2.9</v>
      </c>
      <c r="AM17" s="119">
        <v>-0.2</v>
      </c>
      <c r="AN17" s="119">
        <v>5</v>
      </c>
    </row>
    <row r="18" spans="1:40" x14ac:dyDescent="0.2">
      <c r="A18" s="3">
        <v>2</v>
      </c>
      <c r="B18" s="2" t="s">
        <v>2357</v>
      </c>
      <c r="C18" s="3" t="s">
        <v>2280</v>
      </c>
      <c r="D18" s="105">
        <v>63</v>
      </c>
      <c r="E18" s="105">
        <v>63</v>
      </c>
      <c r="F18" s="106">
        <v>190</v>
      </c>
      <c r="G18" s="62">
        <v>36964</v>
      </c>
      <c r="H18" s="110">
        <f t="shared" ca="1" si="0"/>
        <v>19.7</v>
      </c>
      <c r="I18" s="3" t="s">
        <v>511</v>
      </c>
      <c r="J18" s="3">
        <v>1</v>
      </c>
      <c r="K18" s="109">
        <v>2020</v>
      </c>
      <c r="L18" s="78">
        <v>48</v>
      </c>
      <c r="M18" s="54" t="s">
        <v>2358</v>
      </c>
      <c r="N18" s="54" t="s">
        <v>288</v>
      </c>
      <c r="O18" s="54" t="s">
        <v>2516</v>
      </c>
      <c r="P18" s="175" t="s">
        <v>288</v>
      </c>
      <c r="Q18" s="49"/>
      <c r="R18" s="59"/>
      <c r="S18" s="59"/>
      <c r="T18" s="59"/>
      <c r="U18" s="59"/>
      <c r="V18" s="59"/>
      <c r="W18" s="59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/>
      <c r="B19" s="3" t="s">
        <v>2648</v>
      </c>
      <c r="C19" s="3" t="s">
        <v>252</v>
      </c>
      <c r="D19" s="105">
        <v>65</v>
      </c>
      <c r="E19" s="105"/>
      <c r="F19" s="106">
        <v>220</v>
      </c>
      <c r="G19" s="4">
        <v>35487</v>
      </c>
      <c r="H19" s="110">
        <f t="shared" ca="1" si="0"/>
        <v>23.7</v>
      </c>
      <c r="I19" s="3" t="s">
        <v>474</v>
      </c>
      <c r="J19" s="3">
        <v>1</v>
      </c>
      <c r="K19" s="109">
        <v>2020</v>
      </c>
      <c r="L19" s="109"/>
      <c r="M19" s="3" t="s">
        <v>2436</v>
      </c>
      <c r="N19" s="3" t="s">
        <v>2403</v>
      </c>
      <c r="O19" s="3" t="s">
        <v>2533</v>
      </c>
      <c r="P19" s="15">
        <v>898310</v>
      </c>
      <c r="Q19" s="49"/>
      <c r="R19" s="57"/>
      <c r="S19" s="54"/>
      <c r="T19" s="53"/>
      <c r="U19" s="59"/>
      <c r="V19" s="59"/>
      <c r="W19" s="59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A20" s="3"/>
      <c r="B20" s="3" t="s">
        <v>2724</v>
      </c>
      <c r="C20" s="3"/>
      <c r="D20" s="105">
        <v>69</v>
      </c>
      <c r="E20" s="105"/>
      <c r="F20" s="106">
        <v>270</v>
      </c>
      <c r="G20" s="4">
        <v>36368</v>
      </c>
      <c r="H20" s="110">
        <f t="shared" ca="1" si="0"/>
        <v>21.3</v>
      </c>
      <c r="I20" s="3" t="s">
        <v>749</v>
      </c>
      <c r="J20" s="3">
        <v>1</v>
      </c>
      <c r="K20" s="109">
        <v>2020</v>
      </c>
      <c r="L20" s="109"/>
      <c r="M20" s="3" t="s">
        <v>2436</v>
      </c>
      <c r="N20" s="3" t="s">
        <v>2403</v>
      </c>
      <c r="O20" s="3" t="s">
        <v>2533</v>
      </c>
      <c r="P20" s="15">
        <v>898310</v>
      </c>
      <c r="Q20" s="49"/>
      <c r="R20" s="57"/>
      <c r="S20" s="54"/>
      <c r="T20" s="53"/>
      <c r="U20" s="59"/>
      <c r="V20" s="59"/>
      <c r="W20" s="59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B21" t="s">
        <v>290</v>
      </c>
      <c r="H21" s="110"/>
      <c r="K21" s="57"/>
      <c r="L21" s="57"/>
      <c r="M21" s="57"/>
      <c r="N21" s="54"/>
      <c r="O21" s="54"/>
      <c r="P21" s="22">
        <v>666667</v>
      </c>
      <c r="Q21" s="22">
        <v>666666</v>
      </c>
      <c r="R21" s="3"/>
      <c r="S21" s="3"/>
      <c r="T21" s="26"/>
      <c r="U21" s="59"/>
      <c r="V21" s="59"/>
      <c r="W21" s="59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B22" s="2" t="s">
        <v>2363</v>
      </c>
      <c r="C22" s="3" t="s">
        <v>252</v>
      </c>
      <c r="D22" s="105">
        <v>67</v>
      </c>
      <c r="F22" s="106">
        <v>202</v>
      </c>
      <c r="G22" s="62">
        <v>35940</v>
      </c>
      <c r="H22" s="110">
        <f ca="1">ROUNDDOWN(YEARFRAC($G$24,G22),1)</f>
        <v>22.5</v>
      </c>
      <c r="I22" s="3" t="s">
        <v>562</v>
      </c>
      <c r="J22" s="3">
        <v>1</v>
      </c>
      <c r="K22" s="109">
        <v>2020</v>
      </c>
      <c r="L22" s="78">
        <v>51</v>
      </c>
      <c r="M22" s="3" t="s">
        <v>2364</v>
      </c>
      <c r="N22" s="22"/>
      <c r="O22" s="75"/>
      <c r="P22" s="180" t="s">
        <v>2389</v>
      </c>
      <c r="Q22" s="59"/>
      <c r="R22" s="59"/>
      <c r="S22" s="59"/>
      <c r="T22" s="59"/>
      <c r="U22" s="59"/>
      <c r="V22" s="59"/>
      <c r="W22" s="59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B23" s="2"/>
      <c r="C23" s="3"/>
      <c r="D23" s="105"/>
      <c r="F23" s="106"/>
      <c r="G23" s="62"/>
      <c r="H23" s="3"/>
      <c r="I23" s="3"/>
      <c r="J23" s="3"/>
      <c r="K23" s="109"/>
      <c r="L23" s="78"/>
      <c r="M23" s="3"/>
      <c r="N23" s="22"/>
      <c r="O23" s="75"/>
      <c r="P23" s="180"/>
      <c r="Q23" s="59"/>
      <c r="R23" s="59"/>
      <c r="S23" s="59"/>
      <c r="T23" s="59"/>
      <c r="U23" s="59"/>
      <c r="V23" s="59"/>
      <c r="W23" s="59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B24" s="2"/>
      <c r="C24" s="3"/>
      <c r="D24" s="105"/>
      <c r="F24" s="106"/>
      <c r="G24" s="62">
        <f ca="1">TODAY()</f>
        <v>44162</v>
      </c>
      <c r="H24" s="36">
        <f ca="1">AVERAGE(H2:H17)</f>
        <v>26.443749999999998</v>
      </c>
      <c r="I24" s="36"/>
      <c r="J24" s="36">
        <f>AVERAGE(J2:J17)</f>
        <v>5.0625</v>
      </c>
      <c r="K24" s="109"/>
      <c r="L24" s="78"/>
      <c r="M24" s="3"/>
      <c r="N24" s="22"/>
      <c r="O24" s="75"/>
      <c r="P24" s="180"/>
      <c r="Q24" s="59"/>
      <c r="R24" s="59"/>
      <c r="S24" s="59"/>
      <c r="T24" s="59"/>
      <c r="U24" s="59"/>
      <c r="V24" s="59"/>
      <c r="W24" s="59"/>
      <c r="X24" s="69"/>
      <c r="Y24" s="69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0" x14ac:dyDescent="0.2">
      <c r="B25" s="2"/>
      <c r="C25" s="3"/>
      <c r="D25" s="105"/>
      <c r="F25" s="106"/>
      <c r="G25" s="62"/>
      <c r="H25" s="36">
        <f ca="1">MEDIAN(H2:H17)</f>
        <v>26.049999999999997</v>
      </c>
      <c r="I25" s="36"/>
      <c r="J25" s="36">
        <f>MEDIAN(J2:J17)</f>
        <v>4.5</v>
      </c>
      <c r="K25" s="109"/>
      <c r="L25" s="78"/>
      <c r="M25" s="3"/>
      <c r="N25" s="22"/>
      <c r="O25" s="75"/>
      <c r="P25" s="180"/>
      <c r="Q25" s="59"/>
      <c r="R25" s="59"/>
      <c r="S25" s="59"/>
      <c r="T25" s="59"/>
      <c r="U25" s="59"/>
      <c r="V25" s="59"/>
      <c r="W25" s="59"/>
      <c r="X25" s="69"/>
      <c r="Y25" s="69"/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B26" s="2"/>
      <c r="D26" s="105"/>
      <c r="F26" s="106"/>
      <c r="G26" s="62"/>
      <c r="H26" s="3"/>
      <c r="I26" s="3"/>
      <c r="J26" s="3"/>
      <c r="K26" s="109"/>
      <c r="L26" s="78"/>
      <c r="M26" s="3"/>
      <c r="N26" s="22"/>
      <c r="O26" s="75"/>
      <c r="P26" s="180"/>
      <c r="Q26" s="59"/>
      <c r="R26" s="59"/>
      <c r="S26" s="59"/>
      <c r="T26" s="59"/>
      <c r="U26" s="59"/>
      <c r="V26" s="59"/>
      <c r="W26" s="59"/>
      <c r="X26" s="69"/>
      <c r="Y26" s="69"/>
      <c r="Z26" s="65"/>
      <c r="AA26" s="119"/>
      <c r="AB26" s="119"/>
      <c r="AC26" s="119"/>
      <c r="AD26" s="119"/>
      <c r="AE26" s="119"/>
      <c r="AF26" s="65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B27" s="5" t="s">
        <v>1985</v>
      </c>
      <c r="C27" s="59"/>
      <c r="D27" s="59"/>
      <c r="E27" s="59"/>
      <c r="F27" s="59"/>
      <c r="G27" s="59"/>
      <c r="H27" s="59"/>
      <c r="J27" s="3"/>
      <c r="K27" s="11"/>
      <c r="L27" s="76"/>
      <c r="M27" s="75"/>
      <c r="N27" s="75"/>
      <c r="O27" s="75"/>
      <c r="P27" s="156">
        <f>SUM(P2:P21)-P11-P12-P16-P17-P19-P20+600000+800000</f>
        <v>169119930</v>
      </c>
      <c r="Q27" s="59"/>
      <c r="R27" s="59"/>
      <c r="S27" s="59"/>
      <c r="T27" s="64"/>
      <c r="U27" s="59"/>
      <c r="V27" s="59"/>
      <c r="W27" s="59"/>
      <c r="X27" s="69"/>
      <c r="Y27" s="134"/>
      <c r="Z27" s="124"/>
      <c r="AA27" s="123"/>
      <c r="AB27" s="123"/>
      <c r="AC27" s="123"/>
      <c r="AD27" s="123"/>
      <c r="AE27" s="123"/>
      <c r="AF27" s="124"/>
      <c r="AG27" s="123"/>
      <c r="AH27" s="123"/>
      <c r="AI27" s="123"/>
      <c r="AJ27" s="124"/>
      <c r="AK27" s="123"/>
      <c r="AL27" s="123"/>
      <c r="AM27" s="123"/>
      <c r="AN27" s="123"/>
    </row>
    <row r="28" spans="1:40" x14ac:dyDescent="0.2">
      <c r="B28" s="3" t="s">
        <v>1876</v>
      </c>
      <c r="C28" s="107">
        <v>12</v>
      </c>
      <c r="D28" s="59"/>
      <c r="E28" s="59"/>
      <c r="F28" s="59"/>
      <c r="G28" s="59"/>
      <c r="H28" s="59"/>
      <c r="J28" s="3"/>
      <c r="K28" s="11"/>
      <c r="L28" s="76"/>
      <c r="M28" s="75"/>
      <c r="N28" s="75"/>
      <c r="O28" s="75"/>
      <c r="P28" s="121">
        <f>SUM(P2:P21)</f>
        <v>176139311</v>
      </c>
      <c r="Q28" s="59"/>
      <c r="R28" s="59"/>
      <c r="S28" s="59"/>
      <c r="T28" s="59"/>
      <c r="U28" s="59"/>
      <c r="V28" s="59"/>
      <c r="W28" s="59"/>
      <c r="X28" s="69"/>
      <c r="Y28" s="134"/>
      <c r="Z28" s="124"/>
      <c r="AA28" s="123"/>
      <c r="AB28" s="123"/>
      <c r="AC28" s="123"/>
      <c r="AD28" s="123"/>
      <c r="AE28" s="123"/>
      <c r="AF28" s="124"/>
      <c r="AG28" s="123"/>
      <c r="AH28" s="123"/>
      <c r="AI28" s="123"/>
      <c r="AJ28" s="124"/>
      <c r="AK28" s="123"/>
      <c r="AL28" s="123"/>
      <c r="AM28" s="123"/>
      <c r="AN28" s="123"/>
    </row>
    <row r="29" spans="1:40" x14ac:dyDescent="0.2">
      <c r="B29" s="3" t="s">
        <v>2457</v>
      </c>
      <c r="C29" s="107">
        <v>6</v>
      </c>
      <c r="D29" s="191"/>
      <c r="E29" s="59"/>
      <c r="F29" s="59"/>
      <c r="G29" s="59"/>
      <c r="H29" s="59"/>
      <c r="I29" s="3"/>
      <c r="J29" s="107"/>
      <c r="K29" s="11"/>
      <c r="L29" s="75"/>
      <c r="M29" s="75"/>
      <c r="N29" s="75"/>
      <c r="O29" s="3"/>
      <c r="P29" s="59"/>
      <c r="Q29" s="59"/>
      <c r="R29" s="59"/>
      <c r="S29" s="59"/>
      <c r="T29" s="59"/>
      <c r="U29" s="59"/>
      <c r="V29" s="59"/>
      <c r="W29" s="59"/>
      <c r="X29" s="59"/>
      <c r="AF29" s="124"/>
      <c r="AJ29" s="124"/>
    </row>
    <row r="30" spans="1:40" x14ac:dyDescent="0.2">
      <c r="B30" s="3" t="s">
        <v>2539</v>
      </c>
      <c r="C30" s="107">
        <v>1</v>
      </c>
      <c r="D30" s="4"/>
      <c r="E30" s="59"/>
      <c r="F30" s="59"/>
      <c r="G30" s="3"/>
      <c r="H30" s="60"/>
      <c r="I30" s="3"/>
      <c r="J30" s="107"/>
      <c r="K30" s="57"/>
      <c r="L30" s="75"/>
      <c r="M30" s="75"/>
      <c r="N30" s="75"/>
      <c r="O30" s="22" t="s">
        <v>292</v>
      </c>
      <c r="P30" s="22" t="e">
        <f>#REF!</f>
        <v>#REF!</v>
      </c>
      <c r="Q30" s="59"/>
      <c r="R30" s="59"/>
      <c r="S30" s="59"/>
      <c r="T30" s="59"/>
      <c r="U30" s="59"/>
      <c r="V30" s="59"/>
      <c r="W30" s="59"/>
      <c r="X30" s="59"/>
      <c r="AJ30" s="124"/>
    </row>
    <row r="31" spans="1:40" x14ac:dyDescent="0.2">
      <c r="B31" s="3" t="s">
        <v>2494</v>
      </c>
      <c r="C31" s="22">
        <f>9258000</f>
        <v>9258000</v>
      </c>
      <c r="D31" s="4">
        <v>44303</v>
      </c>
      <c r="E31" s="59"/>
      <c r="F31" s="59"/>
      <c r="G31" s="59"/>
      <c r="H31" s="59"/>
      <c r="I31" s="3"/>
      <c r="J31" s="107"/>
      <c r="K31" s="3"/>
      <c r="L31" s="75"/>
      <c r="M31" s="75"/>
      <c r="N31" s="75"/>
      <c r="O31" s="3" t="s">
        <v>294</v>
      </c>
      <c r="P31" s="22" t="e">
        <f>#REF!</f>
        <v>#REF!</v>
      </c>
      <c r="Q31" s="59"/>
      <c r="R31" s="59"/>
      <c r="S31" s="59"/>
      <c r="T31" s="59"/>
      <c r="U31" s="59"/>
      <c r="V31" s="59"/>
      <c r="W31" s="59"/>
      <c r="X31" s="59"/>
    </row>
    <row r="32" spans="1:40" x14ac:dyDescent="0.2">
      <c r="B32" s="3" t="s">
        <v>748</v>
      </c>
      <c r="C32" s="22">
        <f>5718000-P9</f>
        <v>3468000</v>
      </c>
      <c r="D32" s="4" t="s">
        <v>10</v>
      </c>
      <c r="E32" s="59"/>
      <c r="F32" s="59"/>
      <c r="G32" s="59"/>
      <c r="H32" s="59"/>
      <c r="I32" s="3"/>
      <c r="J32" s="107"/>
      <c r="K32" s="3"/>
      <c r="L32" s="75"/>
      <c r="M32" s="75"/>
      <c r="N32" s="75"/>
      <c r="O32" s="3"/>
      <c r="P32" s="22"/>
      <c r="Q32" s="59"/>
      <c r="R32" s="59"/>
      <c r="S32" s="59"/>
      <c r="T32" s="59"/>
      <c r="U32" s="59"/>
      <c r="V32" s="59"/>
      <c r="W32" s="59"/>
      <c r="X32" s="59"/>
    </row>
    <row r="33" spans="2:24" x14ac:dyDescent="0.2">
      <c r="B33" s="3" t="s">
        <v>2493</v>
      </c>
      <c r="C33" s="22">
        <f>2177473</f>
        <v>2177473</v>
      </c>
      <c r="D33" s="244">
        <v>44221</v>
      </c>
      <c r="E33" s="59"/>
      <c r="F33" s="59"/>
      <c r="G33" s="59"/>
      <c r="H33" s="59"/>
      <c r="I33" s="3"/>
      <c r="J33" s="107"/>
      <c r="K33" s="3"/>
      <c r="L33" s="75"/>
      <c r="M33" s="75"/>
      <c r="N33" s="75"/>
      <c r="O33" s="3"/>
      <c r="P33" s="22"/>
      <c r="Q33" s="59"/>
      <c r="R33" s="59"/>
      <c r="S33" s="59"/>
      <c r="T33" s="59"/>
      <c r="U33" s="59"/>
      <c r="V33" s="59"/>
      <c r="W33" s="59"/>
      <c r="X33" s="59"/>
    </row>
    <row r="34" spans="2:24" x14ac:dyDescent="0.2">
      <c r="B34" s="24" t="s">
        <v>293</v>
      </c>
      <c r="C34" s="79">
        <v>0</v>
      </c>
      <c r="D34" s="4"/>
      <c r="E34" s="59"/>
      <c r="F34" s="59"/>
      <c r="G34" s="59"/>
      <c r="H34" s="59"/>
      <c r="I34" s="3"/>
      <c r="J34" s="107"/>
      <c r="K34" s="177"/>
      <c r="L34" s="75"/>
      <c r="M34" s="75"/>
      <c r="N34" s="75"/>
      <c r="O34" s="3"/>
      <c r="P34" s="59"/>
      <c r="Q34" s="59"/>
      <c r="R34" s="59"/>
      <c r="S34" s="59"/>
      <c r="T34" s="59"/>
      <c r="U34" s="59"/>
      <c r="V34" s="59"/>
      <c r="W34" s="59"/>
      <c r="X34" s="59"/>
    </row>
    <row r="35" spans="2:24" x14ac:dyDescent="0.2">
      <c r="B35" s="3" t="s">
        <v>295</v>
      </c>
      <c r="C35" s="79">
        <v>0</v>
      </c>
      <c r="D35" s="4"/>
      <c r="E35" s="59"/>
      <c r="F35" s="59"/>
      <c r="G35" s="59"/>
      <c r="H35" s="59"/>
      <c r="I35" s="24"/>
      <c r="J35" s="79"/>
      <c r="K35" s="59"/>
      <c r="O35" s="22"/>
      <c r="P35" s="59"/>
      <c r="Q35" s="59"/>
      <c r="R35" s="59"/>
      <c r="S35" s="59"/>
      <c r="T35" s="59"/>
      <c r="U35" s="59"/>
      <c r="V35" s="59"/>
      <c r="W35" s="59"/>
      <c r="X35" s="59"/>
    </row>
    <row r="36" spans="2:24" x14ac:dyDescent="0.2">
      <c r="J36" s="3"/>
    </row>
    <row r="37" spans="2:24" x14ac:dyDescent="0.2">
      <c r="B37" s="149" t="s">
        <v>1875</v>
      </c>
      <c r="J37" s="3"/>
    </row>
    <row r="38" spans="2:24" x14ac:dyDescent="0.2">
      <c r="B38" s="3" t="s">
        <v>296</v>
      </c>
      <c r="C38" s="41">
        <f>15/65</f>
        <v>0.23076923076923078</v>
      </c>
      <c r="D38" s="3" t="s">
        <v>883</v>
      </c>
      <c r="E38" s="3"/>
      <c r="J38" s="22"/>
      <c r="O38" s="7"/>
    </row>
    <row r="39" spans="2:24" x14ac:dyDescent="0.2">
      <c r="B39" s="3" t="s">
        <v>298</v>
      </c>
      <c r="C39" s="110">
        <v>104.4</v>
      </c>
      <c r="D39" s="3" t="s">
        <v>1994</v>
      </c>
      <c r="E39" s="3"/>
      <c r="J39" s="1"/>
    </row>
    <row r="40" spans="2:24" x14ac:dyDescent="0.2">
      <c r="B40" s="3" t="s">
        <v>299</v>
      </c>
      <c r="C40" s="110">
        <v>113</v>
      </c>
      <c r="D40" s="3" t="s">
        <v>2005</v>
      </c>
      <c r="E40" s="3"/>
    </row>
    <row r="41" spans="2:24" x14ac:dyDescent="0.2">
      <c r="B41" s="3" t="s">
        <v>300</v>
      </c>
      <c r="C41" s="110">
        <f>C39-C40</f>
        <v>-8.5999999999999943</v>
      </c>
      <c r="D41" s="3" t="s">
        <v>1994</v>
      </c>
      <c r="E41" s="3"/>
    </row>
    <row r="42" spans="2:24" x14ac:dyDescent="0.2">
      <c r="B42" s="3" t="s">
        <v>301</v>
      </c>
      <c r="C42" s="36">
        <v>101.04</v>
      </c>
      <c r="D42" s="3" t="s">
        <v>1993</v>
      </c>
      <c r="E42" s="3"/>
    </row>
    <row r="43" spans="2:24" x14ac:dyDescent="0.2">
      <c r="B43" s="3"/>
      <c r="C43" s="3"/>
      <c r="D43" s="3"/>
      <c r="E43" s="3"/>
      <c r="G43" s="10"/>
      <c r="H43" s="8"/>
    </row>
    <row r="44" spans="2:24" x14ac:dyDescent="0.2">
      <c r="B44" s="2" t="s">
        <v>302</v>
      </c>
      <c r="C44" s="10"/>
      <c r="D44" s="10"/>
      <c r="E44" s="10"/>
      <c r="F44" s="10"/>
      <c r="G44" s="10"/>
      <c r="H44" s="2"/>
      <c r="I44" s="2"/>
    </row>
    <row r="45" spans="2:24" x14ac:dyDescent="0.2">
      <c r="B45" s="2" t="s">
        <v>867</v>
      </c>
      <c r="C45" s="10"/>
      <c r="D45" s="10"/>
      <c r="E45" s="10"/>
      <c r="F45" s="2"/>
      <c r="G45" s="10"/>
      <c r="H45" s="2" t="s">
        <v>868</v>
      </c>
      <c r="I45" s="2"/>
    </row>
    <row r="46" spans="2:24" x14ac:dyDescent="0.2">
      <c r="B46" s="2" t="s">
        <v>869</v>
      </c>
      <c r="C46" s="10"/>
      <c r="D46" s="10"/>
      <c r="E46" s="10"/>
      <c r="F46" s="2"/>
      <c r="G46" s="10"/>
      <c r="H46" s="2" t="s">
        <v>868</v>
      </c>
      <c r="I46" s="2"/>
    </row>
    <row r="47" spans="2:24" x14ac:dyDescent="0.2">
      <c r="B47" s="2" t="s">
        <v>871</v>
      </c>
      <c r="C47" s="10"/>
      <c r="D47" s="10"/>
      <c r="E47" s="10"/>
      <c r="F47" s="2"/>
      <c r="G47" s="10"/>
      <c r="H47" s="2" t="s">
        <v>866</v>
      </c>
      <c r="I47" s="10"/>
    </row>
    <row r="48" spans="2:24" x14ac:dyDescent="0.2">
      <c r="B48" s="10"/>
      <c r="C48" s="10"/>
      <c r="D48" s="10"/>
      <c r="E48" s="10"/>
      <c r="F48" s="10"/>
      <c r="G48" s="10"/>
      <c r="H48" s="10"/>
      <c r="I48" s="10"/>
    </row>
    <row r="49" spans="2:9" x14ac:dyDescent="0.2">
      <c r="B49" s="2" t="s">
        <v>310</v>
      </c>
      <c r="C49" s="10"/>
      <c r="D49" s="10"/>
      <c r="E49" s="10"/>
      <c r="F49" s="10"/>
      <c r="G49" s="10"/>
      <c r="H49" s="10"/>
      <c r="I49" s="2"/>
    </row>
    <row r="50" spans="2:9" x14ac:dyDescent="0.2">
      <c r="B50" s="2" t="s">
        <v>2416</v>
      </c>
      <c r="C50" s="10"/>
      <c r="D50" s="10"/>
      <c r="E50" s="10"/>
      <c r="F50" s="10"/>
      <c r="G50" s="10"/>
      <c r="H50" s="2" t="s">
        <v>2570</v>
      </c>
      <c r="I50" s="2"/>
    </row>
    <row r="51" spans="2:9" x14ac:dyDescent="0.2">
      <c r="B51" s="2" t="s">
        <v>872</v>
      </c>
      <c r="C51" s="10"/>
      <c r="D51" s="10"/>
      <c r="E51" s="10"/>
      <c r="F51" s="2"/>
      <c r="G51" s="10"/>
      <c r="H51" s="2" t="s">
        <v>873</v>
      </c>
      <c r="I51" s="2"/>
    </row>
    <row r="52" spans="2:9" x14ac:dyDescent="0.2">
      <c r="B52" s="2" t="s">
        <v>874</v>
      </c>
      <c r="C52" s="10"/>
      <c r="D52" s="10"/>
      <c r="E52" s="10"/>
      <c r="F52" s="2"/>
      <c r="G52" s="10"/>
      <c r="H52" s="2" t="s">
        <v>873</v>
      </c>
      <c r="I52" s="2"/>
    </row>
    <row r="53" spans="2:9" x14ac:dyDescent="0.2">
      <c r="B53" s="2" t="s">
        <v>875</v>
      </c>
      <c r="C53" s="10"/>
      <c r="D53" s="10"/>
      <c r="E53" s="10"/>
      <c r="F53" s="2"/>
      <c r="G53" s="10"/>
      <c r="H53" s="2" t="s">
        <v>876</v>
      </c>
      <c r="I53" s="2"/>
    </row>
    <row r="54" spans="2:9" x14ac:dyDescent="0.2">
      <c r="B54" s="2" t="s">
        <v>877</v>
      </c>
      <c r="C54" s="10"/>
      <c r="D54" s="10"/>
      <c r="E54" s="10"/>
      <c r="F54" s="2"/>
      <c r="G54" s="10"/>
      <c r="H54" s="2" t="s">
        <v>878</v>
      </c>
      <c r="I54" s="2"/>
    </row>
    <row r="55" spans="2:9" x14ac:dyDescent="0.2">
      <c r="B55" s="2" t="s">
        <v>879</v>
      </c>
      <c r="C55" s="10"/>
      <c r="D55" s="10"/>
      <c r="E55" s="10"/>
      <c r="F55" s="2"/>
      <c r="G55" s="10"/>
      <c r="H55" s="2" t="s">
        <v>880</v>
      </c>
      <c r="I55" s="2"/>
    </row>
    <row r="56" spans="2:9" x14ac:dyDescent="0.2">
      <c r="B56" s="2" t="s">
        <v>881</v>
      </c>
      <c r="C56" s="10"/>
      <c r="D56" s="10"/>
      <c r="E56" s="10"/>
      <c r="F56" s="2"/>
      <c r="H56" s="2" t="s">
        <v>882</v>
      </c>
    </row>
    <row r="57" spans="2:9" x14ac:dyDescent="0.2">
      <c r="B57" s="2"/>
      <c r="C57" s="10"/>
      <c r="D57" s="10"/>
      <c r="E57" s="10"/>
      <c r="F57" s="2"/>
      <c r="H57" s="2"/>
    </row>
    <row r="58" spans="2:9" x14ac:dyDescent="0.2">
      <c r="B58" s="194" t="s">
        <v>1989</v>
      </c>
      <c r="C58" s="3"/>
      <c r="D58" s="3"/>
      <c r="E58" s="3"/>
    </row>
    <row r="59" spans="2:9" x14ac:dyDescent="0.2">
      <c r="B59" s="39" t="s">
        <v>314</v>
      </c>
      <c r="C59" s="3">
        <v>15</v>
      </c>
      <c r="D59" s="3">
        <v>50</v>
      </c>
      <c r="E59" s="3" t="s">
        <v>883</v>
      </c>
      <c r="G59" t="s">
        <v>865</v>
      </c>
      <c r="I59" s="141" t="s">
        <v>316</v>
      </c>
    </row>
    <row r="60" spans="2:9" x14ac:dyDescent="0.2">
      <c r="B60" s="39" t="s">
        <v>317</v>
      </c>
      <c r="C60" s="3">
        <v>57</v>
      </c>
      <c r="D60" s="3">
        <v>25</v>
      </c>
      <c r="E60" s="3" t="s">
        <v>884</v>
      </c>
      <c r="G60" t="s">
        <v>865</v>
      </c>
      <c r="I60" t="s">
        <v>885</v>
      </c>
    </row>
    <row r="61" spans="2:9" x14ac:dyDescent="0.2">
      <c r="B61" s="39" t="s">
        <v>319</v>
      </c>
      <c r="C61" s="3">
        <v>58</v>
      </c>
      <c r="D61" s="3">
        <v>24</v>
      </c>
      <c r="E61" s="41" t="s">
        <v>767</v>
      </c>
      <c r="G61" t="s">
        <v>865</v>
      </c>
      <c r="I61" t="s">
        <v>886</v>
      </c>
    </row>
    <row r="62" spans="2:9" x14ac:dyDescent="0.2">
      <c r="B62" s="39" t="s">
        <v>322</v>
      </c>
      <c r="C62" s="3">
        <v>67</v>
      </c>
      <c r="D62" s="3">
        <v>15</v>
      </c>
      <c r="E62" s="41" t="s">
        <v>884</v>
      </c>
      <c r="G62" t="s">
        <v>865</v>
      </c>
      <c r="I62" t="s">
        <v>887</v>
      </c>
    </row>
    <row r="63" spans="2:9" x14ac:dyDescent="0.2">
      <c r="B63" s="39" t="s">
        <v>325</v>
      </c>
      <c r="C63" s="3">
        <v>73</v>
      </c>
      <c r="D63" s="3">
        <v>9</v>
      </c>
      <c r="E63" s="3" t="s">
        <v>884</v>
      </c>
      <c r="G63" t="s">
        <v>865</v>
      </c>
      <c r="I63" t="s">
        <v>888</v>
      </c>
    </row>
    <row r="64" spans="2:9" x14ac:dyDescent="0.2">
      <c r="B64" s="37" t="s">
        <v>328</v>
      </c>
      <c r="C64" s="3">
        <v>67</v>
      </c>
      <c r="D64" s="3">
        <v>15</v>
      </c>
      <c r="E64" s="3" t="s">
        <v>884</v>
      </c>
      <c r="G64" t="s">
        <v>865</v>
      </c>
      <c r="I64" t="s">
        <v>889</v>
      </c>
    </row>
    <row r="65" spans="2:9" x14ac:dyDescent="0.2">
      <c r="B65" s="37" t="s">
        <v>331</v>
      </c>
      <c r="C65" s="3">
        <v>51</v>
      </c>
      <c r="D65" s="3">
        <v>31</v>
      </c>
      <c r="E65" s="3" t="s">
        <v>717</v>
      </c>
      <c r="G65" t="s">
        <v>890</v>
      </c>
      <c r="I65" t="s">
        <v>891</v>
      </c>
    </row>
    <row r="66" spans="2:9" x14ac:dyDescent="0.2">
      <c r="B66" s="37" t="s">
        <v>334</v>
      </c>
      <c r="C66" s="3">
        <v>47</v>
      </c>
      <c r="D66" s="3">
        <v>35</v>
      </c>
      <c r="E66" s="3" t="s">
        <v>717</v>
      </c>
      <c r="G66" t="s">
        <v>890</v>
      </c>
      <c r="I66" t="s">
        <v>892</v>
      </c>
    </row>
    <row r="67" spans="2:9" x14ac:dyDescent="0.2">
      <c r="B67" s="37" t="s">
        <v>338</v>
      </c>
      <c r="C67" s="3">
        <v>23</v>
      </c>
      <c r="D67" s="3">
        <v>43</v>
      </c>
      <c r="E67" s="3" t="s">
        <v>715</v>
      </c>
      <c r="G67" t="s">
        <v>890</v>
      </c>
      <c r="I67" s="141" t="s">
        <v>316</v>
      </c>
    </row>
    <row r="68" spans="2:9" x14ac:dyDescent="0.2">
      <c r="B68" s="37" t="s">
        <v>340</v>
      </c>
      <c r="C68" s="3">
        <v>36</v>
      </c>
      <c r="D68" s="3">
        <v>46</v>
      </c>
      <c r="E68" s="3" t="s">
        <v>770</v>
      </c>
      <c r="G68" t="s">
        <v>893</v>
      </c>
      <c r="I68" s="141" t="s">
        <v>316</v>
      </c>
    </row>
    <row r="69" spans="2:9" x14ac:dyDescent="0.2">
      <c r="B69" t="s">
        <v>342</v>
      </c>
      <c r="C69" s="59">
        <f>SUM(C59:C68)</f>
        <v>494</v>
      </c>
      <c r="D69" s="59">
        <f>SUM(D59:D68)</f>
        <v>293</v>
      </c>
      <c r="E69" s="65">
        <f>C69/(C69+D69)</f>
        <v>0.62770012706480305</v>
      </c>
    </row>
    <row r="70" spans="2:9" x14ac:dyDescent="0.2">
      <c r="C70" s="59">
        <f>SUM(C59:C64)</f>
        <v>337</v>
      </c>
      <c r="D70" s="59">
        <f>SUM(D59:D64)</f>
        <v>138</v>
      </c>
      <c r="E70" s="65">
        <f>C70/(C70+D70)</f>
        <v>0.70947368421052637</v>
      </c>
      <c r="G70" t="s">
        <v>894</v>
      </c>
    </row>
    <row r="71" spans="2:9" x14ac:dyDescent="0.2">
      <c r="C71" s="59">
        <f>SUM(C65:C68)</f>
        <v>157</v>
      </c>
      <c r="D71" s="59">
        <f>SUM(D65:D68)</f>
        <v>155</v>
      </c>
      <c r="E71" s="65">
        <f>C71/(C71+D71)</f>
        <v>0.50320512820512819</v>
      </c>
      <c r="G71" t="s">
        <v>895</v>
      </c>
    </row>
  </sheetData>
  <pageMargins left="0.7" right="0.7" top="0.75" bottom="0.75" header="0.3" footer="0.3"/>
  <ignoredErrors>
    <ignoredError sqref="C70:D71 J24:J25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0D07-CA92-6C43-AF34-39EF7F84BD2D}">
  <dimension ref="A1:AQ73"/>
  <sheetViews>
    <sheetView zoomScale="99" zoomScaleNormal="100" workbookViewId="0"/>
  </sheetViews>
  <sheetFormatPr baseColWidth="10" defaultColWidth="11" defaultRowHeight="16" x14ac:dyDescent="0.2"/>
  <cols>
    <col min="1" max="1" width="5" customWidth="1"/>
    <col min="2" max="2" width="23" customWidth="1"/>
    <col min="3" max="3" width="10.33203125" customWidth="1"/>
    <col min="4" max="4" width="7.5" customWidth="1"/>
    <col min="5" max="5" width="10.6640625" customWidth="1"/>
    <col min="6" max="6" width="7.6640625" customWidth="1"/>
    <col min="7" max="7" width="9.33203125" customWidth="1"/>
    <col min="8" max="8" width="5.83203125" customWidth="1"/>
    <col min="9" max="9" width="25" customWidth="1"/>
    <col min="10" max="10" width="10.83203125" customWidth="1"/>
    <col min="11" max="11" width="11" customWidth="1"/>
    <col min="12" max="12" width="4.83203125" customWidth="1"/>
    <col min="13" max="13" width="36.1640625" bestFit="1" customWidth="1"/>
    <col min="14" max="14" width="14.6640625" customWidth="1"/>
    <col min="15" max="15" width="48.6640625" customWidth="1"/>
    <col min="16" max="16" width="14.33203125" customWidth="1"/>
    <col min="17" max="17" width="12.5" customWidth="1"/>
    <col min="18" max="18" width="13.33203125" customWidth="1"/>
    <col min="19" max="19" width="15" customWidth="1"/>
    <col min="20" max="20" width="14.83203125" customWidth="1"/>
    <col min="22" max="22" width="39.5" customWidth="1"/>
    <col min="23" max="23" width="27.1640625" customWidth="1"/>
    <col min="25" max="25" width="3.83203125" customWidth="1"/>
    <col min="26" max="26" width="7.83203125" customWidth="1"/>
    <col min="27" max="27" width="5.6640625" customWidth="1"/>
    <col min="28" max="28" width="5.83203125" customWidth="1"/>
    <col min="29" max="29" width="7.33203125" customWidth="1"/>
    <col min="30" max="30" width="5.1640625" customWidth="1"/>
    <col min="31" max="31" width="4.6640625" customWidth="1"/>
    <col min="32" max="32" width="6.33203125" customWidth="1"/>
    <col min="33" max="33" width="7.6640625" customWidth="1"/>
    <col min="34" max="34" width="5.6640625" customWidth="1"/>
    <col min="35" max="35" width="5.1640625" customWidth="1"/>
    <col min="36" max="36" width="6.83203125" customWidth="1"/>
    <col min="37" max="37" width="6.5" customWidth="1"/>
    <col min="38" max="38" width="6.1640625" customWidth="1"/>
    <col min="39" max="39" width="6" customWidth="1"/>
    <col min="40" max="40" width="5.1640625" customWidth="1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3" x14ac:dyDescent="0.2">
      <c r="A2" s="3">
        <v>0</v>
      </c>
      <c r="B2" s="3" t="s">
        <v>896</v>
      </c>
      <c r="C2" s="3" t="s">
        <v>247</v>
      </c>
      <c r="D2" s="105">
        <v>63</v>
      </c>
      <c r="E2" s="105">
        <v>68</v>
      </c>
      <c r="F2" s="106">
        <v>200</v>
      </c>
      <c r="G2" s="4">
        <v>32459</v>
      </c>
      <c r="H2" s="110">
        <f t="shared" ref="H2:H16" ca="1" si="0">ROUNDDOWN(YEARFRAC($G$27,G2),1)</f>
        <v>32</v>
      </c>
      <c r="I2" s="3" t="s">
        <v>534</v>
      </c>
      <c r="J2" s="3">
        <v>13</v>
      </c>
      <c r="K2" s="109">
        <v>2008</v>
      </c>
      <c r="L2" s="109">
        <v>4</v>
      </c>
      <c r="M2" s="3" t="s">
        <v>897</v>
      </c>
      <c r="N2" s="3" t="s">
        <v>734</v>
      </c>
      <c r="O2" s="3" t="s">
        <v>2021</v>
      </c>
      <c r="P2" s="11">
        <v>41358814</v>
      </c>
      <c r="Q2" s="11">
        <v>44211146</v>
      </c>
      <c r="R2" s="47">
        <v>47063478</v>
      </c>
      <c r="S2" s="14">
        <v>49416652</v>
      </c>
      <c r="T2" s="3"/>
      <c r="V2" t="s">
        <v>898</v>
      </c>
      <c r="W2" s="132" t="s">
        <v>284</v>
      </c>
      <c r="X2" s="69">
        <v>1</v>
      </c>
      <c r="Y2" s="69">
        <v>53</v>
      </c>
      <c r="Z2" s="65">
        <f>34/54</f>
        <v>0.62962962962962965</v>
      </c>
      <c r="AA2" s="119">
        <v>110.3</v>
      </c>
      <c r="AB2" s="119">
        <v>106.7</v>
      </c>
      <c r="AC2" s="119">
        <f t="shared" ref="AC2:AC12" si="1">AA2-AB2</f>
        <v>3.5999999999999943</v>
      </c>
      <c r="AD2" s="119">
        <v>35.9</v>
      </c>
      <c r="AE2" s="119">
        <v>21.5</v>
      </c>
      <c r="AF2" s="65">
        <v>0.53900000000000003</v>
      </c>
      <c r="AG2" s="119">
        <v>34.4</v>
      </c>
      <c r="AH2" s="119">
        <v>2.1</v>
      </c>
      <c r="AI2" s="119">
        <v>2.2999999999999998</v>
      </c>
      <c r="AJ2" s="65">
        <v>0.109</v>
      </c>
      <c r="AK2" s="119">
        <v>1.9</v>
      </c>
      <c r="AL2" s="119">
        <v>-0.1</v>
      </c>
      <c r="AM2" s="119">
        <v>1.8</v>
      </c>
      <c r="AN2" s="119">
        <v>14.8</v>
      </c>
    </row>
    <row r="3" spans="1:43" x14ac:dyDescent="0.2">
      <c r="A3" s="3">
        <v>13</v>
      </c>
      <c r="B3" s="3" t="s">
        <v>899</v>
      </c>
      <c r="C3" s="3" t="s">
        <v>230</v>
      </c>
      <c r="D3" s="105">
        <v>65</v>
      </c>
      <c r="E3" s="105">
        <v>611</v>
      </c>
      <c r="F3" s="106">
        <v>220</v>
      </c>
      <c r="G3" s="4">
        <v>32746</v>
      </c>
      <c r="H3" s="110">
        <f t="shared" ca="1" si="0"/>
        <v>31.2</v>
      </c>
      <c r="I3" s="3" t="s">
        <v>900</v>
      </c>
      <c r="J3" s="3">
        <v>12</v>
      </c>
      <c r="K3" s="109">
        <v>2009</v>
      </c>
      <c r="L3" s="109">
        <v>3</v>
      </c>
      <c r="M3" s="3" t="s">
        <v>901</v>
      </c>
      <c r="N3" s="3" t="s">
        <v>1</v>
      </c>
      <c r="O3" s="3" t="s">
        <v>1938</v>
      </c>
      <c r="P3" s="11">
        <v>41254920</v>
      </c>
      <c r="Q3" s="11">
        <v>44310840</v>
      </c>
      <c r="R3" s="47">
        <v>47366760</v>
      </c>
      <c r="S3" s="14">
        <v>49735098</v>
      </c>
      <c r="T3" s="3"/>
      <c r="V3" t="s">
        <v>347</v>
      </c>
      <c r="W3" t="s">
        <v>902</v>
      </c>
      <c r="X3" s="69">
        <v>3</v>
      </c>
      <c r="Y3" s="69">
        <v>61</v>
      </c>
      <c r="Z3" s="65">
        <f>39/61</f>
        <v>0.63934426229508201</v>
      </c>
      <c r="AA3" s="119">
        <v>113.8</v>
      </c>
      <c r="AB3" s="119">
        <v>108.2</v>
      </c>
      <c r="AC3" s="119">
        <f t="shared" si="1"/>
        <v>5.5999999999999943</v>
      </c>
      <c r="AD3" s="119">
        <v>36.700000000000003</v>
      </c>
      <c r="AE3" s="119">
        <v>28.4</v>
      </c>
      <c r="AF3" s="65">
        <v>0.61599999999999999</v>
      </c>
      <c r="AG3" s="119">
        <v>36.4</v>
      </c>
      <c r="AH3" s="119">
        <v>8.6999999999999993</v>
      </c>
      <c r="AI3" s="119">
        <v>2.7</v>
      </c>
      <c r="AJ3" s="65">
        <v>0.245</v>
      </c>
      <c r="AK3" s="119">
        <v>7.9</v>
      </c>
      <c r="AL3" s="119">
        <v>1.2</v>
      </c>
      <c r="AM3" s="119">
        <v>6.3</v>
      </c>
      <c r="AN3" s="119">
        <v>18.3</v>
      </c>
    </row>
    <row r="4" spans="1:43" x14ac:dyDescent="0.2">
      <c r="A4" s="3">
        <v>10</v>
      </c>
      <c r="B4" s="3" t="s">
        <v>202</v>
      </c>
      <c r="C4" s="3" t="s">
        <v>252</v>
      </c>
      <c r="D4" s="105">
        <v>63</v>
      </c>
      <c r="E4" s="105">
        <v>69</v>
      </c>
      <c r="F4" s="106">
        <v>215</v>
      </c>
      <c r="G4" s="4">
        <v>32502</v>
      </c>
      <c r="H4" s="110">
        <f t="shared" ca="1" si="0"/>
        <v>31.9</v>
      </c>
      <c r="I4" s="3" t="s">
        <v>362</v>
      </c>
      <c r="J4" s="3">
        <v>13</v>
      </c>
      <c r="K4" s="109">
        <v>2008</v>
      </c>
      <c r="L4" s="109">
        <v>7</v>
      </c>
      <c r="M4" s="3" t="s">
        <v>903</v>
      </c>
      <c r="N4" s="3" t="s">
        <v>1</v>
      </c>
      <c r="O4" s="3" t="s">
        <v>2022</v>
      </c>
      <c r="P4" s="11">
        <v>16869276</v>
      </c>
      <c r="Q4" s="11">
        <v>18218818</v>
      </c>
      <c r="R4" s="11">
        <v>19568360</v>
      </c>
      <c r="S4" s="15">
        <v>20917902</v>
      </c>
      <c r="T4" s="14">
        <f>S4*1.5</f>
        <v>31376853</v>
      </c>
      <c r="W4" t="s">
        <v>904</v>
      </c>
      <c r="X4" s="69">
        <v>2</v>
      </c>
      <c r="Y4" s="69">
        <v>34</v>
      </c>
      <c r="Z4" s="65">
        <f>21/34</f>
        <v>0.61764705882352944</v>
      </c>
      <c r="AA4" s="119">
        <v>111.7</v>
      </c>
      <c r="AB4" s="119">
        <v>110.3</v>
      </c>
      <c r="AC4" s="119">
        <f t="shared" si="1"/>
        <v>1.4000000000000057</v>
      </c>
      <c r="AD4" s="119">
        <v>28.6</v>
      </c>
      <c r="AE4" s="119">
        <v>10.5</v>
      </c>
      <c r="AF4" s="65">
        <v>0.51100000000000001</v>
      </c>
      <c r="AG4" s="119">
        <v>22.1</v>
      </c>
      <c r="AH4" s="119">
        <v>0.2</v>
      </c>
      <c r="AI4" s="119">
        <v>0.5</v>
      </c>
      <c r="AJ4" s="65">
        <v>3.6999999999999998E-2</v>
      </c>
      <c r="AK4" s="119">
        <v>-1.6</v>
      </c>
      <c r="AL4" s="119">
        <v>-2</v>
      </c>
      <c r="AM4" s="119">
        <v>-0.4</v>
      </c>
      <c r="AN4" s="119">
        <v>5.6</v>
      </c>
    </row>
    <row r="5" spans="1:43" x14ac:dyDescent="0.2">
      <c r="A5" s="3">
        <v>35</v>
      </c>
      <c r="B5" s="3" t="s">
        <v>50</v>
      </c>
      <c r="C5" s="3" t="s">
        <v>234</v>
      </c>
      <c r="D5" s="105">
        <v>610</v>
      </c>
      <c r="E5" s="105">
        <v>73</v>
      </c>
      <c r="F5" s="106">
        <v>214</v>
      </c>
      <c r="G5" s="4">
        <v>34969</v>
      </c>
      <c r="H5" s="110">
        <f t="shared" ca="1" si="0"/>
        <v>25.1</v>
      </c>
      <c r="I5" s="3" t="s">
        <v>802</v>
      </c>
      <c r="J5" s="3">
        <v>5</v>
      </c>
      <c r="K5" s="109">
        <v>2015</v>
      </c>
      <c r="L5" s="109"/>
      <c r="M5" s="3" t="s">
        <v>2669</v>
      </c>
      <c r="N5" s="3" t="s">
        <v>346</v>
      </c>
      <c r="O5" s="11" t="s">
        <v>2459</v>
      </c>
      <c r="P5" s="239">
        <v>13015873</v>
      </c>
      <c r="Q5" s="239">
        <v>13666667</v>
      </c>
      <c r="R5" s="239">
        <v>14317459</v>
      </c>
      <c r="S5" s="51">
        <f>R5*1.5</f>
        <v>21476188.5</v>
      </c>
      <c r="T5" s="28"/>
      <c r="U5" s="59"/>
      <c r="V5" s="59"/>
      <c r="W5" s="59" t="s">
        <v>803</v>
      </c>
      <c r="X5" s="69">
        <v>5</v>
      </c>
      <c r="Y5" s="69">
        <v>62</v>
      </c>
      <c r="Z5" s="65">
        <f>20/66</f>
        <v>0.30303030303030304</v>
      </c>
      <c r="AA5" s="119">
        <v>110.8</v>
      </c>
      <c r="AB5" s="119">
        <v>108.8</v>
      </c>
      <c r="AC5" s="119">
        <f t="shared" si="1"/>
        <v>2</v>
      </c>
      <c r="AD5" s="119">
        <v>21.4</v>
      </c>
      <c r="AE5" s="119">
        <v>23.2</v>
      </c>
      <c r="AF5" s="65">
        <v>0.65900000000000003</v>
      </c>
      <c r="AG5" s="119">
        <v>23</v>
      </c>
      <c r="AH5" s="119">
        <v>3.6</v>
      </c>
      <c r="AI5" s="119">
        <v>1.5</v>
      </c>
      <c r="AJ5" s="65">
        <v>0.184</v>
      </c>
      <c r="AK5" s="119">
        <v>3.5</v>
      </c>
      <c r="AL5" s="119">
        <v>-0.3</v>
      </c>
      <c r="AM5" s="119">
        <v>1.7</v>
      </c>
      <c r="AN5" s="119">
        <v>15.3</v>
      </c>
      <c r="AO5" s="59"/>
      <c r="AP5" s="59"/>
      <c r="AQ5" s="59"/>
    </row>
    <row r="6" spans="1:43" x14ac:dyDescent="0.2">
      <c r="A6" s="3">
        <v>17</v>
      </c>
      <c r="B6" s="3" t="s">
        <v>908</v>
      </c>
      <c r="C6" s="3" t="s">
        <v>234</v>
      </c>
      <c r="D6" s="105">
        <v>65</v>
      </c>
      <c r="E6" s="105">
        <v>70</v>
      </c>
      <c r="F6" s="106">
        <v>245</v>
      </c>
      <c r="G6" s="4">
        <v>31172</v>
      </c>
      <c r="H6" s="110">
        <f t="shared" ca="1" si="0"/>
        <v>35.5</v>
      </c>
      <c r="I6" s="3" t="s">
        <v>406</v>
      </c>
      <c r="J6" s="3">
        <v>10</v>
      </c>
      <c r="K6" s="109">
        <v>2006</v>
      </c>
      <c r="L6" s="109">
        <v>35</v>
      </c>
      <c r="M6" s="3" t="s">
        <v>789</v>
      </c>
      <c r="N6" s="3" t="s">
        <v>495</v>
      </c>
      <c r="O6" s="3" t="s">
        <v>2024</v>
      </c>
      <c r="P6" s="11">
        <v>7969537</v>
      </c>
      <c r="Q6" s="14">
        <f>P6*1.9</f>
        <v>15142120.299999999</v>
      </c>
      <c r="R6" s="3"/>
      <c r="S6" s="3"/>
      <c r="T6" s="3"/>
      <c r="W6" t="s">
        <v>909</v>
      </c>
      <c r="X6" s="69">
        <v>4</v>
      </c>
      <c r="Y6" s="69">
        <v>64</v>
      </c>
      <c r="Z6" s="65">
        <f>40/64</f>
        <v>0.625</v>
      </c>
      <c r="AA6" s="119">
        <v>112.2</v>
      </c>
      <c r="AB6" s="119">
        <v>109.2</v>
      </c>
      <c r="AC6" s="119">
        <f t="shared" si="1"/>
        <v>3</v>
      </c>
      <c r="AD6" s="119">
        <v>34.4</v>
      </c>
      <c r="AE6" s="119">
        <v>8.6999999999999993</v>
      </c>
      <c r="AF6" s="65">
        <v>0.57999999999999996</v>
      </c>
      <c r="AG6" s="119">
        <v>8.6</v>
      </c>
      <c r="AH6" s="119">
        <v>1.8</v>
      </c>
      <c r="AI6" s="119">
        <v>2.2000000000000002</v>
      </c>
      <c r="AJ6" s="65">
        <v>8.5999999999999993E-2</v>
      </c>
      <c r="AK6" s="119">
        <v>-2.2000000000000002</v>
      </c>
      <c r="AL6" s="119">
        <v>0.6</v>
      </c>
      <c r="AM6" s="119">
        <v>0.2</v>
      </c>
      <c r="AN6" s="119">
        <v>6</v>
      </c>
    </row>
    <row r="7" spans="1:43" x14ac:dyDescent="0.2">
      <c r="A7" s="3">
        <v>4</v>
      </c>
      <c r="B7" s="3" t="s">
        <v>910</v>
      </c>
      <c r="C7" s="3" t="s">
        <v>241</v>
      </c>
      <c r="D7" s="105">
        <v>66</v>
      </c>
      <c r="E7" s="105">
        <v>68</v>
      </c>
      <c r="F7" s="106">
        <v>220</v>
      </c>
      <c r="G7" s="4">
        <v>34127</v>
      </c>
      <c r="H7" s="110">
        <f t="shared" ca="1" si="0"/>
        <v>27.4</v>
      </c>
      <c r="I7" s="3" t="s">
        <v>373</v>
      </c>
      <c r="J7" s="3">
        <v>5</v>
      </c>
      <c r="K7" s="109">
        <v>2016</v>
      </c>
      <c r="L7" s="109"/>
      <c r="M7" s="3" t="s">
        <v>911</v>
      </c>
      <c r="N7" s="3" t="s">
        <v>748</v>
      </c>
      <c r="O7" s="3" t="s">
        <v>2025</v>
      </c>
      <c r="P7" s="11">
        <v>3717000</v>
      </c>
      <c r="Q7" s="11">
        <v>3894000</v>
      </c>
      <c r="R7" s="14">
        <f>Q7*1.9</f>
        <v>7398600</v>
      </c>
      <c r="S7" s="3"/>
      <c r="T7" s="3"/>
      <c r="W7" t="s">
        <v>912</v>
      </c>
      <c r="X7" s="69">
        <v>3</v>
      </c>
      <c r="Y7" s="69">
        <v>58</v>
      </c>
      <c r="Z7" s="65">
        <f>36/58</f>
        <v>0.62068965517241381</v>
      </c>
      <c r="AA7" s="119">
        <v>112</v>
      </c>
      <c r="AB7" s="119">
        <v>109.2</v>
      </c>
      <c r="AC7" s="119">
        <f t="shared" si="1"/>
        <v>2.7999999999999972</v>
      </c>
      <c r="AD7" s="119">
        <v>30</v>
      </c>
      <c r="AE7" s="119">
        <v>11.4</v>
      </c>
      <c r="AF7" s="65">
        <v>0.57099999999999995</v>
      </c>
      <c r="AG7" s="119">
        <v>13.5</v>
      </c>
      <c r="AH7" s="119">
        <v>1.9</v>
      </c>
      <c r="AI7" s="119">
        <v>1.6</v>
      </c>
      <c r="AJ7" s="65">
        <v>9.6000000000000002E-2</v>
      </c>
      <c r="AK7" s="119">
        <v>-0.6</v>
      </c>
      <c r="AL7" s="119">
        <v>0.1</v>
      </c>
      <c r="AM7" s="119">
        <v>0.7</v>
      </c>
      <c r="AN7" s="119">
        <v>7</v>
      </c>
    </row>
    <row r="8" spans="1:43" x14ac:dyDescent="0.2">
      <c r="A8" s="3">
        <v>16</v>
      </c>
      <c r="B8" s="3" t="s">
        <v>61</v>
      </c>
      <c r="C8" s="3" t="s">
        <v>252</v>
      </c>
      <c r="D8" s="105">
        <v>63</v>
      </c>
      <c r="E8" s="105">
        <v>68</v>
      </c>
      <c r="F8" s="106">
        <v>195</v>
      </c>
      <c r="G8" s="4">
        <v>34011</v>
      </c>
      <c r="H8" s="110">
        <f t="shared" ca="1" si="0"/>
        <v>27.7</v>
      </c>
      <c r="I8" s="3" t="s">
        <v>498</v>
      </c>
      <c r="J8" s="3">
        <v>8</v>
      </c>
      <c r="K8" s="109">
        <v>2013</v>
      </c>
      <c r="L8" s="109">
        <v>7</v>
      </c>
      <c r="M8" s="3" t="s">
        <v>914</v>
      </c>
      <c r="N8" s="3" t="s">
        <v>276</v>
      </c>
      <c r="O8" s="3" t="s">
        <v>2170</v>
      </c>
      <c r="P8" s="16">
        <v>2282034</v>
      </c>
      <c r="Q8" s="14">
        <v>1856061</v>
      </c>
      <c r="R8" s="3"/>
      <c r="S8" s="3"/>
      <c r="T8" s="3"/>
      <c r="W8" t="s">
        <v>915</v>
      </c>
      <c r="X8" s="69">
        <v>2</v>
      </c>
      <c r="Y8" s="69">
        <v>63</v>
      </c>
      <c r="Z8" s="65">
        <f>40/63</f>
        <v>0.63492063492063489</v>
      </c>
      <c r="AA8" s="119">
        <v>116</v>
      </c>
      <c r="AB8" s="119">
        <v>109.4</v>
      </c>
      <c r="AC8" s="119">
        <f t="shared" si="1"/>
        <v>6.5999999999999943</v>
      </c>
      <c r="AD8" s="119">
        <v>22.8</v>
      </c>
      <c r="AE8" s="119">
        <v>11.7</v>
      </c>
      <c r="AF8" s="65">
        <v>0.622</v>
      </c>
      <c r="AG8" s="119">
        <v>15.6</v>
      </c>
      <c r="AH8" s="119">
        <v>2.1</v>
      </c>
      <c r="AI8" s="119">
        <v>0.9</v>
      </c>
      <c r="AJ8" s="65">
        <v>0.1</v>
      </c>
      <c r="AK8" s="119">
        <v>0</v>
      </c>
      <c r="AL8" s="119">
        <v>-0.7</v>
      </c>
      <c r="AM8" s="119">
        <v>0.5</v>
      </c>
      <c r="AN8" s="119">
        <v>6.5</v>
      </c>
    </row>
    <row r="9" spans="1:43" x14ac:dyDescent="0.2">
      <c r="A9" s="3"/>
      <c r="B9" s="3" t="s">
        <v>1839</v>
      </c>
      <c r="C9" s="3" t="s">
        <v>230</v>
      </c>
      <c r="D9" s="105">
        <v>65</v>
      </c>
      <c r="E9" s="105">
        <v>70</v>
      </c>
      <c r="F9" s="106">
        <v>219</v>
      </c>
      <c r="G9" s="4">
        <v>33983</v>
      </c>
      <c r="H9" s="110">
        <f t="shared" ca="1" si="0"/>
        <v>27.8</v>
      </c>
      <c r="I9" s="3" t="s">
        <v>1840</v>
      </c>
      <c r="J9" s="3">
        <v>5</v>
      </c>
      <c r="K9" s="109">
        <v>2016</v>
      </c>
      <c r="L9" s="109"/>
      <c r="M9" s="3" t="s">
        <v>1841</v>
      </c>
      <c r="N9" s="3" t="s">
        <v>748</v>
      </c>
      <c r="O9" s="3" t="s">
        <v>2576</v>
      </c>
      <c r="P9" s="16">
        <v>1824003</v>
      </c>
      <c r="Q9" s="14">
        <v>1856061</v>
      </c>
      <c r="R9" s="3"/>
      <c r="S9" s="3"/>
      <c r="T9" s="3"/>
      <c r="U9" s="155"/>
      <c r="V9" s="155"/>
      <c r="W9" s="132" t="s">
        <v>1849</v>
      </c>
      <c r="X9" s="101">
        <v>3</v>
      </c>
      <c r="Y9" s="101">
        <v>20</v>
      </c>
      <c r="Z9" s="163">
        <f>8/20</f>
        <v>0.4</v>
      </c>
      <c r="AA9" s="162">
        <v>102.1</v>
      </c>
      <c r="AB9" s="162">
        <v>94.9</v>
      </c>
      <c r="AC9" s="162">
        <f t="shared" si="1"/>
        <v>7.1999999999999886</v>
      </c>
      <c r="AD9" s="162">
        <v>13.4</v>
      </c>
      <c r="AE9" s="162">
        <v>14</v>
      </c>
      <c r="AF9" s="163">
        <v>0.627</v>
      </c>
      <c r="AG9" s="162">
        <v>14.2</v>
      </c>
      <c r="AH9" s="162">
        <v>0.4</v>
      </c>
      <c r="AI9" s="162">
        <v>0.4</v>
      </c>
      <c r="AJ9" s="163">
        <v>0.14199999999999999</v>
      </c>
      <c r="AK9" s="162">
        <v>-1.1000000000000001</v>
      </c>
      <c r="AL9" s="162">
        <v>2</v>
      </c>
      <c r="AM9" s="162">
        <v>0.2</v>
      </c>
      <c r="AN9" s="162">
        <v>9.8000000000000007</v>
      </c>
    </row>
    <row r="10" spans="1:43" x14ac:dyDescent="0.2">
      <c r="A10" s="3"/>
      <c r="B10" s="3" t="s">
        <v>2640</v>
      </c>
      <c r="C10" s="3" t="s">
        <v>234</v>
      </c>
      <c r="D10" s="105">
        <v>611</v>
      </c>
      <c r="E10" s="105"/>
      <c r="F10" s="106">
        <v>269</v>
      </c>
      <c r="G10" s="4">
        <v>33098</v>
      </c>
      <c r="H10" s="110">
        <f t="shared" ca="1" si="0"/>
        <v>30.2</v>
      </c>
      <c r="I10" s="3" t="s">
        <v>266</v>
      </c>
      <c r="J10" s="3">
        <v>11</v>
      </c>
      <c r="K10" s="109">
        <v>2010</v>
      </c>
      <c r="L10" s="109">
        <v>5</v>
      </c>
      <c r="M10" s="3" t="s">
        <v>2436</v>
      </c>
      <c r="N10" s="3"/>
      <c r="O10" s="3"/>
      <c r="P10" s="15">
        <v>1620564</v>
      </c>
      <c r="Q10" s="14"/>
      <c r="R10" s="3"/>
      <c r="S10" s="3"/>
      <c r="T10" s="3"/>
      <c r="U10" s="155"/>
      <c r="V10" s="155"/>
      <c r="W10" s="132"/>
      <c r="X10" s="101"/>
      <c r="Y10" s="101"/>
      <c r="Z10" s="163"/>
      <c r="AA10" s="162"/>
      <c r="AB10" s="162"/>
      <c r="AC10" s="162"/>
      <c r="AD10" s="162"/>
      <c r="AE10" s="162"/>
      <c r="AF10" s="163"/>
      <c r="AG10" s="162"/>
      <c r="AH10" s="162"/>
      <c r="AI10" s="162"/>
      <c r="AJ10" s="163"/>
      <c r="AK10" s="162"/>
      <c r="AL10" s="162"/>
      <c r="AM10" s="162"/>
      <c r="AN10" s="162"/>
    </row>
    <row r="11" spans="1:43" x14ac:dyDescent="0.2">
      <c r="A11" s="3"/>
      <c r="B11" s="3" t="s">
        <v>103</v>
      </c>
      <c r="C11" s="70" t="s">
        <v>252</v>
      </c>
      <c r="D11" s="223">
        <v>65</v>
      </c>
      <c r="E11" s="223">
        <v>610</v>
      </c>
      <c r="F11" s="224">
        <v>219</v>
      </c>
      <c r="G11" s="4">
        <v>34740</v>
      </c>
      <c r="H11" s="162">
        <f t="shared" ca="1" si="0"/>
        <v>25.7</v>
      </c>
      <c r="I11" s="70" t="s">
        <v>376</v>
      </c>
      <c r="J11" s="3">
        <v>4</v>
      </c>
      <c r="K11" s="107">
        <v>2017</v>
      </c>
      <c r="L11" s="107">
        <v>46</v>
      </c>
      <c r="M11" s="3" t="s">
        <v>2727</v>
      </c>
      <c r="N11" s="3" t="s">
        <v>276</v>
      </c>
      <c r="O11" s="70" t="s">
        <v>2438</v>
      </c>
      <c r="P11" s="16">
        <v>1620564</v>
      </c>
      <c r="Q11" s="234"/>
      <c r="R11" s="16"/>
      <c r="S11" s="54"/>
      <c r="T11" s="54"/>
      <c r="U11" s="70"/>
      <c r="V11" s="70"/>
      <c r="W11" s="70" t="s">
        <v>2220</v>
      </c>
      <c r="X11" s="101">
        <v>3</v>
      </c>
      <c r="Y11" s="101">
        <v>45</v>
      </c>
      <c r="Z11" s="163">
        <f>36/45</f>
        <v>0.8</v>
      </c>
      <c r="AA11" s="162">
        <v>105.3</v>
      </c>
      <c r="AB11" s="162">
        <v>100</v>
      </c>
      <c r="AC11" s="162">
        <f t="shared" si="1"/>
        <v>5.2999999999999972</v>
      </c>
      <c r="AD11" s="162">
        <v>14.8</v>
      </c>
      <c r="AE11" s="162">
        <v>9.3000000000000007</v>
      </c>
      <c r="AF11" s="163">
        <v>0.47799999999999998</v>
      </c>
      <c r="AG11" s="162">
        <v>16.7</v>
      </c>
      <c r="AH11" s="162">
        <v>-0.4</v>
      </c>
      <c r="AI11" s="162">
        <v>1.3</v>
      </c>
      <c r="AJ11" s="163">
        <v>7.0999999999999994E-2</v>
      </c>
      <c r="AK11" s="162">
        <v>-3.1</v>
      </c>
      <c r="AL11" s="162">
        <v>1</v>
      </c>
      <c r="AM11" s="162">
        <v>0</v>
      </c>
      <c r="AN11" s="162">
        <v>8.1</v>
      </c>
      <c r="AO11" s="70"/>
      <c r="AP11" s="70"/>
    </row>
    <row r="12" spans="1:43" x14ac:dyDescent="0.2">
      <c r="A12" s="3">
        <v>3</v>
      </c>
      <c r="B12" s="3" t="s">
        <v>65</v>
      </c>
      <c r="C12" s="3" t="s">
        <v>230</v>
      </c>
      <c r="D12" s="105">
        <v>59</v>
      </c>
      <c r="E12" s="105"/>
      <c r="F12" s="106">
        <v>180</v>
      </c>
      <c r="G12" s="4">
        <v>35634</v>
      </c>
      <c r="H12" s="110">
        <f t="shared" ca="1" si="0"/>
        <v>23.3</v>
      </c>
      <c r="I12" s="3" t="s">
        <v>924</v>
      </c>
      <c r="J12" s="3">
        <v>2</v>
      </c>
      <c r="K12" s="109">
        <v>2019</v>
      </c>
      <c r="L12" s="109"/>
      <c r="M12" s="3" t="s">
        <v>925</v>
      </c>
      <c r="N12" s="3" t="s">
        <v>748</v>
      </c>
      <c r="O12" s="159" t="s">
        <v>859</v>
      </c>
      <c r="P12" s="15">
        <v>1517981</v>
      </c>
      <c r="Q12" s="48">
        <v>1782621</v>
      </c>
      <c r="R12" s="49">
        <v>2228276</v>
      </c>
      <c r="S12" s="3"/>
      <c r="T12" s="3"/>
      <c r="W12" t="s">
        <v>547</v>
      </c>
      <c r="X12" s="69">
        <v>1</v>
      </c>
      <c r="Y12" s="69">
        <v>29</v>
      </c>
      <c r="Z12" s="65">
        <f>18/29</f>
        <v>0.62068965517241381</v>
      </c>
      <c r="AA12" s="119">
        <v>101.1</v>
      </c>
      <c r="AB12" s="119">
        <v>107.9</v>
      </c>
      <c r="AC12" s="119">
        <f t="shared" si="1"/>
        <v>-6.8000000000000114</v>
      </c>
      <c r="AD12" s="119">
        <v>8.6999999999999993</v>
      </c>
      <c r="AE12" s="119">
        <v>12.6</v>
      </c>
      <c r="AF12" s="65">
        <v>0.54600000000000004</v>
      </c>
      <c r="AG12" s="119">
        <v>24</v>
      </c>
      <c r="AH12" s="119">
        <v>0.1</v>
      </c>
      <c r="AI12" s="119">
        <v>0.2</v>
      </c>
      <c r="AJ12" s="65">
        <v>4.5999999999999999E-2</v>
      </c>
      <c r="AK12" s="119">
        <v>0.4</v>
      </c>
      <c r="AL12" s="119">
        <v>-1.7</v>
      </c>
      <c r="AM12" s="119">
        <v>0.1</v>
      </c>
      <c r="AN12" s="119">
        <v>8.1</v>
      </c>
    </row>
    <row r="13" spans="1:43" x14ac:dyDescent="0.2">
      <c r="A13" s="3"/>
      <c r="B13" s="3" t="s">
        <v>2452</v>
      </c>
      <c r="C13" s="3" t="s">
        <v>252</v>
      </c>
      <c r="D13" s="105">
        <v>64</v>
      </c>
      <c r="E13" s="105">
        <v>68</v>
      </c>
      <c r="F13" s="106">
        <v>230</v>
      </c>
      <c r="G13" s="4">
        <v>35000</v>
      </c>
      <c r="H13" s="110">
        <f t="shared" ca="1" si="0"/>
        <v>25</v>
      </c>
      <c r="I13" s="3" t="s">
        <v>2453</v>
      </c>
      <c r="J13" s="3">
        <v>1</v>
      </c>
      <c r="K13" s="109">
        <v>2018</v>
      </c>
      <c r="L13" s="109"/>
      <c r="M13" s="3" t="s">
        <v>2436</v>
      </c>
      <c r="N13" s="3" t="s">
        <v>495</v>
      </c>
      <c r="O13" s="3" t="s">
        <v>2598</v>
      </c>
      <c r="P13" s="174">
        <v>1000000</v>
      </c>
      <c r="Q13" s="180">
        <v>1517981</v>
      </c>
      <c r="R13" s="180">
        <v>1782621</v>
      </c>
      <c r="S13" s="254">
        <v>2228276</v>
      </c>
      <c r="T13" s="3"/>
      <c r="X13" s="69"/>
      <c r="Y13" s="69"/>
      <c r="Z13" s="65"/>
      <c r="AA13" s="119"/>
      <c r="AB13" s="119"/>
      <c r="AC13" s="119"/>
      <c r="AD13" s="119"/>
      <c r="AE13" s="119"/>
      <c r="AF13" s="65"/>
      <c r="AG13" s="119"/>
      <c r="AH13" s="119"/>
      <c r="AI13" s="119"/>
      <c r="AJ13" s="65"/>
      <c r="AK13" s="119"/>
      <c r="AL13" s="119"/>
      <c r="AM13" s="119"/>
      <c r="AN13" s="119"/>
    </row>
    <row r="14" spans="1:43" x14ac:dyDescent="0.2">
      <c r="A14" s="3"/>
      <c r="B14" s="3" t="s">
        <v>2365</v>
      </c>
      <c r="C14" s="3" t="s">
        <v>252</v>
      </c>
      <c r="D14" s="105">
        <v>67</v>
      </c>
      <c r="E14" s="105">
        <v>67</v>
      </c>
      <c r="F14" s="106">
        <v>215</v>
      </c>
      <c r="G14" s="4">
        <v>36897</v>
      </c>
      <c r="H14" s="3">
        <f ca="1">ROUNDDOWN(YEARFRAC($G$27,G14),1)</f>
        <v>19.8</v>
      </c>
      <c r="I14" s="3" t="s">
        <v>1590</v>
      </c>
      <c r="J14" s="3">
        <v>1</v>
      </c>
      <c r="K14" s="3">
        <v>2020</v>
      </c>
      <c r="L14" s="3">
        <v>52</v>
      </c>
      <c r="M14" s="3" t="s">
        <v>2366</v>
      </c>
      <c r="N14" s="3"/>
      <c r="O14" s="3"/>
      <c r="P14" s="11">
        <v>898310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41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3" x14ac:dyDescent="0.2">
      <c r="A15" s="3"/>
      <c r="B15" s="3" t="s">
        <v>1366</v>
      </c>
      <c r="C15" s="3" t="s">
        <v>234</v>
      </c>
      <c r="D15" s="105">
        <v>68</v>
      </c>
      <c r="E15" s="105">
        <v>72</v>
      </c>
      <c r="F15" s="106">
        <v>235</v>
      </c>
      <c r="G15" s="4">
        <v>35902</v>
      </c>
      <c r="H15" s="110">
        <f t="shared" ca="1" si="0"/>
        <v>22.6</v>
      </c>
      <c r="I15" s="3" t="s">
        <v>763</v>
      </c>
      <c r="J15" s="3">
        <v>2</v>
      </c>
      <c r="K15" s="3">
        <v>2019</v>
      </c>
      <c r="M15" s="3" t="s">
        <v>2529</v>
      </c>
      <c r="N15" s="3" t="s">
        <v>288</v>
      </c>
      <c r="O15" s="3" t="s">
        <v>1086</v>
      </c>
      <c r="P15" s="54" t="s">
        <v>288</v>
      </c>
      <c r="Q15" s="34"/>
      <c r="R15" s="3"/>
      <c r="S15" s="3"/>
      <c r="X15" s="69"/>
      <c r="Y15" s="69"/>
      <c r="Z15" s="65"/>
      <c r="AA15" s="119"/>
      <c r="AB15" s="119"/>
      <c r="AC15" s="119"/>
      <c r="AD15" s="119"/>
      <c r="AE15" s="119"/>
      <c r="AF15" s="65"/>
      <c r="AG15" s="119"/>
      <c r="AH15" s="119"/>
      <c r="AI15" s="119"/>
      <c r="AJ15" s="65"/>
      <c r="AK15" s="119"/>
      <c r="AL15" s="119"/>
      <c r="AM15" s="119"/>
      <c r="AN15" s="119"/>
    </row>
    <row r="16" spans="1:43" x14ac:dyDescent="0.2">
      <c r="A16" s="3"/>
      <c r="B16" s="3" t="s">
        <v>2649</v>
      </c>
      <c r="C16" s="3"/>
      <c r="D16" s="105">
        <v>65</v>
      </c>
      <c r="E16" s="105"/>
      <c r="F16" s="106">
        <v>200</v>
      </c>
      <c r="G16" s="4">
        <v>35997</v>
      </c>
      <c r="H16" s="110">
        <f t="shared" ca="1" si="0"/>
        <v>22.3</v>
      </c>
      <c r="I16" s="3" t="s">
        <v>572</v>
      </c>
      <c r="J16" s="3">
        <v>1</v>
      </c>
      <c r="K16" s="3">
        <v>2020</v>
      </c>
      <c r="M16" s="3" t="s">
        <v>2436</v>
      </c>
      <c r="N16" s="3" t="s">
        <v>288</v>
      </c>
      <c r="O16" s="3" t="s">
        <v>2516</v>
      </c>
      <c r="P16" s="54" t="s">
        <v>288</v>
      </c>
      <c r="Q16" s="34"/>
      <c r="R16" s="3"/>
      <c r="S16" s="3"/>
      <c r="X16" s="69"/>
      <c r="Y16" s="69"/>
      <c r="Z16" s="65"/>
      <c r="AA16" s="119"/>
      <c r="AB16" s="119"/>
      <c r="AC16" s="119"/>
      <c r="AD16" s="119"/>
      <c r="AE16" s="119"/>
      <c r="AF16" s="65"/>
      <c r="AG16" s="119"/>
      <c r="AH16" s="119"/>
      <c r="AI16" s="119"/>
      <c r="AJ16" s="65"/>
      <c r="AK16" s="119"/>
      <c r="AL16" s="119"/>
      <c r="AM16" s="119"/>
      <c r="AN16" s="119"/>
    </row>
    <row r="17" spans="1:40" x14ac:dyDescent="0.2">
      <c r="A17" s="3"/>
      <c r="B17" s="3" t="s">
        <v>290</v>
      </c>
      <c r="C17" s="3"/>
      <c r="D17" s="105"/>
      <c r="E17" s="105"/>
      <c r="F17" s="106"/>
      <c r="G17" s="4"/>
      <c r="H17" s="110"/>
      <c r="I17" s="3"/>
      <c r="J17" s="3"/>
      <c r="K17" s="109"/>
      <c r="L17" s="109"/>
      <c r="M17" s="3"/>
      <c r="N17" s="3"/>
      <c r="O17" s="3"/>
      <c r="P17" s="60">
        <v>122741</v>
      </c>
      <c r="Q17" s="60">
        <v>122741</v>
      </c>
      <c r="R17" s="60">
        <v>122741</v>
      </c>
      <c r="S17" s="3"/>
      <c r="T17" s="3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K18" s="117"/>
      <c r="L18" s="117"/>
      <c r="M18" s="117"/>
      <c r="N18" s="117"/>
      <c r="O18" s="75"/>
      <c r="P18" s="60"/>
      <c r="Q18" s="60"/>
      <c r="R18" s="60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>
        <v>5</v>
      </c>
      <c r="B19" s="3" t="s">
        <v>62</v>
      </c>
      <c r="C19" s="3" t="s">
        <v>234</v>
      </c>
      <c r="D19" s="105">
        <v>69</v>
      </c>
      <c r="E19" s="105">
        <v>77</v>
      </c>
      <c r="F19" s="106">
        <v>218</v>
      </c>
      <c r="G19" s="4">
        <v>34963</v>
      </c>
      <c r="H19" s="110">
        <f t="shared" ref="H19:H25" ca="1" si="2">ROUNDDOWN(YEARFRAC($G$27,G19),1)</f>
        <v>25.1</v>
      </c>
      <c r="I19" s="3" t="s">
        <v>916</v>
      </c>
      <c r="J19" s="3">
        <v>7</v>
      </c>
      <c r="K19" s="109">
        <v>2014</v>
      </c>
      <c r="L19" s="109">
        <v>20</v>
      </c>
      <c r="M19" s="3" t="s">
        <v>917</v>
      </c>
      <c r="N19" s="3"/>
      <c r="O19" s="3"/>
      <c r="P19" s="14">
        <v>1620564</v>
      </c>
      <c r="Q19" s="3"/>
      <c r="R19" s="3"/>
      <c r="S19" s="3"/>
      <c r="T19" s="3"/>
      <c r="W19" t="s">
        <v>918</v>
      </c>
      <c r="X19" s="69">
        <v>4</v>
      </c>
      <c r="Y19" s="69">
        <v>22</v>
      </c>
      <c r="Z19" s="65">
        <f>7/22</f>
        <v>0.31818181818181818</v>
      </c>
      <c r="AA19" s="119">
        <v>99.8</v>
      </c>
      <c r="AB19" s="119">
        <v>102.8</v>
      </c>
      <c r="AC19" s="119">
        <f t="shared" ref="AC19:AC22" si="3">AA19-AB19</f>
        <v>-3</v>
      </c>
      <c r="AD19" s="119">
        <v>8.6999999999999993</v>
      </c>
      <c r="AE19" s="119">
        <v>11.9</v>
      </c>
      <c r="AF19" s="65">
        <v>0.441</v>
      </c>
      <c r="AG19" s="119">
        <v>16.7</v>
      </c>
      <c r="AH19" s="119">
        <v>-0.1</v>
      </c>
      <c r="AI19" s="119">
        <v>0.3</v>
      </c>
      <c r="AJ19" s="65">
        <v>5.0999999999999997E-2</v>
      </c>
      <c r="AK19" s="119">
        <v>-3.3</v>
      </c>
      <c r="AL19" s="119">
        <v>0.8</v>
      </c>
      <c r="AM19" s="119">
        <v>0</v>
      </c>
      <c r="AN19" s="119">
        <v>7.2</v>
      </c>
    </row>
    <row r="20" spans="1:40" x14ac:dyDescent="0.2">
      <c r="A20" s="3">
        <v>19</v>
      </c>
      <c r="B20" s="3" t="s">
        <v>63</v>
      </c>
      <c r="C20" s="3" t="s">
        <v>234</v>
      </c>
      <c r="D20" s="105">
        <v>70</v>
      </c>
      <c r="E20" s="105">
        <v>73</v>
      </c>
      <c r="F20" s="106">
        <v>235</v>
      </c>
      <c r="G20" s="4">
        <v>30226</v>
      </c>
      <c r="H20" s="110">
        <f t="shared" ca="1" si="2"/>
        <v>38.1</v>
      </c>
      <c r="I20" s="3" t="s">
        <v>919</v>
      </c>
      <c r="J20" s="3">
        <v>20</v>
      </c>
      <c r="K20" s="109">
        <v>2001</v>
      </c>
      <c r="L20" s="109">
        <v>2</v>
      </c>
      <c r="M20" s="3" t="s">
        <v>920</v>
      </c>
      <c r="N20" s="3"/>
      <c r="O20" s="3"/>
      <c r="P20" s="14">
        <v>1620564</v>
      </c>
      <c r="Q20" s="3"/>
      <c r="R20" s="26"/>
      <c r="S20" s="3"/>
      <c r="T20" s="3"/>
      <c r="W20" s="132" t="s">
        <v>238</v>
      </c>
      <c r="X20" s="69">
        <v>5</v>
      </c>
      <c r="Y20" s="69">
        <v>26</v>
      </c>
      <c r="Z20" s="65">
        <f>15/26</f>
        <v>0.57692307692307687</v>
      </c>
      <c r="AA20" s="119">
        <v>109.7</v>
      </c>
      <c r="AB20" s="119">
        <v>104.1</v>
      </c>
      <c r="AC20" s="119">
        <f t="shared" si="3"/>
        <v>5.6000000000000085</v>
      </c>
      <c r="AD20" s="119">
        <v>8.4</v>
      </c>
      <c r="AE20" s="119">
        <v>10.8</v>
      </c>
      <c r="AF20" s="65">
        <v>0.71699999999999997</v>
      </c>
      <c r="AG20" s="119">
        <v>6</v>
      </c>
      <c r="AH20" s="119">
        <v>0.3</v>
      </c>
      <c r="AI20" s="119">
        <v>0.3</v>
      </c>
      <c r="AJ20" s="65">
        <v>0.13</v>
      </c>
      <c r="AK20" s="119">
        <v>-2.5</v>
      </c>
      <c r="AL20" s="119">
        <v>1.1000000000000001</v>
      </c>
      <c r="AM20" s="119">
        <v>0</v>
      </c>
      <c r="AN20" s="119">
        <v>6.1</v>
      </c>
    </row>
    <row r="21" spans="1:40" x14ac:dyDescent="0.2">
      <c r="A21" s="3">
        <v>18</v>
      </c>
      <c r="B21" s="3" t="s">
        <v>64</v>
      </c>
      <c r="C21" s="3" t="s">
        <v>234</v>
      </c>
      <c r="D21" s="105">
        <v>66</v>
      </c>
      <c r="E21" s="105">
        <v>72</v>
      </c>
      <c r="F21" s="106">
        <v>215</v>
      </c>
      <c r="G21" s="4">
        <v>30804</v>
      </c>
      <c r="H21" s="110">
        <f t="shared" ca="1" si="2"/>
        <v>36.5</v>
      </c>
      <c r="I21" s="3" t="s">
        <v>921</v>
      </c>
      <c r="J21" s="3">
        <v>15</v>
      </c>
      <c r="K21" s="109">
        <v>2005</v>
      </c>
      <c r="L21" s="109">
        <v>13</v>
      </c>
      <c r="M21" s="3" t="s">
        <v>922</v>
      </c>
      <c r="N21" s="3"/>
      <c r="O21" s="3"/>
      <c r="P21" s="14">
        <v>1620564</v>
      </c>
      <c r="Q21" s="3"/>
      <c r="R21" s="3"/>
      <c r="S21" s="3"/>
      <c r="T21" s="3"/>
      <c r="W21" t="s">
        <v>923</v>
      </c>
      <c r="X21" s="69">
        <v>4</v>
      </c>
      <c r="Y21" s="69">
        <v>41</v>
      </c>
      <c r="Z21" s="65">
        <f>27/41</f>
        <v>0.65853658536585369</v>
      </c>
      <c r="AA21" s="119">
        <v>110.7</v>
      </c>
      <c r="AB21" s="119">
        <v>106.7</v>
      </c>
      <c r="AC21" s="119">
        <f t="shared" si="3"/>
        <v>4</v>
      </c>
      <c r="AD21" s="119">
        <v>10.6</v>
      </c>
      <c r="AE21" s="119">
        <v>9.5</v>
      </c>
      <c r="AF21" s="65">
        <v>0.48699999999999999</v>
      </c>
      <c r="AG21" s="119">
        <v>10.4</v>
      </c>
      <c r="AH21" s="119">
        <v>0.1</v>
      </c>
      <c r="AI21" s="119">
        <v>0.6</v>
      </c>
      <c r="AJ21" s="65">
        <v>7.2999999999999995E-2</v>
      </c>
      <c r="AK21" s="119">
        <v>-2.7</v>
      </c>
      <c r="AL21" s="119">
        <v>1.6</v>
      </c>
      <c r="AM21" s="119">
        <v>0.1</v>
      </c>
      <c r="AN21" s="119">
        <v>6.4</v>
      </c>
    </row>
    <row r="22" spans="1:40" x14ac:dyDescent="0.2">
      <c r="A22" s="3">
        <v>9</v>
      </c>
      <c r="B22" s="3" t="s">
        <v>66</v>
      </c>
      <c r="C22" s="3" t="s">
        <v>234</v>
      </c>
      <c r="D22" s="105">
        <v>66</v>
      </c>
      <c r="E22" s="105">
        <v>610</v>
      </c>
      <c r="F22" s="106">
        <v>215</v>
      </c>
      <c r="G22" s="4">
        <v>31620</v>
      </c>
      <c r="H22" s="110">
        <f t="shared" ca="1" si="2"/>
        <v>34.299999999999997</v>
      </c>
      <c r="I22" s="3" t="s">
        <v>740</v>
      </c>
      <c r="J22" s="3">
        <v>12</v>
      </c>
      <c r="K22" s="109">
        <v>2009</v>
      </c>
      <c r="L22" s="109">
        <v>27</v>
      </c>
      <c r="M22" s="3" t="s">
        <v>926</v>
      </c>
      <c r="N22" s="3"/>
      <c r="O22" s="3"/>
      <c r="P22" s="14">
        <v>1620564</v>
      </c>
      <c r="Q22" s="3"/>
      <c r="R22" s="3"/>
      <c r="S22" s="3"/>
      <c r="T22" s="3"/>
      <c r="W22" s="132" t="s">
        <v>927</v>
      </c>
      <c r="X22" s="69">
        <v>4</v>
      </c>
      <c r="Y22" s="69">
        <v>6</v>
      </c>
      <c r="Z22" s="65">
        <f>3/6</f>
        <v>0.5</v>
      </c>
      <c r="AA22" s="119">
        <v>117.2</v>
      </c>
      <c r="AB22" s="119">
        <v>108.3</v>
      </c>
      <c r="AC22" s="119">
        <f t="shared" si="3"/>
        <v>8.9000000000000057</v>
      </c>
      <c r="AD22" s="119">
        <v>15.9</v>
      </c>
      <c r="AE22" s="119">
        <v>13.5</v>
      </c>
      <c r="AF22" s="65">
        <v>0.624</v>
      </c>
      <c r="AG22" s="119">
        <v>16.399999999999999</v>
      </c>
      <c r="AH22" s="119">
        <v>0.2</v>
      </c>
      <c r="AI22" s="119">
        <v>0.1</v>
      </c>
      <c r="AJ22" s="65">
        <v>0.11600000000000001</v>
      </c>
      <c r="AK22" s="119">
        <v>0.3</v>
      </c>
      <c r="AL22" s="119">
        <v>-1.1000000000000001</v>
      </c>
      <c r="AM22" s="119">
        <v>0</v>
      </c>
      <c r="AN22" s="119">
        <v>8.3000000000000007</v>
      </c>
    </row>
    <row r="23" spans="1:40" x14ac:dyDescent="0.2">
      <c r="A23" s="3">
        <v>12</v>
      </c>
      <c r="B23" s="3" t="s">
        <v>2029</v>
      </c>
      <c r="C23" s="3" t="s">
        <v>241</v>
      </c>
      <c r="D23" s="105">
        <v>68</v>
      </c>
      <c r="E23" s="105">
        <v>70</v>
      </c>
      <c r="F23" s="106">
        <v>230</v>
      </c>
      <c r="G23" s="4">
        <v>31664</v>
      </c>
      <c r="H23" s="110">
        <f t="shared" ca="1" si="2"/>
        <v>34.200000000000003</v>
      </c>
      <c r="I23" s="3" t="s">
        <v>534</v>
      </c>
      <c r="J23" s="3">
        <v>13</v>
      </c>
      <c r="K23" s="109">
        <v>2008</v>
      </c>
      <c r="L23" s="109">
        <v>37</v>
      </c>
      <c r="M23" s="3" t="s">
        <v>2020</v>
      </c>
      <c r="N23" s="3"/>
      <c r="O23" s="3"/>
      <c r="P23" s="14">
        <v>1620564</v>
      </c>
      <c r="Q23" s="3"/>
      <c r="R23" s="3"/>
      <c r="S23" s="27"/>
      <c r="T23" s="27"/>
      <c r="W23" s="132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A24" s="3">
        <v>21</v>
      </c>
      <c r="B24" s="3" t="s">
        <v>928</v>
      </c>
      <c r="C24" s="3" t="s">
        <v>252</v>
      </c>
      <c r="D24" s="105">
        <v>63</v>
      </c>
      <c r="E24" s="105">
        <v>69</v>
      </c>
      <c r="F24" s="106">
        <v>200</v>
      </c>
      <c r="G24" s="4">
        <v>34401</v>
      </c>
      <c r="H24" s="110">
        <f t="shared" ca="1" si="2"/>
        <v>26.7</v>
      </c>
      <c r="I24" s="3" t="s">
        <v>929</v>
      </c>
      <c r="J24" s="3">
        <v>2</v>
      </c>
      <c r="K24" s="109">
        <v>2015</v>
      </c>
      <c r="L24" s="109"/>
      <c r="M24" s="3" t="s">
        <v>930</v>
      </c>
      <c r="N24" s="3"/>
      <c r="O24" s="3"/>
      <c r="P24" s="34"/>
      <c r="Q24" s="3"/>
      <c r="R24" s="3"/>
      <c r="S24" s="3"/>
      <c r="T24" s="3"/>
      <c r="W24" s="132" t="s">
        <v>931</v>
      </c>
      <c r="X24" s="69">
        <v>2</v>
      </c>
      <c r="Y24" s="69">
        <v>8</v>
      </c>
      <c r="Z24" s="65">
        <f>5/8</f>
        <v>0.625</v>
      </c>
      <c r="AA24" s="119">
        <v>95.9</v>
      </c>
      <c r="AB24" s="119">
        <v>111.4</v>
      </c>
      <c r="AC24" s="119">
        <f t="shared" ref="AC24" si="4">AA24-AB24</f>
        <v>-15.5</v>
      </c>
      <c r="AD24" s="119">
        <v>8.1999999999999993</v>
      </c>
      <c r="AE24" s="119">
        <v>2.4</v>
      </c>
      <c r="AF24" s="65">
        <v>0.51300000000000001</v>
      </c>
      <c r="AG24" s="119">
        <v>9.8000000000000007</v>
      </c>
      <c r="AH24" s="119">
        <v>0</v>
      </c>
      <c r="AI24" s="119">
        <v>0</v>
      </c>
      <c r="AJ24" s="65">
        <v>1.6E-2</v>
      </c>
      <c r="AK24" s="119">
        <v>-7.9</v>
      </c>
      <c r="AL24" s="119">
        <v>-0.9</v>
      </c>
      <c r="AM24" s="119">
        <v>-0.1</v>
      </c>
      <c r="AN24" s="119">
        <v>-1.9</v>
      </c>
    </row>
    <row r="25" spans="1:40" x14ac:dyDescent="0.2">
      <c r="A25" s="3">
        <v>52</v>
      </c>
      <c r="B25" s="3" t="s">
        <v>932</v>
      </c>
      <c r="C25" s="3" t="s">
        <v>234</v>
      </c>
      <c r="D25" s="105">
        <v>68</v>
      </c>
      <c r="E25" s="105"/>
      <c r="F25" s="106">
        <v>207</v>
      </c>
      <c r="G25" s="4">
        <v>34267</v>
      </c>
      <c r="H25" s="110">
        <f t="shared" ca="1" si="2"/>
        <v>27</v>
      </c>
      <c r="I25" s="3" t="s">
        <v>799</v>
      </c>
      <c r="J25" s="3">
        <v>2</v>
      </c>
      <c r="K25" s="109">
        <v>2015</v>
      </c>
      <c r="L25" s="109"/>
      <c r="M25" s="3" t="s">
        <v>933</v>
      </c>
      <c r="N25" s="3"/>
      <c r="O25" s="3"/>
      <c r="P25" s="34"/>
      <c r="Q25" s="3"/>
      <c r="R25" s="3"/>
      <c r="S25" s="27"/>
      <c r="T25" s="3"/>
      <c r="X25" s="69"/>
      <c r="Y25" s="69"/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H26" s="59"/>
      <c r="I26" s="59"/>
      <c r="J26" s="59"/>
      <c r="K26" s="117"/>
      <c r="L26" s="117"/>
      <c r="M26" s="117"/>
      <c r="N26" s="117"/>
      <c r="O26" s="75"/>
      <c r="P26" s="60"/>
      <c r="Q26" s="60"/>
      <c r="R26" s="60"/>
      <c r="S26" s="139"/>
      <c r="X26" s="69"/>
      <c r="Y26" s="69"/>
      <c r="Z26" s="65"/>
      <c r="AA26" s="119"/>
      <c r="AB26" s="119"/>
      <c r="AC26" s="119"/>
      <c r="AD26" s="119"/>
      <c r="AE26" s="119"/>
      <c r="AF26" s="65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G27" s="62">
        <f ca="1">TODAY()</f>
        <v>44162</v>
      </c>
      <c r="H27" s="63">
        <f ca="1">AVERAGE(H2:H12)</f>
        <v>28.890909090909091</v>
      </c>
      <c r="I27" s="59"/>
      <c r="J27" s="63">
        <f>AVERAGE(J2:J12)</f>
        <v>8</v>
      </c>
      <c r="K27" s="117"/>
      <c r="L27" s="117"/>
      <c r="M27" s="117"/>
      <c r="N27" s="117"/>
      <c r="O27" s="75"/>
      <c r="P27" s="60"/>
      <c r="Q27" s="60"/>
      <c r="R27" s="60"/>
      <c r="X27" s="69"/>
      <c r="Y27" s="69"/>
      <c r="Z27" s="65"/>
      <c r="AA27" s="119"/>
      <c r="AB27" s="119"/>
      <c r="AC27" s="119"/>
      <c r="AD27" s="119"/>
      <c r="AE27" s="119"/>
      <c r="AF27" s="65"/>
      <c r="AG27" s="119"/>
      <c r="AH27" s="119"/>
      <c r="AI27" s="119"/>
      <c r="AJ27" s="65"/>
      <c r="AK27" s="119"/>
      <c r="AL27" s="119"/>
      <c r="AM27" s="119"/>
      <c r="AN27" s="119"/>
    </row>
    <row r="28" spans="1:40" x14ac:dyDescent="0.2">
      <c r="C28" s="59"/>
      <c r="E28" s="62"/>
      <c r="F28" s="36"/>
      <c r="H28" s="63">
        <f ca="1">MEDIAN(H2:H12)</f>
        <v>27.8</v>
      </c>
      <c r="I28" s="59"/>
      <c r="J28" s="107">
        <f>MEDIAN(J2:J12)</f>
        <v>8</v>
      </c>
      <c r="K28" s="78"/>
      <c r="L28" s="75"/>
      <c r="M28" s="75"/>
      <c r="N28" s="75"/>
      <c r="O28" s="75"/>
      <c r="X28" s="69"/>
      <c r="Y28" s="69"/>
      <c r="Z28" s="65"/>
      <c r="AA28" s="119"/>
      <c r="AB28" s="119"/>
      <c r="AC28" s="119"/>
      <c r="AD28" s="119"/>
      <c r="AE28" s="119"/>
      <c r="AF28" s="65"/>
      <c r="AG28" s="119"/>
      <c r="AH28" s="119"/>
      <c r="AI28" s="119"/>
      <c r="AJ28" s="65"/>
      <c r="AK28" s="119"/>
      <c r="AL28" s="119"/>
      <c r="AM28" s="119"/>
      <c r="AN28" s="119"/>
    </row>
    <row r="29" spans="1:40" x14ac:dyDescent="0.2">
      <c r="B29" s="149" t="s">
        <v>1985</v>
      </c>
      <c r="C29" s="107"/>
      <c r="H29" s="63"/>
      <c r="I29" s="71"/>
      <c r="J29" s="107"/>
      <c r="K29" s="118"/>
      <c r="L29" s="118"/>
      <c r="M29" s="75"/>
      <c r="N29" s="75"/>
      <c r="O29" s="75"/>
      <c r="P29" s="64">
        <f>SUM(P2:P17)-P12</f>
        <v>133553636</v>
      </c>
      <c r="X29" s="69"/>
      <c r="Y29" s="69"/>
      <c r="Z29" s="65"/>
      <c r="AA29" s="119"/>
      <c r="AB29" s="119"/>
      <c r="AC29" s="119"/>
      <c r="AD29" s="119"/>
      <c r="AE29" s="119"/>
      <c r="AF29" s="65"/>
      <c r="AG29" s="119"/>
      <c r="AH29" s="119"/>
      <c r="AI29" s="119"/>
      <c r="AJ29" s="65"/>
      <c r="AK29" s="119"/>
      <c r="AL29" s="119"/>
      <c r="AM29" s="119"/>
      <c r="AN29" s="119"/>
    </row>
    <row r="30" spans="1:40" x14ac:dyDescent="0.2">
      <c r="B30" s="3" t="s">
        <v>1876</v>
      </c>
      <c r="C30" s="3">
        <v>11</v>
      </c>
      <c r="I30" s="3"/>
      <c r="J30" s="3"/>
      <c r="K30" s="75"/>
      <c r="L30" s="118"/>
      <c r="M30" s="75"/>
      <c r="N30" s="75"/>
      <c r="O30" s="76"/>
      <c r="P30" s="121">
        <f>SUM(P2:P17)</f>
        <v>135071617</v>
      </c>
      <c r="X30" s="119"/>
      <c r="Y30" s="119"/>
      <c r="Z30" s="65"/>
      <c r="AA30" s="119"/>
      <c r="AB30" s="119"/>
      <c r="AC30" s="119"/>
      <c r="AD30" s="119"/>
      <c r="AE30" s="119"/>
      <c r="AF30" s="65"/>
      <c r="AG30" s="119"/>
      <c r="AH30" s="119"/>
      <c r="AI30" s="119"/>
      <c r="AJ30" s="65"/>
      <c r="AK30" s="119"/>
      <c r="AL30" s="119"/>
      <c r="AM30" s="119"/>
      <c r="AN30" s="119"/>
    </row>
    <row r="31" spans="1:40" x14ac:dyDescent="0.2">
      <c r="B31" s="3" t="s">
        <v>2457</v>
      </c>
      <c r="C31" s="3">
        <v>2</v>
      </c>
      <c r="I31" s="3"/>
      <c r="J31" s="3"/>
      <c r="K31" s="75"/>
      <c r="L31" s="117"/>
      <c r="M31" s="75"/>
      <c r="N31" s="75"/>
      <c r="O31" s="3"/>
      <c r="P31" s="120"/>
      <c r="AF31" s="124"/>
      <c r="AJ31" s="124"/>
    </row>
    <row r="32" spans="1:40" x14ac:dyDescent="0.2">
      <c r="B32" s="3" t="s">
        <v>2539</v>
      </c>
      <c r="C32" s="3">
        <v>2</v>
      </c>
      <c r="I32" s="3"/>
      <c r="J32" s="3"/>
      <c r="K32" s="75"/>
      <c r="L32" s="117"/>
      <c r="M32" s="75"/>
      <c r="N32" s="75"/>
      <c r="O32" s="3" t="s">
        <v>292</v>
      </c>
      <c r="P32" s="22" t="e">
        <f>#REF!</f>
        <v>#REF!</v>
      </c>
      <c r="S32" s="140"/>
      <c r="AF32" s="124"/>
      <c r="AJ32" s="124"/>
    </row>
    <row r="33" spans="2:36" x14ac:dyDescent="0.2">
      <c r="B33" s="3" t="s">
        <v>748</v>
      </c>
      <c r="C33" s="60">
        <v>5718000</v>
      </c>
      <c r="I33" s="3"/>
      <c r="J33" s="3"/>
      <c r="K33" s="75"/>
      <c r="L33" s="75"/>
      <c r="M33" s="75"/>
      <c r="N33" s="75"/>
      <c r="O33" s="22" t="s">
        <v>294</v>
      </c>
      <c r="P33" s="22" t="e">
        <f>#REF!</f>
        <v>#REF!</v>
      </c>
      <c r="AF33" s="124"/>
      <c r="AJ33" s="124"/>
    </row>
    <row r="34" spans="2:36" x14ac:dyDescent="0.2">
      <c r="B34" s="3" t="s">
        <v>2641</v>
      </c>
      <c r="C34" s="60">
        <v>3595333</v>
      </c>
      <c r="I34" s="3"/>
      <c r="J34" s="3"/>
      <c r="K34" s="75"/>
      <c r="L34" s="75"/>
      <c r="M34" s="75"/>
      <c r="N34" s="75"/>
      <c r="O34" s="22"/>
      <c r="P34" s="22"/>
      <c r="AF34" s="124"/>
      <c r="AJ34" s="124"/>
    </row>
    <row r="35" spans="2:36" x14ac:dyDescent="0.2">
      <c r="B35" s="3" t="s">
        <v>2642</v>
      </c>
      <c r="C35" s="60">
        <v>2464753</v>
      </c>
      <c r="I35" s="3"/>
      <c r="J35" s="3"/>
      <c r="K35" s="75"/>
      <c r="L35" s="75"/>
      <c r="M35" s="75"/>
      <c r="N35" s="75"/>
      <c r="O35" s="22"/>
      <c r="P35" s="22"/>
      <c r="AF35" s="124"/>
      <c r="AJ35" s="124"/>
    </row>
    <row r="36" spans="2:36" x14ac:dyDescent="0.2">
      <c r="B36" s="24" t="s">
        <v>293</v>
      </c>
      <c r="C36" s="60">
        <v>0</v>
      </c>
      <c r="I36" s="24"/>
      <c r="J36" s="60"/>
      <c r="K36" s="117"/>
      <c r="L36" s="75"/>
      <c r="M36" s="75"/>
      <c r="N36" s="75"/>
      <c r="O36" s="22"/>
      <c r="P36" s="22"/>
      <c r="AF36" s="124"/>
      <c r="AJ36" s="124"/>
    </row>
    <row r="37" spans="2:36" x14ac:dyDescent="0.2">
      <c r="B37" s="3" t="s">
        <v>295</v>
      </c>
      <c r="C37" s="60">
        <v>0</v>
      </c>
      <c r="I37" s="3"/>
      <c r="J37" s="60"/>
      <c r="K37" s="117"/>
      <c r="L37" s="75"/>
      <c r="M37" s="75"/>
      <c r="N37" s="75"/>
      <c r="O37" s="22"/>
      <c r="AJ37" s="124"/>
    </row>
    <row r="38" spans="2:36" x14ac:dyDescent="0.2">
      <c r="J38" s="3"/>
    </row>
    <row r="39" spans="2:36" x14ac:dyDescent="0.2">
      <c r="B39" s="5" t="s">
        <v>1875</v>
      </c>
      <c r="C39" s="65"/>
      <c r="J39" s="3"/>
    </row>
    <row r="40" spans="2:36" x14ac:dyDescent="0.2">
      <c r="B40" s="3" t="s">
        <v>296</v>
      </c>
      <c r="C40" s="41">
        <f>44/(44+28)</f>
        <v>0.61111111111111116</v>
      </c>
      <c r="D40" s="3" t="s">
        <v>943</v>
      </c>
      <c r="E40" s="3"/>
      <c r="J40" s="22"/>
    </row>
    <row r="41" spans="2:36" x14ac:dyDescent="0.2">
      <c r="B41" s="3" t="s">
        <v>298</v>
      </c>
      <c r="C41" s="3">
        <v>112.5</v>
      </c>
      <c r="D41" s="3" t="s">
        <v>1978</v>
      </c>
      <c r="E41" s="3"/>
    </row>
    <row r="42" spans="2:36" x14ac:dyDescent="0.2">
      <c r="B42" s="3" t="s">
        <v>299</v>
      </c>
      <c r="C42" s="3">
        <v>109.8</v>
      </c>
      <c r="D42" s="3" t="s">
        <v>1993</v>
      </c>
      <c r="E42" s="3"/>
    </row>
    <row r="43" spans="2:36" x14ac:dyDescent="0.2">
      <c r="B43" s="3" t="s">
        <v>300</v>
      </c>
      <c r="C43" s="3">
        <f>C41-C42</f>
        <v>2.7000000000000028</v>
      </c>
      <c r="D43" s="3" t="s">
        <v>2027</v>
      </c>
      <c r="E43" s="3"/>
    </row>
    <row r="44" spans="2:36" x14ac:dyDescent="0.2">
      <c r="B44" s="3" t="s">
        <v>301</v>
      </c>
      <c r="C44" s="3">
        <v>104.04</v>
      </c>
      <c r="D44" s="3" t="s">
        <v>2028</v>
      </c>
      <c r="E44" s="3"/>
    </row>
    <row r="45" spans="2:36" x14ac:dyDescent="0.2">
      <c r="B45" s="3"/>
      <c r="C45" s="3"/>
      <c r="D45" s="3"/>
      <c r="E45" s="3"/>
    </row>
    <row r="46" spans="2:36" x14ac:dyDescent="0.2">
      <c r="B46" s="3" t="s">
        <v>302</v>
      </c>
      <c r="C46" s="3"/>
      <c r="D46" s="3"/>
      <c r="E46" s="3"/>
    </row>
    <row r="47" spans="2:36" x14ac:dyDescent="0.2">
      <c r="B47" s="2" t="s">
        <v>2670</v>
      </c>
      <c r="C47" s="3"/>
      <c r="D47" s="3"/>
      <c r="E47" s="3"/>
    </row>
    <row r="48" spans="2:36" x14ac:dyDescent="0.2">
      <c r="B48" s="3" t="s">
        <v>2186</v>
      </c>
      <c r="C48" s="3"/>
      <c r="D48" s="3"/>
      <c r="E48" s="3"/>
    </row>
    <row r="49" spans="2:10" x14ac:dyDescent="0.2">
      <c r="B49" s="3" t="s">
        <v>2232</v>
      </c>
      <c r="C49" s="3"/>
      <c r="D49" s="3"/>
      <c r="E49" s="3"/>
    </row>
    <row r="50" spans="2:10" x14ac:dyDescent="0.2">
      <c r="B50" s="3" t="s">
        <v>935</v>
      </c>
      <c r="C50" s="3"/>
      <c r="D50" s="3"/>
      <c r="E50" s="3"/>
    </row>
    <row r="51" spans="2:10" x14ac:dyDescent="0.2">
      <c r="B51" s="3" t="s">
        <v>936</v>
      </c>
      <c r="C51" s="3"/>
      <c r="D51" s="3"/>
      <c r="E51" s="3"/>
    </row>
    <row r="52" spans="2:10" x14ac:dyDescent="0.2">
      <c r="B52" s="12"/>
      <c r="C52" s="3"/>
      <c r="D52" s="3"/>
      <c r="E52" s="3"/>
    </row>
    <row r="53" spans="2:10" x14ac:dyDescent="0.2">
      <c r="B53" s="3" t="s">
        <v>310</v>
      </c>
      <c r="C53" s="3"/>
      <c r="D53" s="3"/>
      <c r="E53" s="3"/>
    </row>
    <row r="54" spans="2:10" x14ac:dyDescent="0.2">
      <c r="B54" s="3" t="s">
        <v>937</v>
      </c>
      <c r="C54" s="3"/>
      <c r="D54" s="3"/>
      <c r="E54" s="3"/>
    </row>
    <row r="55" spans="2:10" x14ac:dyDescent="0.2">
      <c r="B55" s="3" t="s">
        <v>938</v>
      </c>
      <c r="C55" s="3"/>
      <c r="D55" s="3"/>
      <c r="E55" s="3"/>
    </row>
    <row r="56" spans="2:10" x14ac:dyDescent="0.2">
      <c r="B56" s="3" t="s">
        <v>939</v>
      </c>
      <c r="C56" s="3"/>
      <c r="D56" s="3"/>
      <c r="E56" s="3"/>
    </row>
    <row r="57" spans="2:10" x14ac:dyDescent="0.2">
      <c r="B57" s="3" t="s">
        <v>940</v>
      </c>
      <c r="C57" s="3"/>
      <c r="D57" s="3"/>
      <c r="E57" s="3"/>
    </row>
    <row r="58" spans="2:10" x14ac:dyDescent="0.2">
      <c r="B58" s="3" t="s">
        <v>941</v>
      </c>
      <c r="C58" s="3"/>
      <c r="D58" s="3"/>
      <c r="E58" s="3"/>
    </row>
    <row r="59" spans="2:10" x14ac:dyDescent="0.2">
      <c r="B59" s="3" t="s">
        <v>942</v>
      </c>
      <c r="C59" s="3"/>
      <c r="D59" s="3"/>
      <c r="E59" s="3"/>
    </row>
    <row r="60" spans="2:10" x14ac:dyDescent="0.2">
      <c r="B60" s="3"/>
      <c r="C60" s="3"/>
      <c r="D60" s="3"/>
      <c r="E60" s="3"/>
    </row>
    <row r="61" spans="2:10" x14ac:dyDescent="0.2">
      <c r="B61" s="5" t="s">
        <v>1989</v>
      </c>
      <c r="C61" s="3"/>
      <c r="D61" s="3"/>
      <c r="E61" s="3"/>
    </row>
    <row r="62" spans="2:10" x14ac:dyDescent="0.2">
      <c r="B62" s="39" t="s">
        <v>314</v>
      </c>
      <c r="C62" s="3">
        <v>44</v>
      </c>
      <c r="D62" s="3">
        <v>28</v>
      </c>
      <c r="E62" s="3" t="s">
        <v>943</v>
      </c>
      <c r="G62" t="s">
        <v>934</v>
      </c>
      <c r="J62" t="s">
        <v>2026</v>
      </c>
    </row>
    <row r="63" spans="2:10" x14ac:dyDescent="0.2">
      <c r="B63" s="39" t="s">
        <v>317</v>
      </c>
      <c r="C63" s="3">
        <v>53</v>
      </c>
      <c r="D63" s="3">
        <v>29</v>
      </c>
      <c r="E63" s="3" t="s">
        <v>943</v>
      </c>
      <c r="G63" t="s">
        <v>934</v>
      </c>
      <c r="J63" t="s">
        <v>944</v>
      </c>
    </row>
    <row r="64" spans="2:10" x14ac:dyDescent="0.2">
      <c r="B64" s="39" t="s">
        <v>319</v>
      </c>
      <c r="C64" s="3">
        <v>65</v>
      </c>
      <c r="D64" s="3">
        <v>17</v>
      </c>
      <c r="E64" s="3" t="s">
        <v>884</v>
      </c>
      <c r="G64" t="s">
        <v>934</v>
      </c>
      <c r="J64" t="s">
        <v>945</v>
      </c>
    </row>
    <row r="65" spans="2:10" x14ac:dyDescent="0.2">
      <c r="B65" s="39" t="s">
        <v>322</v>
      </c>
      <c r="C65" s="3">
        <v>55</v>
      </c>
      <c r="D65" s="3">
        <v>27</v>
      </c>
      <c r="E65" s="3" t="s">
        <v>724</v>
      </c>
      <c r="G65" t="s">
        <v>934</v>
      </c>
      <c r="J65" t="s">
        <v>946</v>
      </c>
    </row>
    <row r="66" spans="2:10" x14ac:dyDescent="0.2">
      <c r="B66" s="37" t="s">
        <v>325</v>
      </c>
      <c r="C66" s="3">
        <v>41</v>
      </c>
      <c r="D66" s="3">
        <v>41</v>
      </c>
      <c r="E66" s="41" t="s">
        <v>720</v>
      </c>
      <c r="G66" t="s">
        <v>947</v>
      </c>
      <c r="J66" t="s">
        <v>948</v>
      </c>
    </row>
    <row r="67" spans="2:10" x14ac:dyDescent="0.2">
      <c r="B67" s="39" t="s">
        <v>328</v>
      </c>
      <c r="C67" s="3">
        <v>56</v>
      </c>
      <c r="D67" s="3">
        <v>26</v>
      </c>
      <c r="E67" s="41" t="s">
        <v>767</v>
      </c>
      <c r="G67" t="s">
        <v>949</v>
      </c>
      <c r="J67" t="s">
        <v>950</v>
      </c>
    </row>
    <row r="68" spans="2:10" x14ac:dyDescent="0.2">
      <c r="B68" s="37" t="s">
        <v>331</v>
      </c>
      <c r="C68" s="3">
        <v>54</v>
      </c>
      <c r="D68" s="3">
        <v>28</v>
      </c>
      <c r="E68" s="3" t="s">
        <v>776</v>
      </c>
      <c r="G68" t="s">
        <v>949</v>
      </c>
      <c r="J68" t="s">
        <v>951</v>
      </c>
    </row>
    <row r="69" spans="2:10" x14ac:dyDescent="0.2">
      <c r="B69" s="37" t="s">
        <v>334</v>
      </c>
      <c r="C69" s="3">
        <v>45</v>
      </c>
      <c r="D69" s="3">
        <v>37</v>
      </c>
      <c r="E69" s="3" t="s">
        <v>720</v>
      </c>
      <c r="G69" t="s">
        <v>949</v>
      </c>
      <c r="J69" t="s">
        <v>952</v>
      </c>
    </row>
    <row r="70" spans="2:10" x14ac:dyDescent="0.2">
      <c r="B70" s="37" t="s">
        <v>338</v>
      </c>
      <c r="C70" s="3">
        <v>34</v>
      </c>
      <c r="D70" s="3">
        <v>32</v>
      </c>
      <c r="E70" s="3" t="s">
        <v>769</v>
      </c>
      <c r="G70" t="s">
        <v>949</v>
      </c>
      <c r="J70" s="141" t="s">
        <v>316</v>
      </c>
    </row>
    <row r="71" spans="2:10" x14ac:dyDescent="0.2">
      <c r="B71" s="37" t="s">
        <v>340</v>
      </c>
      <c r="C71" s="3">
        <v>43</v>
      </c>
      <c r="D71" s="3">
        <v>39</v>
      </c>
      <c r="E71" t="s">
        <v>769</v>
      </c>
      <c r="G71" t="s">
        <v>953</v>
      </c>
      <c r="J71" s="141" t="s">
        <v>316</v>
      </c>
    </row>
    <row r="72" spans="2:10" x14ac:dyDescent="0.2">
      <c r="B72" t="s">
        <v>342</v>
      </c>
      <c r="C72" s="59">
        <f>SUM(C62:C71)</f>
        <v>490</v>
      </c>
      <c r="D72" s="59">
        <f>SUM(D62:D71)</f>
        <v>304</v>
      </c>
      <c r="E72" s="65">
        <f>C72/(C72+D72)</f>
        <v>0.61712846347607053</v>
      </c>
    </row>
    <row r="73" spans="2:10" x14ac:dyDescent="0.2">
      <c r="C73" s="59"/>
      <c r="D73" s="59"/>
    </row>
  </sheetData>
  <hyperlinks>
    <hyperlink ref="B62" r:id="rId1" xr:uid="{6FC9084E-AC32-564A-A52D-98D7B75E67ED}"/>
    <hyperlink ref="B63" r:id="rId2" xr:uid="{FB386D31-2E72-EF43-BA33-443247900002}"/>
    <hyperlink ref="B64" r:id="rId3" xr:uid="{7203249C-8E0B-584F-B1C3-355295B53C25}"/>
    <hyperlink ref="B65" r:id="rId4" xr:uid="{D28817D7-34E5-8247-AA6C-C7CCE470B6B2}"/>
    <hyperlink ref="B66" r:id="rId5" xr:uid="{AB1FDD43-97DC-A04C-A63E-72648C649C81}"/>
    <hyperlink ref="B67" r:id="rId6" xr:uid="{799755CE-158A-DE41-B2EB-79AE72400831}"/>
    <hyperlink ref="B68" r:id="rId7" xr:uid="{FF21CC73-4132-F64E-8131-DF1641F5A197}"/>
    <hyperlink ref="B69" r:id="rId8" xr:uid="{243E0069-AC88-0F46-A362-B32741E72C27}"/>
    <hyperlink ref="B70" r:id="rId9" xr:uid="{51E3E834-7DCD-2342-AB81-E728AAEB718A}"/>
    <hyperlink ref="B71" r:id="rId10" xr:uid="{B881D351-B0DD-294C-BC25-991633792403}"/>
  </hyperlinks>
  <pageMargins left="0.7" right="0.7" top="0.75" bottom="0.75" header="0.3" footer="0.3"/>
  <legacy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6944-5F96-FF4B-BCC3-9A33DB430C03}">
  <dimension ref="A1:AO65"/>
  <sheetViews>
    <sheetView zoomScaleNormal="100" workbookViewId="0"/>
  </sheetViews>
  <sheetFormatPr baseColWidth="10" defaultColWidth="11" defaultRowHeight="16" x14ac:dyDescent="0.2"/>
  <cols>
    <col min="1" max="1" width="5.33203125" style="59" customWidth="1"/>
    <col min="2" max="2" width="19.6640625" style="59" customWidth="1"/>
    <col min="3" max="3" width="10" style="59" customWidth="1"/>
    <col min="4" max="4" width="7.5" style="59" customWidth="1"/>
    <col min="5" max="5" width="10.1640625" style="59" customWidth="1"/>
    <col min="6" max="6" width="7.83203125" style="59" customWidth="1"/>
    <col min="7" max="7" width="10.33203125" style="59" customWidth="1"/>
    <col min="8" max="8" width="5.6640625" style="59" customWidth="1"/>
    <col min="9" max="9" width="27.33203125" style="59" bestFit="1" customWidth="1"/>
    <col min="10" max="10" width="10.83203125" style="59" customWidth="1"/>
    <col min="11" max="11" width="11.33203125" style="59" customWidth="1"/>
    <col min="12" max="12" width="5.5" style="59" customWidth="1"/>
    <col min="13" max="13" width="33.1640625" style="59" customWidth="1"/>
    <col min="14" max="14" width="14.83203125" style="59" customWidth="1"/>
    <col min="15" max="15" width="46" style="59" customWidth="1"/>
    <col min="16" max="16" width="13.33203125" style="59" customWidth="1"/>
    <col min="17" max="17" width="13.5" style="59" customWidth="1"/>
    <col min="18" max="18" width="12.6640625" style="59" customWidth="1"/>
    <col min="19" max="19" width="12.1640625" style="59" customWidth="1"/>
    <col min="20" max="20" width="12.6640625" style="59" customWidth="1"/>
    <col min="21" max="21" width="10.33203125" style="59" customWidth="1"/>
    <col min="22" max="22" width="77.1640625" style="59" customWidth="1"/>
    <col min="23" max="23" width="25" style="59" customWidth="1"/>
    <col min="24" max="24" width="9.83203125" style="59" customWidth="1"/>
    <col min="25" max="25" width="4.1640625" style="59" customWidth="1"/>
    <col min="26" max="26" width="8" style="59" customWidth="1"/>
    <col min="27" max="27" width="6" style="59" customWidth="1"/>
    <col min="28" max="28" width="6.1640625" style="59" customWidth="1"/>
    <col min="29" max="29" width="7.33203125" style="59" customWidth="1"/>
    <col min="30" max="31" width="5.1640625" style="59" customWidth="1"/>
    <col min="32" max="32" width="6" style="59" customWidth="1"/>
    <col min="33" max="33" width="7.6640625" style="59" customWidth="1"/>
    <col min="34" max="34" width="5.33203125" style="59" customWidth="1"/>
    <col min="35" max="35" width="5.1640625" style="59" customWidth="1"/>
    <col min="36" max="36" width="7.1640625" style="59" customWidth="1"/>
    <col min="37" max="38" width="5.83203125" style="59" customWidth="1"/>
    <col min="39" max="39" width="5.5" style="59" customWidth="1"/>
    <col min="40" max="40" width="5.33203125" style="59" customWidth="1"/>
    <col min="41" max="16384" width="11" style="59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3">
        <v>4</v>
      </c>
      <c r="B2" s="3" t="s">
        <v>203</v>
      </c>
      <c r="C2" s="3" t="s">
        <v>252</v>
      </c>
      <c r="D2" s="105">
        <v>64</v>
      </c>
      <c r="E2" s="105">
        <v>69</v>
      </c>
      <c r="F2" s="106">
        <v>213</v>
      </c>
      <c r="G2" s="4">
        <v>33728</v>
      </c>
      <c r="H2" s="110">
        <f t="shared" ref="H2:H17" ca="1" si="0">ROUNDDOWN(YEARFRAC($G$24,G2),1)</f>
        <v>28.5</v>
      </c>
      <c r="I2" s="3" t="s">
        <v>362</v>
      </c>
      <c r="J2" s="3">
        <v>8</v>
      </c>
      <c r="K2" s="109">
        <v>2013</v>
      </c>
      <c r="L2" s="109">
        <v>2</v>
      </c>
      <c r="M2" s="3" t="s">
        <v>954</v>
      </c>
      <c r="N2" s="3" t="s">
        <v>734</v>
      </c>
      <c r="O2" s="3" t="s">
        <v>2037</v>
      </c>
      <c r="P2" s="11">
        <v>21000000</v>
      </c>
      <c r="Q2" s="14">
        <f>P2*1.5</f>
        <v>31500000</v>
      </c>
      <c r="R2" s="12"/>
      <c r="S2" s="12"/>
      <c r="T2" s="12"/>
      <c r="V2" s="59" t="s">
        <v>955</v>
      </c>
      <c r="W2" s="59" t="s">
        <v>956</v>
      </c>
      <c r="X2" s="69">
        <v>2</v>
      </c>
      <c r="Y2" s="69">
        <v>13</v>
      </c>
      <c r="Z2" s="65">
        <f>7/13</f>
        <v>0.53846153846153844</v>
      </c>
      <c r="AA2" s="119">
        <v>103.8</v>
      </c>
      <c r="AB2" s="119">
        <v>104.3</v>
      </c>
      <c r="AC2" s="119">
        <f t="shared" ref="AC2:AC16" si="1">AA2-AB2</f>
        <v>-0.5</v>
      </c>
      <c r="AD2" s="119">
        <v>26</v>
      </c>
      <c r="AE2" s="119">
        <v>12</v>
      </c>
      <c r="AF2" s="65">
        <v>0.5</v>
      </c>
      <c r="AG2" s="119">
        <v>27</v>
      </c>
      <c r="AH2" s="119">
        <v>-0.3</v>
      </c>
      <c r="AI2" s="119">
        <v>0.4</v>
      </c>
      <c r="AJ2" s="65">
        <v>8.0000000000000002E-3</v>
      </c>
      <c r="AK2" s="119">
        <v>-1.7</v>
      </c>
      <c r="AL2" s="119">
        <v>-1.3</v>
      </c>
      <c r="AM2" s="119">
        <v>-0.1</v>
      </c>
      <c r="AN2" s="119">
        <v>8.6999999999999993</v>
      </c>
    </row>
    <row r="3" spans="1:41" x14ac:dyDescent="0.2">
      <c r="A3" s="3">
        <v>7</v>
      </c>
      <c r="B3" s="3" t="s">
        <v>957</v>
      </c>
      <c r="C3" s="3" t="s">
        <v>230</v>
      </c>
      <c r="D3" s="105">
        <v>65</v>
      </c>
      <c r="E3" s="105">
        <v>611</v>
      </c>
      <c r="F3" s="106">
        <v>229</v>
      </c>
      <c r="G3" s="4">
        <v>33949</v>
      </c>
      <c r="H3" s="110">
        <f t="shared" ca="1" si="0"/>
        <v>27.9</v>
      </c>
      <c r="I3" s="3" t="s">
        <v>242</v>
      </c>
      <c r="J3" s="3">
        <v>5</v>
      </c>
      <c r="K3" s="109">
        <v>2016</v>
      </c>
      <c r="L3" s="109">
        <v>36</v>
      </c>
      <c r="M3" s="3" t="s">
        <v>958</v>
      </c>
      <c r="N3" s="3" t="s">
        <v>346</v>
      </c>
      <c r="O3" s="3" t="s">
        <v>1879</v>
      </c>
      <c r="P3" s="11">
        <v>20700000</v>
      </c>
      <c r="Q3" s="11">
        <v>21700000</v>
      </c>
      <c r="R3" s="11">
        <v>22600000</v>
      </c>
      <c r="S3" s="14">
        <f>R3*1.5</f>
        <v>33900000</v>
      </c>
      <c r="T3" s="3"/>
      <c r="W3" s="59" t="s">
        <v>959</v>
      </c>
      <c r="X3" s="69">
        <v>1</v>
      </c>
      <c r="Y3" s="69">
        <v>48</v>
      </c>
      <c r="Z3" s="65">
        <f>30/48</f>
        <v>0.625</v>
      </c>
      <c r="AA3" s="119">
        <v>108.6</v>
      </c>
      <c r="AB3" s="119">
        <v>105.7</v>
      </c>
      <c r="AC3" s="119">
        <f t="shared" si="1"/>
        <v>2.8999999999999915</v>
      </c>
      <c r="AD3" s="119">
        <v>30.7</v>
      </c>
      <c r="AE3" s="119">
        <v>17.8</v>
      </c>
      <c r="AF3" s="65">
        <v>0.53700000000000003</v>
      </c>
      <c r="AG3" s="119">
        <v>25.2</v>
      </c>
      <c r="AH3" s="119">
        <v>2</v>
      </c>
      <c r="AI3" s="119">
        <v>1.4</v>
      </c>
      <c r="AJ3" s="65">
        <v>0.113</v>
      </c>
      <c r="AK3" s="119">
        <v>2.2000000000000002</v>
      </c>
      <c r="AL3" s="119">
        <v>-0.5</v>
      </c>
      <c r="AM3" s="119">
        <v>1.4</v>
      </c>
      <c r="AN3" s="119">
        <v>13.5</v>
      </c>
    </row>
    <row r="4" spans="1:41" x14ac:dyDescent="0.2">
      <c r="A4" s="3">
        <v>11</v>
      </c>
      <c r="B4" s="3" t="s">
        <v>205</v>
      </c>
      <c r="C4" s="3" t="s">
        <v>234</v>
      </c>
      <c r="D4" s="105">
        <v>611</v>
      </c>
      <c r="E4" s="105">
        <v>611</v>
      </c>
      <c r="F4" s="106">
        <v>240</v>
      </c>
      <c r="G4" s="4">
        <v>35188</v>
      </c>
      <c r="H4" s="110">
        <f t="shared" ca="1" si="0"/>
        <v>24.5</v>
      </c>
      <c r="I4" s="3" t="s">
        <v>973</v>
      </c>
      <c r="J4" s="3">
        <v>5</v>
      </c>
      <c r="K4" s="109">
        <v>2016</v>
      </c>
      <c r="L4" s="109">
        <v>11</v>
      </c>
      <c r="M4" s="3" t="s">
        <v>954</v>
      </c>
      <c r="N4" s="3" t="s">
        <v>1</v>
      </c>
      <c r="O4" s="3" t="s">
        <v>2038</v>
      </c>
      <c r="P4" s="11">
        <v>19800000</v>
      </c>
      <c r="Q4" s="11">
        <v>19800000</v>
      </c>
      <c r="R4" s="11">
        <v>19800000</v>
      </c>
      <c r="S4" s="11">
        <v>20700000</v>
      </c>
      <c r="T4" s="14">
        <v>31050000</v>
      </c>
      <c r="V4" s="59" t="s">
        <v>974</v>
      </c>
      <c r="W4" s="59" t="s">
        <v>975</v>
      </c>
      <c r="X4" s="69">
        <v>4</v>
      </c>
      <c r="Y4" s="69">
        <v>62</v>
      </c>
      <c r="Z4" s="65">
        <f>37/62</f>
        <v>0.59677419354838712</v>
      </c>
      <c r="AA4" s="119">
        <v>109.9</v>
      </c>
      <c r="AB4" s="119">
        <v>106.8</v>
      </c>
      <c r="AC4" s="119">
        <f t="shared" si="1"/>
        <v>3.1000000000000085</v>
      </c>
      <c r="AD4" s="119">
        <v>34.799999999999997</v>
      </c>
      <c r="AE4" s="119">
        <v>20.7</v>
      </c>
      <c r="AF4" s="65">
        <v>0.58599999999999997</v>
      </c>
      <c r="AG4" s="119">
        <v>23.4</v>
      </c>
      <c r="AH4" s="119">
        <v>4.2</v>
      </c>
      <c r="AI4" s="119">
        <v>3.3</v>
      </c>
      <c r="AJ4" s="65">
        <v>0.16800000000000001</v>
      </c>
      <c r="AK4" s="119">
        <v>2.1</v>
      </c>
      <c r="AL4" s="119">
        <v>1.1000000000000001</v>
      </c>
      <c r="AM4" s="119">
        <v>2.9</v>
      </c>
      <c r="AN4" s="119">
        <v>15.6</v>
      </c>
    </row>
    <row r="5" spans="1:41" x14ac:dyDescent="0.2">
      <c r="A5" s="3">
        <v>33</v>
      </c>
      <c r="B5" s="3" t="s">
        <v>204</v>
      </c>
      <c r="C5" s="3" t="s">
        <v>234</v>
      </c>
      <c r="D5" s="105">
        <v>611</v>
      </c>
      <c r="E5" s="105">
        <v>74</v>
      </c>
      <c r="F5" s="106">
        <v>250</v>
      </c>
      <c r="G5" s="4">
        <v>35148</v>
      </c>
      <c r="H5" s="110">
        <f t="shared" ca="1" si="0"/>
        <v>24.6</v>
      </c>
      <c r="I5" s="3" t="s">
        <v>406</v>
      </c>
      <c r="J5" s="3">
        <v>6</v>
      </c>
      <c r="K5" s="109">
        <v>2015</v>
      </c>
      <c r="L5" s="109">
        <v>11</v>
      </c>
      <c r="M5" s="3" t="s">
        <v>960</v>
      </c>
      <c r="N5" s="3" t="s">
        <v>1</v>
      </c>
      <c r="O5" s="3" t="s">
        <v>2039</v>
      </c>
      <c r="P5" s="11">
        <v>18000000</v>
      </c>
      <c r="Q5" s="11">
        <v>18000000</v>
      </c>
      <c r="R5" s="11">
        <v>18000000</v>
      </c>
      <c r="S5" s="14">
        <f>R5*1.5</f>
        <v>27000000</v>
      </c>
      <c r="T5" s="3"/>
      <c r="V5" s="59" t="s">
        <v>961</v>
      </c>
      <c r="W5" s="96" t="s">
        <v>238</v>
      </c>
      <c r="X5" s="69">
        <v>5</v>
      </c>
      <c r="Y5" s="69">
        <v>55</v>
      </c>
      <c r="Z5" s="65">
        <f>32/55</f>
        <v>0.58181818181818179</v>
      </c>
      <c r="AA5" s="119">
        <v>107.1</v>
      </c>
      <c r="AB5" s="119">
        <v>106.2</v>
      </c>
      <c r="AC5" s="119">
        <f t="shared" si="1"/>
        <v>0.89999999999999147</v>
      </c>
      <c r="AD5" s="119">
        <v>29.6</v>
      </c>
      <c r="AE5" s="119">
        <v>14.7</v>
      </c>
      <c r="AF5" s="65">
        <v>0.56100000000000005</v>
      </c>
      <c r="AG5" s="119">
        <v>17.5</v>
      </c>
      <c r="AH5" s="119">
        <v>1</v>
      </c>
      <c r="AI5" s="119">
        <v>2.8</v>
      </c>
      <c r="AJ5" s="65">
        <v>0.111</v>
      </c>
      <c r="AK5" s="119">
        <v>-0.9</v>
      </c>
      <c r="AL5" s="119">
        <v>1.1000000000000001</v>
      </c>
      <c r="AM5" s="119">
        <v>0.9</v>
      </c>
      <c r="AN5" s="119">
        <v>9.6</v>
      </c>
    </row>
    <row r="6" spans="1:41" x14ac:dyDescent="0.2">
      <c r="A6" s="3">
        <v>1</v>
      </c>
      <c r="B6" s="3" t="s">
        <v>962</v>
      </c>
      <c r="C6" s="3" t="s">
        <v>241</v>
      </c>
      <c r="D6" s="105">
        <v>68</v>
      </c>
      <c r="E6" s="105">
        <v>610</v>
      </c>
      <c r="F6" s="106">
        <v>220</v>
      </c>
      <c r="G6" s="4">
        <v>34217</v>
      </c>
      <c r="H6" s="110">
        <f t="shared" ca="1" si="0"/>
        <v>27.2</v>
      </c>
      <c r="I6" s="3" t="s">
        <v>963</v>
      </c>
      <c r="J6" s="3">
        <v>7</v>
      </c>
      <c r="K6" s="109">
        <v>2014</v>
      </c>
      <c r="L6" s="109">
        <v>14</v>
      </c>
      <c r="M6" s="3" t="s">
        <v>964</v>
      </c>
      <c r="N6" s="3" t="s">
        <v>783</v>
      </c>
      <c r="O6" s="3" t="s">
        <v>2040</v>
      </c>
      <c r="P6" s="11">
        <v>11750000</v>
      </c>
      <c r="Q6" s="11">
        <v>12690000</v>
      </c>
      <c r="R6" s="14">
        <f>Q6*1.5</f>
        <v>19035000</v>
      </c>
      <c r="S6" s="12"/>
      <c r="T6" s="12"/>
      <c r="W6" s="59" t="s">
        <v>965</v>
      </c>
      <c r="X6" s="69">
        <v>3</v>
      </c>
      <c r="Y6" s="69">
        <v>61</v>
      </c>
      <c r="Z6" s="65">
        <f>38/61</f>
        <v>0.62295081967213117</v>
      </c>
      <c r="AA6" s="119">
        <v>108.8</v>
      </c>
      <c r="AB6" s="119">
        <v>107.4</v>
      </c>
      <c r="AC6" s="119">
        <f t="shared" si="1"/>
        <v>1.3999999999999915</v>
      </c>
      <c r="AD6" s="119">
        <v>32.5</v>
      </c>
      <c r="AE6" s="119">
        <v>17.2</v>
      </c>
      <c r="AF6" s="65">
        <v>0.59899999999999998</v>
      </c>
      <c r="AG6" s="119">
        <v>22.8</v>
      </c>
      <c r="AH6" s="119">
        <v>3.1</v>
      </c>
      <c r="AI6" s="119">
        <v>2.2000000000000002</v>
      </c>
      <c r="AJ6" s="65">
        <v>0.129</v>
      </c>
      <c r="AK6" s="119">
        <v>0.4</v>
      </c>
      <c r="AL6" s="119">
        <v>-0.2</v>
      </c>
      <c r="AM6" s="119">
        <v>1.1000000000000001</v>
      </c>
      <c r="AN6" s="119">
        <v>10.5</v>
      </c>
    </row>
    <row r="7" spans="1:41" x14ac:dyDescent="0.2">
      <c r="A7" s="3">
        <v>26</v>
      </c>
      <c r="B7" s="3" t="s">
        <v>966</v>
      </c>
      <c r="C7" s="3" t="s">
        <v>252</v>
      </c>
      <c r="D7" s="105">
        <v>65</v>
      </c>
      <c r="E7" s="105">
        <v>611</v>
      </c>
      <c r="F7" s="106">
        <v>180</v>
      </c>
      <c r="G7" s="4">
        <v>33754</v>
      </c>
      <c r="H7" s="110">
        <f t="shared" ca="1" si="0"/>
        <v>28.4</v>
      </c>
      <c r="I7" s="3" t="s">
        <v>344</v>
      </c>
      <c r="J7" s="3">
        <v>9</v>
      </c>
      <c r="K7" s="109">
        <v>2012</v>
      </c>
      <c r="L7" s="109">
        <v>12</v>
      </c>
      <c r="M7" s="3" t="s">
        <v>409</v>
      </c>
      <c r="N7" s="3" t="s">
        <v>279</v>
      </c>
      <c r="O7" s="3" t="s">
        <v>2041</v>
      </c>
      <c r="P7" s="11">
        <v>10500000</v>
      </c>
      <c r="Q7" s="11">
        <v>10500000</v>
      </c>
      <c r="R7" s="14">
        <f>Q7*1.9</f>
        <v>19950000</v>
      </c>
      <c r="S7" s="12"/>
      <c r="T7" s="12"/>
      <c r="W7" s="59" t="s">
        <v>967</v>
      </c>
      <c r="X7" s="69">
        <v>2</v>
      </c>
      <c r="Y7" s="69">
        <v>46</v>
      </c>
      <c r="Z7" s="65">
        <f>27/46</f>
        <v>0.58695652173913049</v>
      </c>
      <c r="AA7" s="119">
        <v>108.9</v>
      </c>
      <c r="AB7" s="119">
        <v>109.8</v>
      </c>
      <c r="AC7" s="119">
        <f t="shared" si="1"/>
        <v>-0.89999999999999147</v>
      </c>
      <c r="AD7" s="119">
        <v>28.1</v>
      </c>
      <c r="AE7" s="119">
        <v>14.1</v>
      </c>
      <c r="AF7" s="65">
        <v>0.54700000000000004</v>
      </c>
      <c r="AG7" s="119">
        <v>9.9000000000000005E-2</v>
      </c>
      <c r="AH7" s="119">
        <v>0.9</v>
      </c>
      <c r="AI7" s="119">
        <v>1.8</v>
      </c>
      <c r="AJ7" s="65">
        <v>9.9000000000000005E-2</v>
      </c>
      <c r="AK7" s="119">
        <v>-1.1000000000000001</v>
      </c>
      <c r="AL7" s="119">
        <v>0.7</v>
      </c>
      <c r="AM7" s="119">
        <v>0.5</v>
      </c>
      <c r="AN7" s="119">
        <v>9.5</v>
      </c>
    </row>
    <row r="8" spans="1:41" x14ac:dyDescent="0.2">
      <c r="A8" s="3">
        <v>20</v>
      </c>
      <c r="B8" s="3" t="s">
        <v>968</v>
      </c>
      <c r="C8" s="3" t="s">
        <v>241</v>
      </c>
      <c r="D8" s="105">
        <v>67</v>
      </c>
      <c r="E8" s="105">
        <v>69</v>
      </c>
      <c r="F8" s="106">
        <v>225</v>
      </c>
      <c r="G8" s="4">
        <v>33606</v>
      </c>
      <c r="H8" s="110">
        <f t="shared" ca="1" si="0"/>
        <v>28.9</v>
      </c>
      <c r="I8" s="3" t="s">
        <v>807</v>
      </c>
      <c r="J8" s="3">
        <v>7</v>
      </c>
      <c r="K8" s="109">
        <v>2014</v>
      </c>
      <c r="L8" s="109">
        <v>11</v>
      </c>
      <c r="M8" s="3" t="s">
        <v>969</v>
      </c>
      <c r="N8" s="3" t="s">
        <v>279</v>
      </c>
      <c r="O8" s="3" t="s">
        <v>2042</v>
      </c>
      <c r="P8" s="11">
        <v>7333333</v>
      </c>
      <c r="Q8" s="14">
        <f>P8*1.9</f>
        <v>13933332.699999999</v>
      </c>
      <c r="R8" s="12"/>
      <c r="S8" s="12"/>
      <c r="T8" s="12"/>
      <c r="W8" s="59" t="s">
        <v>970</v>
      </c>
      <c r="X8" s="69">
        <v>4</v>
      </c>
      <c r="Y8" s="69">
        <v>62</v>
      </c>
      <c r="Z8" s="65">
        <f>37/62</f>
        <v>0.59677419354838712</v>
      </c>
      <c r="AA8" s="119">
        <v>109.4</v>
      </c>
      <c r="AB8" s="119">
        <v>105.4</v>
      </c>
      <c r="AC8" s="119">
        <f t="shared" si="1"/>
        <v>4</v>
      </c>
      <c r="AD8" s="119">
        <v>20</v>
      </c>
      <c r="AE8" s="119">
        <v>14.3</v>
      </c>
      <c r="AF8" s="65">
        <v>0.626</v>
      </c>
      <c r="AG8" s="119">
        <v>19.600000000000001</v>
      </c>
      <c r="AH8" s="119">
        <v>2.1</v>
      </c>
      <c r="AI8" s="119">
        <v>0.9</v>
      </c>
      <c r="AJ8" s="65">
        <v>0.115</v>
      </c>
      <c r="AK8" s="119">
        <v>1.5</v>
      </c>
      <c r="AL8" s="119">
        <v>-1.5</v>
      </c>
      <c r="AM8" s="119">
        <v>0.6</v>
      </c>
      <c r="AN8" s="119">
        <v>9.1999999999999993</v>
      </c>
    </row>
    <row r="9" spans="1:41" x14ac:dyDescent="0.2">
      <c r="A9" s="3">
        <v>8</v>
      </c>
      <c r="B9" s="3" t="s">
        <v>68</v>
      </c>
      <c r="C9" s="3" t="s">
        <v>252</v>
      </c>
      <c r="D9" s="105">
        <v>66</v>
      </c>
      <c r="E9" s="105">
        <v>70</v>
      </c>
      <c r="F9" s="106">
        <v>180</v>
      </c>
      <c r="G9" s="4">
        <v>32603</v>
      </c>
      <c r="H9" s="110">
        <f t="shared" ca="1" si="0"/>
        <v>31.6</v>
      </c>
      <c r="I9" s="3" t="s">
        <v>971</v>
      </c>
      <c r="J9" s="3">
        <v>8</v>
      </c>
      <c r="K9" s="109">
        <v>2011</v>
      </c>
      <c r="L9" s="109"/>
      <c r="M9" s="3" t="s">
        <v>505</v>
      </c>
      <c r="N9" s="3" t="s">
        <v>56</v>
      </c>
      <c r="O9" s="3" t="s">
        <v>2495</v>
      </c>
      <c r="P9" s="16">
        <f>4767000*1.2</f>
        <v>5720400</v>
      </c>
      <c r="Q9" s="11">
        <f>P9+($P$9*0.05)</f>
        <v>6006420</v>
      </c>
      <c r="R9" s="11">
        <f>Q9+($P$9*0.05)</f>
        <v>6292440</v>
      </c>
      <c r="S9" s="236"/>
      <c r="T9" s="12"/>
      <c r="W9" s="59" t="s">
        <v>972</v>
      </c>
      <c r="X9" s="69">
        <v>3</v>
      </c>
      <c r="Y9" s="69">
        <v>65</v>
      </c>
      <c r="Z9" s="65">
        <f>39/65</f>
        <v>0.6</v>
      </c>
      <c r="AA9" s="119">
        <v>108.2</v>
      </c>
      <c r="AB9" s="119">
        <v>106.3</v>
      </c>
      <c r="AC9" s="119">
        <f t="shared" si="1"/>
        <v>1.9000000000000057</v>
      </c>
      <c r="AD9" s="119">
        <v>24.9</v>
      </c>
      <c r="AE9" s="119">
        <v>12.7</v>
      </c>
      <c r="AF9" s="65">
        <v>0.59799999999999998</v>
      </c>
      <c r="AG9" s="119">
        <v>13.5</v>
      </c>
      <c r="AH9" s="119">
        <v>1.7</v>
      </c>
      <c r="AI9" s="119">
        <v>2.2000000000000002</v>
      </c>
      <c r="AJ9" s="65">
        <v>0.11700000000000001</v>
      </c>
      <c r="AK9" s="119">
        <v>0</v>
      </c>
      <c r="AL9" s="119">
        <v>1.7</v>
      </c>
      <c r="AM9" s="119">
        <v>1.5</v>
      </c>
      <c r="AN9" s="119">
        <v>7.8</v>
      </c>
    </row>
    <row r="10" spans="1:41" x14ac:dyDescent="0.2">
      <c r="A10" s="3">
        <v>9</v>
      </c>
      <c r="B10" s="3" t="s">
        <v>69</v>
      </c>
      <c r="C10" s="3" t="s">
        <v>230</v>
      </c>
      <c r="D10" s="105">
        <v>61</v>
      </c>
      <c r="E10" s="105">
        <v>60</v>
      </c>
      <c r="F10" s="106">
        <v>190</v>
      </c>
      <c r="G10" s="4">
        <v>33688</v>
      </c>
      <c r="H10" s="110">
        <f t="shared" ca="1" si="0"/>
        <v>28.6</v>
      </c>
      <c r="I10" s="3" t="s">
        <v>511</v>
      </c>
      <c r="J10" s="3">
        <v>6</v>
      </c>
      <c r="K10" s="109">
        <v>2015</v>
      </c>
      <c r="L10" s="109"/>
      <c r="M10" s="3" t="s">
        <v>710</v>
      </c>
      <c r="N10" s="3" t="s">
        <v>279</v>
      </c>
      <c r="O10" s="159" t="s">
        <v>692</v>
      </c>
      <c r="P10" s="16">
        <v>3500000</v>
      </c>
      <c r="Q10" s="14">
        <f>P10*1.3</f>
        <v>4550000</v>
      </c>
      <c r="R10" s="12"/>
      <c r="S10" s="12"/>
      <c r="T10" s="12"/>
      <c r="W10" s="59" t="s">
        <v>976</v>
      </c>
      <c r="X10" s="69">
        <v>1</v>
      </c>
      <c r="Y10" s="69">
        <v>63</v>
      </c>
      <c r="Z10" s="65">
        <f>38/63</f>
        <v>0.60317460317460314</v>
      </c>
      <c r="AA10" s="119">
        <v>108</v>
      </c>
      <c r="AB10" s="119">
        <v>107.3</v>
      </c>
      <c r="AC10" s="119">
        <f t="shared" si="1"/>
        <v>0.70000000000000284</v>
      </c>
      <c r="AD10" s="119">
        <v>18.899999999999999</v>
      </c>
      <c r="AE10" s="119">
        <v>16.2</v>
      </c>
      <c r="AF10" s="65">
        <v>0.54100000000000004</v>
      </c>
      <c r="AG10" s="119">
        <v>17.2</v>
      </c>
      <c r="AH10" s="119">
        <v>1.6</v>
      </c>
      <c r="AI10" s="119">
        <v>1.4</v>
      </c>
      <c r="AJ10" s="65">
        <v>0.11899999999999999</v>
      </c>
      <c r="AK10" s="119">
        <v>0.1</v>
      </c>
      <c r="AL10" s="119">
        <v>0.2</v>
      </c>
      <c r="AM10" s="119">
        <v>0.7</v>
      </c>
      <c r="AN10" s="119">
        <v>12</v>
      </c>
    </row>
    <row r="11" spans="1:41" x14ac:dyDescent="0.2">
      <c r="A11" s="3">
        <v>88</v>
      </c>
      <c r="B11" s="3" t="s">
        <v>977</v>
      </c>
      <c r="C11" s="3" t="s">
        <v>234</v>
      </c>
      <c r="D11" s="105">
        <v>611</v>
      </c>
      <c r="E11" s="105">
        <v>72</v>
      </c>
      <c r="F11" s="106">
        <v>250</v>
      </c>
      <c r="G11" s="4">
        <v>36361</v>
      </c>
      <c r="H11" s="110">
        <f t="shared" ca="1" si="0"/>
        <v>21.3</v>
      </c>
      <c r="I11" s="3" t="s">
        <v>978</v>
      </c>
      <c r="J11" s="3">
        <v>2</v>
      </c>
      <c r="K11" s="109">
        <v>2019</v>
      </c>
      <c r="L11" s="109">
        <v>18</v>
      </c>
      <c r="M11" s="3" t="s">
        <v>979</v>
      </c>
      <c r="N11" s="3" t="s">
        <v>244</v>
      </c>
      <c r="O11" s="3" t="s">
        <v>2044</v>
      </c>
      <c r="P11" s="11">
        <v>2957520</v>
      </c>
      <c r="Q11" s="50">
        <v>3098400</v>
      </c>
      <c r="R11" s="50">
        <v>4765339</v>
      </c>
      <c r="S11" s="49">
        <v>14296017</v>
      </c>
      <c r="T11" s="3"/>
      <c r="W11" s="59" t="s">
        <v>574</v>
      </c>
      <c r="X11" s="69">
        <v>5</v>
      </c>
      <c r="Y11" s="69">
        <v>49</v>
      </c>
      <c r="Z11" s="65">
        <f>29/49</f>
        <v>0.59183673469387754</v>
      </c>
      <c r="AA11" s="119">
        <v>101.6</v>
      </c>
      <c r="AB11" s="119">
        <v>104.1</v>
      </c>
      <c r="AC11" s="119">
        <f t="shared" si="1"/>
        <v>-2.5</v>
      </c>
      <c r="AD11" s="119">
        <v>8.4</v>
      </c>
      <c r="AE11" s="119">
        <v>12.2</v>
      </c>
      <c r="AF11" s="65">
        <v>0.53</v>
      </c>
      <c r="AG11" s="119">
        <v>18.100000000000001</v>
      </c>
      <c r="AH11" s="119">
        <v>-0.1</v>
      </c>
      <c r="AI11" s="119">
        <v>0.7</v>
      </c>
      <c r="AJ11" s="65">
        <v>6.9000000000000006E-2</v>
      </c>
      <c r="AK11" s="119">
        <v>-4</v>
      </c>
      <c r="AL11" s="119">
        <v>1.5</v>
      </c>
      <c r="AM11" s="119">
        <v>0</v>
      </c>
      <c r="AN11" s="119">
        <v>7.5</v>
      </c>
    </row>
    <row r="12" spans="1:41" x14ac:dyDescent="0.2">
      <c r="A12" s="3">
        <v>3</v>
      </c>
      <c r="B12" s="3" t="s">
        <v>982</v>
      </c>
      <c r="C12" s="3" t="s">
        <v>247</v>
      </c>
      <c r="D12" s="105">
        <v>60</v>
      </c>
      <c r="E12" s="105">
        <v>68</v>
      </c>
      <c r="F12" s="106">
        <v>185</v>
      </c>
      <c r="G12" s="4">
        <v>35338</v>
      </c>
      <c r="H12" s="110">
        <f t="shared" ca="1" si="0"/>
        <v>24.1</v>
      </c>
      <c r="I12" s="3" t="s">
        <v>534</v>
      </c>
      <c r="J12" s="3">
        <v>3</v>
      </c>
      <c r="K12" s="109">
        <v>2018</v>
      </c>
      <c r="L12" s="109">
        <v>23</v>
      </c>
      <c r="M12" s="3" t="s">
        <v>983</v>
      </c>
      <c r="N12" s="3" t="s">
        <v>244</v>
      </c>
      <c r="O12" s="3" t="s">
        <v>1943</v>
      </c>
      <c r="P12" s="11">
        <v>2345640</v>
      </c>
      <c r="Q12" s="50">
        <v>3980551</v>
      </c>
      <c r="R12" s="49">
        <v>11941653</v>
      </c>
      <c r="S12" s="12"/>
      <c r="T12" s="12"/>
      <c r="W12" s="96" t="s">
        <v>284</v>
      </c>
      <c r="X12" s="69">
        <v>1</v>
      </c>
      <c r="Y12" s="69">
        <v>58</v>
      </c>
      <c r="Z12" s="65">
        <f>36/58</f>
        <v>0.62068965517241381</v>
      </c>
      <c r="AA12" s="119">
        <v>109.4</v>
      </c>
      <c r="AB12" s="119">
        <v>107.4</v>
      </c>
      <c r="AC12" s="119">
        <f t="shared" si="1"/>
        <v>2</v>
      </c>
      <c r="AD12" s="119">
        <v>23.6</v>
      </c>
      <c r="AE12" s="119">
        <v>11.7</v>
      </c>
      <c r="AF12" s="65">
        <v>0.51700000000000002</v>
      </c>
      <c r="AG12" s="119">
        <v>19.399999999999999</v>
      </c>
      <c r="AH12" s="119">
        <v>0.4</v>
      </c>
      <c r="AI12" s="119">
        <v>1.4</v>
      </c>
      <c r="AJ12" s="65">
        <v>0.06</v>
      </c>
      <c r="AK12" s="119">
        <v>-1.4</v>
      </c>
      <c r="AL12" s="119">
        <v>-0.3</v>
      </c>
      <c r="AM12" s="119">
        <v>0.1</v>
      </c>
      <c r="AN12" s="119">
        <v>7.7</v>
      </c>
    </row>
    <row r="13" spans="1:41" x14ac:dyDescent="0.2">
      <c r="A13" s="3">
        <v>5</v>
      </c>
      <c r="B13" s="3" t="s">
        <v>984</v>
      </c>
      <c r="C13" s="3" t="s">
        <v>252</v>
      </c>
      <c r="D13" s="105">
        <v>64</v>
      </c>
      <c r="E13" s="105">
        <v>68</v>
      </c>
      <c r="F13" s="106">
        <v>196</v>
      </c>
      <c r="G13" s="4">
        <v>35064</v>
      </c>
      <c r="H13" s="110">
        <f t="shared" ca="1" si="0"/>
        <v>24.9</v>
      </c>
      <c r="I13" s="3" t="s">
        <v>985</v>
      </c>
      <c r="J13" s="3">
        <v>4</v>
      </c>
      <c r="K13" s="109">
        <v>2017</v>
      </c>
      <c r="L13" s="109">
        <v>52</v>
      </c>
      <c r="M13" s="3" t="s">
        <v>986</v>
      </c>
      <c r="N13" s="3" t="s">
        <v>279</v>
      </c>
      <c r="O13" s="3" t="s">
        <v>2045</v>
      </c>
      <c r="P13" s="11">
        <v>2160000</v>
      </c>
      <c r="Q13" s="48">
        <v>2320000</v>
      </c>
      <c r="R13" s="14">
        <v>4408000</v>
      </c>
      <c r="S13" s="12"/>
      <c r="T13" s="12"/>
      <c r="W13" s="59" t="s">
        <v>987</v>
      </c>
      <c r="X13" s="69">
        <v>2</v>
      </c>
      <c r="Y13" s="69">
        <v>25</v>
      </c>
      <c r="Z13" s="65">
        <f>11/25</f>
        <v>0.44</v>
      </c>
      <c r="AA13" s="119">
        <v>106.6</v>
      </c>
      <c r="AB13" s="119">
        <v>110.2</v>
      </c>
      <c r="AC13" s="119">
        <f t="shared" si="1"/>
        <v>-3.6000000000000085</v>
      </c>
      <c r="AD13" s="119">
        <v>13.8</v>
      </c>
      <c r="AE13" s="119">
        <v>10</v>
      </c>
      <c r="AF13" s="65">
        <v>0.48499999999999999</v>
      </c>
      <c r="AG13" s="119">
        <v>17.399999999999999</v>
      </c>
      <c r="AH13" s="119">
        <v>-0.1</v>
      </c>
      <c r="AI13" s="119">
        <v>0.4</v>
      </c>
      <c r="AJ13" s="65">
        <v>3.9E-2</v>
      </c>
      <c r="AK13" s="119">
        <v>-3.6</v>
      </c>
      <c r="AL13" s="119">
        <v>0.4</v>
      </c>
      <c r="AM13" s="119">
        <v>-0.1</v>
      </c>
      <c r="AN13" s="119">
        <v>5.6</v>
      </c>
    </row>
    <row r="14" spans="1:41" x14ac:dyDescent="0.2">
      <c r="A14" s="3">
        <v>14</v>
      </c>
      <c r="B14" s="3" t="s">
        <v>70</v>
      </c>
      <c r="C14" s="3" t="s">
        <v>234</v>
      </c>
      <c r="D14" s="105">
        <v>67</v>
      </c>
      <c r="E14" s="105">
        <v>611</v>
      </c>
      <c r="F14" s="106">
        <v>214</v>
      </c>
      <c r="G14" s="4">
        <v>34048</v>
      </c>
      <c r="H14" s="110">
        <f t="shared" ca="1" si="0"/>
        <v>27.6</v>
      </c>
      <c r="I14" s="3" t="s">
        <v>988</v>
      </c>
      <c r="J14" s="3">
        <v>6</v>
      </c>
      <c r="K14" s="109">
        <v>2014</v>
      </c>
      <c r="L14" s="109"/>
      <c r="M14" s="3" t="s">
        <v>989</v>
      </c>
      <c r="N14" s="3" t="s">
        <v>276</v>
      </c>
      <c r="O14" s="3" t="s">
        <v>2438</v>
      </c>
      <c r="P14" s="16">
        <v>1620564</v>
      </c>
      <c r="Q14" s="234"/>
      <c r="R14" s="3"/>
      <c r="S14" s="12"/>
      <c r="T14" s="12"/>
      <c r="W14" s="59" t="s">
        <v>990</v>
      </c>
      <c r="X14" s="69">
        <v>3</v>
      </c>
      <c r="Y14" s="69">
        <v>26</v>
      </c>
      <c r="Z14" s="65">
        <f>15/26</f>
        <v>0.57692307692307687</v>
      </c>
      <c r="AA14" s="119">
        <v>108</v>
      </c>
      <c r="AB14" s="119">
        <v>106</v>
      </c>
      <c r="AC14" s="119">
        <f t="shared" si="1"/>
        <v>2</v>
      </c>
      <c r="AD14" s="119">
        <v>13.1</v>
      </c>
      <c r="AE14" s="119">
        <v>11.8</v>
      </c>
      <c r="AF14" s="65">
        <v>0.60699999999999998</v>
      </c>
      <c r="AG14" s="119">
        <v>12.5</v>
      </c>
      <c r="AH14" s="119">
        <v>0.4</v>
      </c>
      <c r="AI14" s="119">
        <v>0.4</v>
      </c>
      <c r="AJ14" s="65">
        <v>0.11700000000000001</v>
      </c>
      <c r="AK14" s="119">
        <v>-2.7</v>
      </c>
      <c r="AL14" s="119">
        <v>0.8</v>
      </c>
      <c r="AM14" s="119">
        <v>0</v>
      </c>
      <c r="AN14" s="119">
        <v>6.5</v>
      </c>
    </row>
    <row r="15" spans="1:41" x14ac:dyDescent="0.2">
      <c r="A15" s="3"/>
      <c r="B15" s="3" t="s">
        <v>1565</v>
      </c>
      <c r="C15" s="59" t="s">
        <v>252</v>
      </c>
      <c r="D15" s="142">
        <v>64</v>
      </c>
      <c r="E15" s="142">
        <v>69</v>
      </c>
      <c r="F15" s="143">
        <v>185</v>
      </c>
      <c r="G15" s="4">
        <v>36690</v>
      </c>
      <c r="H15" s="119">
        <f t="shared" ca="1" si="0"/>
        <v>20.399999999999999</v>
      </c>
      <c r="I15" s="59" t="s">
        <v>1566</v>
      </c>
      <c r="J15" s="3">
        <v>2</v>
      </c>
      <c r="K15" s="59">
        <v>2019</v>
      </c>
      <c r="M15" s="3" t="s">
        <v>2164</v>
      </c>
      <c r="N15" s="3" t="s">
        <v>2176</v>
      </c>
      <c r="O15" s="70" t="s">
        <v>1897</v>
      </c>
      <c r="P15" s="16">
        <v>1517981</v>
      </c>
      <c r="Q15" s="15">
        <v>1782621</v>
      </c>
      <c r="R15" s="48">
        <v>1930861</v>
      </c>
      <c r="S15" s="14">
        <v>2046307</v>
      </c>
      <c r="T15" s="12"/>
      <c r="W15" s="96" t="s">
        <v>581</v>
      </c>
      <c r="X15" s="69">
        <v>2</v>
      </c>
      <c r="Y15" s="69">
        <v>4</v>
      </c>
      <c r="Z15" s="65">
        <f>1/4</f>
        <v>0.25</v>
      </c>
      <c r="AA15" s="119">
        <v>90.9</v>
      </c>
      <c r="AB15" s="119">
        <v>120</v>
      </c>
      <c r="AC15" s="119">
        <f t="shared" si="1"/>
        <v>-29.099999999999994</v>
      </c>
      <c r="AD15" s="119">
        <v>6.6</v>
      </c>
      <c r="AE15" s="119"/>
      <c r="AF15" s="65"/>
      <c r="AG15" s="119"/>
      <c r="AH15" s="119"/>
      <c r="AI15" s="119"/>
      <c r="AJ15" s="65"/>
      <c r="AK15" s="119"/>
      <c r="AL15" s="119"/>
      <c r="AM15" s="119"/>
      <c r="AN15" s="119"/>
    </row>
    <row r="16" spans="1:41" x14ac:dyDescent="0.2">
      <c r="A16" s="3"/>
      <c r="B16" s="3" t="s">
        <v>1285</v>
      </c>
      <c r="C16" s="3" t="s">
        <v>241</v>
      </c>
      <c r="D16" s="142">
        <v>65</v>
      </c>
      <c r="E16" s="142">
        <v>67</v>
      </c>
      <c r="F16" s="143">
        <v>230</v>
      </c>
      <c r="G16" s="4">
        <v>34914</v>
      </c>
      <c r="H16" s="119">
        <f ca="1">ROUNDDOWN(YEARFRAC($G$24,G16),1)</f>
        <v>25.3</v>
      </c>
      <c r="I16" s="59" t="s">
        <v>1286</v>
      </c>
      <c r="J16" s="3">
        <v>2</v>
      </c>
      <c r="K16" s="107">
        <v>2018</v>
      </c>
      <c r="L16" s="107"/>
      <c r="M16" s="3" t="s">
        <v>2740</v>
      </c>
      <c r="N16" s="3" t="s">
        <v>276</v>
      </c>
      <c r="O16" s="59" t="s">
        <v>2445</v>
      </c>
      <c r="P16" s="11">
        <v>1445697</v>
      </c>
      <c r="Q16" s="60">
        <v>1701593</v>
      </c>
      <c r="R16" s="247"/>
      <c r="S16" s="237"/>
      <c r="T16" s="237"/>
      <c r="W16" s="59" t="s">
        <v>1287</v>
      </c>
      <c r="X16" s="69">
        <v>3</v>
      </c>
      <c r="Y16" s="69">
        <v>31</v>
      </c>
      <c r="Z16" s="65">
        <f>12/31</f>
        <v>0.38709677419354838</v>
      </c>
      <c r="AA16" s="119">
        <v>101.4</v>
      </c>
      <c r="AB16" s="119">
        <v>103.1</v>
      </c>
      <c r="AC16" s="119">
        <f t="shared" si="1"/>
        <v>-1.6999999999999886</v>
      </c>
      <c r="AD16" s="119">
        <v>16</v>
      </c>
      <c r="AE16" s="119">
        <v>9.1999999999999993</v>
      </c>
      <c r="AF16" s="65">
        <v>0.50600000000000001</v>
      </c>
      <c r="AG16" s="119">
        <v>17.8</v>
      </c>
      <c r="AH16" s="119">
        <v>-0.1</v>
      </c>
      <c r="AI16" s="119">
        <v>0.3</v>
      </c>
      <c r="AJ16" s="65">
        <v>2.3E-2</v>
      </c>
      <c r="AK16" s="119">
        <v>-3.3</v>
      </c>
      <c r="AL16" s="119">
        <v>-1</v>
      </c>
      <c r="AM16" s="119">
        <v>-0.3</v>
      </c>
      <c r="AN16" s="119">
        <v>7.7</v>
      </c>
    </row>
    <row r="17" spans="1:40" x14ac:dyDescent="0.2">
      <c r="A17" s="3"/>
      <c r="B17" s="3" t="s">
        <v>2531</v>
      </c>
      <c r="C17" s="3" t="s">
        <v>234</v>
      </c>
      <c r="D17" s="105">
        <v>70</v>
      </c>
      <c r="E17" s="3">
        <v>76</v>
      </c>
      <c r="F17" s="106">
        <v>230</v>
      </c>
      <c r="G17" s="4">
        <v>34376</v>
      </c>
      <c r="H17" s="110">
        <f t="shared" ca="1" si="0"/>
        <v>26.7</v>
      </c>
      <c r="I17" s="3" t="s">
        <v>2532</v>
      </c>
      <c r="J17" s="3">
        <v>1</v>
      </c>
      <c r="K17" s="109">
        <v>2017</v>
      </c>
      <c r="L17" s="109"/>
      <c r="M17" s="57" t="s">
        <v>2436</v>
      </c>
      <c r="N17" s="54" t="s">
        <v>2403</v>
      </c>
      <c r="O17" s="54" t="s">
        <v>2533</v>
      </c>
      <c r="P17" s="56">
        <v>898310</v>
      </c>
      <c r="Q17" s="68"/>
      <c r="R17" s="3"/>
      <c r="S17" s="11"/>
      <c r="T17" s="3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 t="s">
        <v>290</v>
      </c>
      <c r="C18" s="3"/>
      <c r="D18" s="105"/>
      <c r="E18" s="3"/>
      <c r="F18" s="106"/>
      <c r="G18" s="3"/>
      <c r="H18" s="110"/>
      <c r="I18" s="3"/>
      <c r="J18" s="3"/>
      <c r="K18" s="109"/>
      <c r="L18" s="109"/>
      <c r="M18" s="57"/>
      <c r="N18" s="54"/>
      <c r="O18" s="54"/>
      <c r="P18" s="22">
        <v>2245400</v>
      </c>
      <c r="Q18" s="22">
        <v>2245400</v>
      </c>
      <c r="R18" s="3"/>
      <c r="S18" s="11"/>
      <c r="T18" s="3"/>
      <c r="X18" s="69"/>
      <c r="Y18" s="69"/>
      <c r="Z18" s="65"/>
      <c r="AF18" s="65"/>
      <c r="AJ18" s="65"/>
    </row>
    <row r="19" spans="1:40" x14ac:dyDescent="0.2">
      <c r="B19" s="3" t="s">
        <v>2369</v>
      </c>
      <c r="C19" s="59" t="s">
        <v>252</v>
      </c>
      <c r="D19" s="105">
        <v>66</v>
      </c>
      <c r="E19" s="105">
        <v>67</v>
      </c>
      <c r="F19" s="106">
        <v>194</v>
      </c>
      <c r="G19" s="62">
        <v>36390</v>
      </c>
      <c r="H19" s="110">
        <f ca="1">ROUNDDOWN(YEARFRAC($G$24,G19),1)</f>
        <v>21.2</v>
      </c>
      <c r="I19" s="59" t="s">
        <v>253</v>
      </c>
      <c r="J19" s="59">
        <v>1</v>
      </c>
      <c r="K19" s="78">
        <v>2020</v>
      </c>
      <c r="L19" s="78">
        <v>54</v>
      </c>
      <c r="M19" s="78" t="s">
        <v>2370</v>
      </c>
      <c r="N19" s="78"/>
      <c r="O19" s="185"/>
      <c r="P19" s="168">
        <v>898310</v>
      </c>
      <c r="S19" s="146"/>
      <c r="X19" s="69"/>
      <c r="Y19" s="69"/>
      <c r="Z19" s="65"/>
      <c r="AF19" s="65"/>
      <c r="AJ19" s="65"/>
    </row>
    <row r="20" spans="1:40" x14ac:dyDescent="0.2">
      <c r="B20" s="5"/>
      <c r="K20" s="78"/>
      <c r="L20" s="78"/>
      <c r="M20" s="78"/>
      <c r="N20" s="78"/>
      <c r="O20" s="185"/>
      <c r="S20" s="146"/>
      <c r="X20" s="69"/>
      <c r="Y20" s="69"/>
      <c r="Z20" s="65"/>
      <c r="AF20" s="65"/>
      <c r="AJ20" s="65"/>
    </row>
    <row r="21" spans="1:40" x14ac:dyDescent="0.2">
      <c r="A21" s="3">
        <v>10</v>
      </c>
      <c r="B21" s="3" t="s">
        <v>993</v>
      </c>
      <c r="C21" s="3" t="s">
        <v>252</v>
      </c>
      <c r="D21" s="105">
        <v>66</v>
      </c>
      <c r="E21" s="105">
        <v>610</v>
      </c>
      <c r="F21" s="106">
        <v>190</v>
      </c>
      <c r="G21" s="4">
        <v>36070</v>
      </c>
      <c r="H21" s="110">
        <f ca="1">ROUNDDOWN(YEARFRAC($G$24,G21),1)</f>
        <v>22.1</v>
      </c>
      <c r="I21" s="3" t="s">
        <v>994</v>
      </c>
      <c r="J21" s="3">
        <v>2</v>
      </c>
      <c r="K21" s="109">
        <v>2019</v>
      </c>
      <c r="L21" s="109"/>
      <c r="M21" s="3" t="s">
        <v>995</v>
      </c>
      <c r="N21" s="3"/>
      <c r="O21" s="3"/>
      <c r="P21" s="14">
        <v>1445697</v>
      </c>
      <c r="Q21" s="12"/>
      <c r="R21" s="12"/>
      <c r="S21" s="12"/>
      <c r="T21" s="12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A22" s="3">
        <v>15</v>
      </c>
      <c r="B22" s="3" t="s">
        <v>996</v>
      </c>
      <c r="C22" s="3" t="s">
        <v>230</v>
      </c>
      <c r="D22" s="105">
        <v>63</v>
      </c>
      <c r="E22" s="105"/>
      <c r="F22" s="106">
        <v>218</v>
      </c>
      <c r="G22" s="4">
        <v>34184</v>
      </c>
      <c r="H22" s="110">
        <f ca="1">ROUNDDOWN(YEARFRAC($G$24,G22),1)</f>
        <v>27.3</v>
      </c>
      <c r="I22" s="3" t="s">
        <v>228</v>
      </c>
      <c r="J22" s="3">
        <v>4</v>
      </c>
      <c r="K22" s="109">
        <v>2017</v>
      </c>
      <c r="L22" s="109"/>
      <c r="M22" s="3" t="s">
        <v>505</v>
      </c>
      <c r="N22" s="3"/>
      <c r="O22" s="3"/>
      <c r="P22" s="14">
        <v>1445697</v>
      </c>
      <c r="Q22" s="80"/>
      <c r="R22" s="12"/>
      <c r="S22" s="12"/>
      <c r="T22" s="12"/>
      <c r="X22" s="69"/>
      <c r="Y22" s="69"/>
      <c r="Z22" s="65"/>
      <c r="AF22" s="65"/>
      <c r="AJ22" s="65"/>
    </row>
    <row r="23" spans="1:40" x14ac:dyDescent="0.2">
      <c r="A23" s="3"/>
      <c r="B23" s="3"/>
      <c r="C23" s="3"/>
      <c r="D23" s="105"/>
      <c r="E23" s="105"/>
      <c r="F23" s="106"/>
      <c r="G23" s="4"/>
      <c r="H23" s="110"/>
      <c r="I23" s="3"/>
      <c r="J23" s="3"/>
      <c r="K23" s="109"/>
      <c r="L23" s="109"/>
      <c r="M23" s="3"/>
      <c r="N23" s="3"/>
      <c r="O23" s="3"/>
      <c r="P23" s="54"/>
      <c r="Q23" s="80"/>
      <c r="R23" s="12"/>
      <c r="S23" s="12"/>
      <c r="T23" s="12"/>
      <c r="X23" s="69"/>
      <c r="Y23" s="69"/>
      <c r="Z23" s="65"/>
      <c r="AF23" s="65"/>
      <c r="AJ23" s="65"/>
    </row>
    <row r="24" spans="1:40" x14ac:dyDescent="0.2">
      <c r="B24" s="3"/>
      <c r="G24" s="62">
        <f ca="1">TODAY()</f>
        <v>44162</v>
      </c>
      <c r="H24" s="63">
        <f ca="1">AVERAGE(H2:H15)</f>
        <v>26.321428571428573</v>
      </c>
      <c r="J24" s="63">
        <f>AVERAGE(J2:J15)</f>
        <v>5.5714285714285712</v>
      </c>
      <c r="K24" s="78"/>
      <c r="L24" s="78"/>
      <c r="M24" s="78"/>
      <c r="N24" s="78"/>
      <c r="O24" s="185"/>
      <c r="S24" s="146"/>
      <c r="X24" s="69"/>
      <c r="Y24" s="69"/>
      <c r="Z24" s="65"/>
      <c r="AF24" s="65"/>
      <c r="AJ24" s="65"/>
    </row>
    <row r="25" spans="1:40" ht="17" x14ac:dyDescent="0.2">
      <c r="E25" s="62"/>
      <c r="F25" s="63"/>
      <c r="G25" s="62"/>
      <c r="H25" s="63">
        <f ca="1">MEDIAN(H2:H15)</f>
        <v>27.4</v>
      </c>
      <c r="J25" s="69">
        <f>MEDIAN(J2:J15)</f>
        <v>6</v>
      </c>
      <c r="K25" s="78"/>
      <c r="L25" s="199"/>
      <c r="M25" s="199"/>
      <c r="N25" s="78"/>
      <c r="O25" s="78"/>
      <c r="P25" s="125"/>
      <c r="Q25" s="125"/>
      <c r="X25" s="69"/>
      <c r="Y25" s="69"/>
      <c r="Z25" s="65"/>
      <c r="AF25" s="65"/>
      <c r="AJ25" s="65"/>
    </row>
    <row r="26" spans="1:40" x14ac:dyDescent="0.2">
      <c r="B26" s="197" t="s">
        <v>1985</v>
      </c>
      <c r="C26" s="118"/>
      <c r="D26" s="19"/>
      <c r="H26" s="63"/>
      <c r="J26" s="197"/>
      <c r="K26" s="118"/>
      <c r="L26" s="19"/>
      <c r="M26" s="78"/>
      <c r="N26" s="78"/>
      <c r="O26" s="78"/>
      <c r="P26" s="233">
        <f>SUM(P2:P18)-P17</f>
        <v>132596535</v>
      </c>
      <c r="X26" s="69"/>
      <c r="Y26" s="69"/>
      <c r="Z26" s="65"/>
      <c r="AF26" s="65"/>
    </row>
    <row r="27" spans="1:40" x14ac:dyDescent="0.2">
      <c r="B27" s="3" t="s">
        <v>1876</v>
      </c>
      <c r="C27" s="78">
        <v>15</v>
      </c>
      <c r="D27" s="118"/>
      <c r="J27" s="3"/>
      <c r="K27" s="78"/>
      <c r="L27" s="118"/>
      <c r="M27" s="78"/>
      <c r="N27" s="78"/>
      <c r="O27" s="78"/>
      <c r="P27" s="81">
        <f>SUM(P2:P18)</f>
        <v>133494845</v>
      </c>
      <c r="X27" s="69"/>
      <c r="Y27" s="69"/>
      <c r="Z27" s="65"/>
      <c r="AF27" s="65"/>
    </row>
    <row r="28" spans="1:40" x14ac:dyDescent="0.2">
      <c r="B28" s="3" t="s">
        <v>2457</v>
      </c>
      <c r="C28" s="78">
        <v>1</v>
      </c>
      <c r="D28" s="118"/>
      <c r="J28" s="3"/>
      <c r="K28" s="78"/>
      <c r="L28" s="118"/>
      <c r="M28" s="78"/>
      <c r="N28" s="78"/>
      <c r="O28" s="3"/>
      <c r="P28" s="22"/>
      <c r="X28" s="69"/>
      <c r="Y28" s="69"/>
      <c r="AF28" s="65"/>
    </row>
    <row r="29" spans="1:40" x14ac:dyDescent="0.2">
      <c r="B29" s="3" t="s">
        <v>2539</v>
      </c>
      <c r="C29" s="78">
        <v>0</v>
      </c>
      <c r="D29" s="117"/>
      <c r="J29" s="3"/>
      <c r="K29" s="78"/>
      <c r="L29" s="117"/>
      <c r="M29" s="78"/>
      <c r="N29" s="78"/>
      <c r="O29" s="3" t="s">
        <v>292</v>
      </c>
      <c r="P29" s="22" t="e">
        <f>#REF!</f>
        <v>#REF!</v>
      </c>
    </row>
    <row r="30" spans="1:40" x14ac:dyDescent="0.2">
      <c r="B30" s="3" t="s">
        <v>748</v>
      </c>
      <c r="C30" s="60">
        <f>5718000</f>
        <v>5718000</v>
      </c>
      <c r="D30" s="78"/>
      <c r="J30" s="24"/>
      <c r="K30" s="60"/>
      <c r="L30" s="78"/>
      <c r="M30" s="78"/>
      <c r="N30" s="78"/>
      <c r="O30" s="22" t="s">
        <v>294</v>
      </c>
      <c r="P30" s="22" t="e">
        <f>#REF!</f>
        <v>#REF!</v>
      </c>
    </row>
    <row r="31" spans="1:40" x14ac:dyDescent="0.2">
      <c r="B31" s="24" t="s">
        <v>293</v>
      </c>
      <c r="C31" s="60">
        <v>0</v>
      </c>
      <c r="D31" s="78"/>
      <c r="J31" s="3"/>
      <c r="K31" s="60"/>
      <c r="L31" s="78"/>
      <c r="M31" s="78"/>
      <c r="N31" s="78"/>
      <c r="O31" s="22"/>
    </row>
    <row r="32" spans="1:40" x14ac:dyDescent="0.2">
      <c r="B32" s="3" t="s">
        <v>295</v>
      </c>
      <c r="C32" s="60">
        <v>0</v>
      </c>
      <c r="D32" s="78"/>
      <c r="J32" s="3"/>
      <c r="K32" s="60"/>
      <c r="L32" s="78"/>
      <c r="M32" s="78"/>
      <c r="N32" s="78"/>
      <c r="O32" s="22"/>
    </row>
    <row r="33" spans="2:15" x14ac:dyDescent="0.2">
      <c r="B33" s="3"/>
      <c r="C33" s="41"/>
      <c r="D33" s="3"/>
      <c r="E33" s="3"/>
      <c r="J33" s="3"/>
      <c r="K33" s="57"/>
      <c r="L33" s="78"/>
      <c r="M33" s="78"/>
      <c r="N33" s="78"/>
      <c r="O33" s="3"/>
    </row>
    <row r="34" spans="2:15" x14ac:dyDescent="0.2">
      <c r="B34" s="5" t="s">
        <v>1875</v>
      </c>
      <c r="C34" s="3"/>
      <c r="D34" s="3"/>
      <c r="E34" s="3"/>
      <c r="J34" s="22"/>
      <c r="K34" s="57"/>
      <c r="L34" s="78"/>
      <c r="M34" s="78"/>
      <c r="N34" s="78"/>
      <c r="O34" s="22"/>
    </row>
    <row r="35" spans="2:15" x14ac:dyDescent="0.2">
      <c r="B35" s="3" t="s">
        <v>296</v>
      </c>
      <c r="C35" s="41">
        <f>45/(45+28)</f>
        <v>0.61643835616438358</v>
      </c>
      <c r="D35" s="3" t="s">
        <v>326</v>
      </c>
      <c r="E35" s="3"/>
      <c r="J35" s="3"/>
      <c r="K35" s="57"/>
      <c r="L35" s="78"/>
      <c r="M35" s="78"/>
      <c r="N35" s="78"/>
      <c r="O35" s="3"/>
    </row>
    <row r="36" spans="2:15" x14ac:dyDescent="0.2">
      <c r="B36" s="3" t="s">
        <v>298</v>
      </c>
      <c r="C36" s="110">
        <v>109.5</v>
      </c>
      <c r="D36" s="3" t="s">
        <v>2030</v>
      </c>
      <c r="E36" s="3"/>
    </row>
    <row r="37" spans="2:15" x14ac:dyDescent="0.2">
      <c r="B37" s="3" t="s">
        <v>299</v>
      </c>
      <c r="C37" s="110">
        <v>107.5</v>
      </c>
      <c r="D37" s="3" t="s">
        <v>1978</v>
      </c>
      <c r="E37" s="3"/>
    </row>
    <row r="38" spans="2:15" x14ac:dyDescent="0.2">
      <c r="B38" s="3" t="s">
        <v>300</v>
      </c>
      <c r="C38" s="110">
        <v>1.9</v>
      </c>
      <c r="D38" s="3" t="s">
        <v>1959</v>
      </c>
      <c r="E38" s="3"/>
    </row>
    <row r="39" spans="2:15" x14ac:dyDescent="0.2">
      <c r="B39" s="3" t="s">
        <v>301</v>
      </c>
      <c r="C39" s="36">
        <v>99.41</v>
      </c>
      <c r="D39" s="3" t="s">
        <v>1991</v>
      </c>
      <c r="E39" s="3"/>
    </row>
    <row r="40" spans="2:15" x14ac:dyDescent="0.2">
      <c r="B40" s="3"/>
      <c r="C40" s="3"/>
      <c r="D40" s="3"/>
      <c r="E40" s="3"/>
    </row>
    <row r="41" spans="2:15" x14ac:dyDescent="0.2">
      <c r="B41" s="3" t="s">
        <v>302</v>
      </c>
      <c r="C41" s="3"/>
      <c r="D41" s="3"/>
      <c r="E41" s="3"/>
    </row>
    <row r="42" spans="2:15" x14ac:dyDescent="0.2">
      <c r="B42" s="3" t="s">
        <v>2031</v>
      </c>
      <c r="C42" s="3"/>
      <c r="D42" s="3"/>
      <c r="E42" s="3"/>
    </row>
    <row r="43" spans="2:15" x14ac:dyDescent="0.2">
      <c r="B43" s="3" t="s">
        <v>2032</v>
      </c>
      <c r="C43" s="3"/>
      <c r="D43" s="3"/>
      <c r="E43" s="3"/>
    </row>
    <row r="44" spans="2:15" x14ac:dyDescent="0.2">
      <c r="B44" s="3" t="s">
        <v>2033</v>
      </c>
      <c r="C44" s="3"/>
      <c r="D44" s="3"/>
      <c r="E44" s="3"/>
    </row>
    <row r="45" spans="2:15" x14ac:dyDescent="0.2">
      <c r="B45" s="3" t="s">
        <v>2034</v>
      </c>
      <c r="C45" s="3"/>
      <c r="D45" s="3"/>
      <c r="E45" s="3"/>
    </row>
    <row r="46" spans="2:15" x14ac:dyDescent="0.2">
      <c r="B46" s="3" t="s">
        <v>2035</v>
      </c>
      <c r="C46" s="3"/>
      <c r="D46" s="3"/>
      <c r="E46" s="3"/>
    </row>
    <row r="47" spans="2:15" x14ac:dyDescent="0.2">
      <c r="B47" s="12"/>
      <c r="C47" s="3"/>
      <c r="D47" s="3"/>
      <c r="E47" s="3"/>
    </row>
    <row r="48" spans="2:15" x14ac:dyDescent="0.2">
      <c r="B48" s="3" t="s">
        <v>310</v>
      </c>
      <c r="C48" s="3"/>
      <c r="D48" s="3"/>
      <c r="E48" s="3"/>
    </row>
    <row r="49" spans="2:10" x14ac:dyDescent="0.2">
      <c r="B49" s="3" t="s">
        <v>2601</v>
      </c>
      <c r="C49" s="3"/>
      <c r="D49" s="3"/>
      <c r="E49" s="3"/>
    </row>
    <row r="50" spans="2:10" x14ac:dyDescent="0.2">
      <c r="B50" s="3" t="s">
        <v>2036</v>
      </c>
      <c r="C50" s="3"/>
      <c r="D50" s="3"/>
      <c r="E50" s="3"/>
    </row>
    <row r="51" spans="2:10" x14ac:dyDescent="0.2">
      <c r="B51" s="3" t="s">
        <v>2225</v>
      </c>
      <c r="C51" s="3"/>
      <c r="D51" s="3"/>
      <c r="E51" s="3"/>
    </row>
    <row r="52" spans="2:10" x14ac:dyDescent="0.2">
      <c r="B52" s="3" t="s">
        <v>998</v>
      </c>
      <c r="C52" s="3"/>
      <c r="D52" s="3"/>
      <c r="E52" s="3"/>
    </row>
    <row r="53" spans="2:10" x14ac:dyDescent="0.2">
      <c r="B53" s="3"/>
      <c r="C53" s="3"/>
      <c r="D53" s="3"/>
      <c r="E53" s="3"/>
    </row>
    <row r="54" spans="2:10" x14ac:dyDescent="0.2">
      <c r="B54" s="5" t="s">
        <v>1989</v>
      </c>
      <c r="C54" s="3"/>
      <c r="D54" s="3"/>
      <c r="E54" s="3"/>
    </row>
    <row r="55" spans="2:10" x14ac:dyDescent="0.2">
      <c r="B55" s="39" t="s">
        <v>314</v>
      </c>
      <c r="C55" s="3">
        <v>45</v>
      </c>
      <c r="D55" s="3">
        <v>28</v>
      </c>
      <c r="E55" s="3" t="s">
        <v>326</v>
      </c>
      <c r="G55" s="59" t="s">
        <v>997</v>
      </c>
      <c r="J55" s="59" t="s">
        <v>525</v>
      </c>
    </row>
    <row r="56" spans="2:10" x14ac:dyDescent="0.2">
      <c r="B56" s="39" t="s">
        <v>317</v>
      </c>
      <c r="C56" s="3">
        <v>48</v>
      </c>
      <c r="D56" s="3">
        <v>34</v>
      </c>
      <c r="E56" s="3" t="s">
        <v>323</v>
      </c>
      <c r="G56" s="59" t="s">
        <v>997</v>
      </c>
      <c r="J56" s="59" t="s">
        <v>999</v>
      </c>
    </row>
    <row r="57" spans="2:10" x14ac:dyDescent="0.2">
      <c r="B57" s="39" t="s">
        <v>319</v>
      </c>
      <c r="C57" s="3">
        <v>48</v>
      </c>
      <c r="D57" s="3">
        <v>34</v>
      </c>
      <c r="E57" s="3" t="s">
        <v>323</v>
      </c>
      <c r="G57" s="59" t="s">
        <v>997</v>
      </c>
      <c r="J57" s="59" t="s">
        <v>1000</v>
      </c>
    </row>
    <row r="58" spans="2:10" x14ac:dyDescent="0.2">
      <c r="B58" s="39" t="s">
        <v>322</v>
      </c>
      <c r="C58" s="3">
        <v>42</v>
      </c>
      <c r="D58" s="3">
        <v>40</v>
      </c>
      <c r="E58" s="3" t="s">
        <v>400</v>
      </c>
      <c r="G58" s="59" t="s">
        <v>997</v>
      </c>
      <c r="J58" s="59" t="s">
        <v>401</v>
      </c>
    </row>
    <row r="59" spans="2:10" x14ac:dyDescent="0.2">
      <c r="B59" s="39" t="s">
        <v>325</v>
      </c>
      <c r="C59" s="3">
        <v>45</v>
      </c>
      <c r="D59" s="3">
        <v>37</v>
      </c>
      <c r="E59" s="3" t="s">
        <v>400</v>
      </c>
      <c r="G59" s="59" t="s">
        <v>1001</v>
      </c>
      <c r="J59" s="59" t="s">
        <v>1002</v>
      </c>
    </row>
    <row r="60" spans="2:10" x14ac:dyDescent="0.2">
      <c r="B60" s="39" t="s">
        <v>328</v>
      </c>
      <c r="C60" s="3">
        <v>38</v>
      </c>
      <c r="D60" s="3">
        <v>44</v>
      </c>
      <c r="E60" s="3" t="s">
        <v>521</v>
      </c>
      <c r="G60" s="59" t="s">
        <v>1001</v>
      </c>
      <c r="J60" s="145" t="s">
        <v>316</v>
      </c>
    </row>
    <row r="61" spans="2:10" x14ac:dyDescent="0.2">
      <c r="B61" s="39" t="s">
        <v>331</v>
      </c>
      <c r="C61" s="3">
        <v>56</v>
      </c>
      <c r="D61" s="3">
        <v>26</v>
      </c>
      <c r="E61" s="41" t="s">
        <v>329</v>
      </c>
      <c r="G61" s="59" t="s">
        <v>1001</v>
      </c>
      <c r="J61" s="59" t="s">
        <v>1003</v>
      </c>
    </row>
    <row r="62" spans="2:10" x14ac:dyDescent="0.2">
      <c r="B62" s="39" t="s">
        <v>334</v>
      </c>
      <c r="C62" s="3">
        <v>49</v>
      </c>
      <c r="D62" s="3">
        <v>32</v>
      </c>
      <c r="E62" s="41" t="s">
        <v>393</v>
      </c>
      <c r="G62" s="59" t="s">
        <v>1001</v>
      </c>
      <c r="J62" s="59" t="s">
        <v>1004</v>
      </c>
    </row>
    <row r="63" spans="2:10" x14ac:dyDescent="0.2">
      <c r="B63" s="39" t="s">
        <v>338</v>
      </c>
      <c r="C63" s="3">
        <v>42</v>
      </c>
      <c r="D63" s="3">
        <v>24</v>
      </c>
      <c r="E63" s="3" t="s">
        <v>393</v>
      </c>
      <c r="G63" s="59" t="s">
        <v>1001</v>
      </c>
      <c r="J63" s="59" t="s">
        <v>1005</v>
      </c>
    </row>
    <row r="64" spans="2:10" x14ac:dyDescent="0.2">
      <c r="B64" s="39" t="s">
        <v>340</v>
      </c>
      <c r="C64" s="3">
        <v>37</v>
      </c>
      <c r="D64" s="3">
        <v>45</v>
      </c>
      <c r="E64" s="3" t="s">
        <v>332</v>
      </c>
      <c r="G64" s="59" t="s">
        <v>1006</v>
      </c>
      <c r="J64" s="59" t="s">
        <v>1007</v>
      </c>
    </row>
    <row r="65" spans="2:5" x14ac:dyDescent="0.2">
      <c r="B65" s="59" t="s">
        <v>342</v>
      </c>
      <c r="C65" s="59">
        <f>SUM(C55:C64)</f>
        <v>450</v>
      </c>
      <c r="D65" s="59">
        <f>SUM(D55:D64)</f>
        <v>344</v>
      </c>
      <c r="E65" s="65">
        <f>C65/(C65+D65)</f>
        <v>0.56675062972292189</v>
      </c>
    </row>
  </sheetData>
  <hyperlinks>
    <hyperlink ref="B55" r:id="rId1" xr:uid="{D7495D73-1A3C-2A47-8C4D-94CBC609F37E}"/>
    <hyperlink ref="B56" r:id="rId2" xr:uid="{D8523C26-C821-3640-9CE0-B396CF9CA9A3}"/>
    <hyperlink ref="B57" r:id="rId3" xr:uid="{1C3A59B6-8D43-AC49-B7AB-8E28AD5CFE6E}"/>
    <hyperlink ref="B58" r:id="rId4" xr:uid="{1215013A-3D0A-6E4C-B216-CE07C88E1E27}"/>
    <hyperlink ref="B59" r:id="rId5" xr:uid="{578AD8CC-8D41-B142-ABA4-537A4F8058B2}"/>
    <hyperlink ref="B60" r:id="rId6" xr:uid="{34551C53-42C0-0B4B-81DB-69851EC57087}"/>
    <hyperlink ref="B61" r:id="rId7" xr:uid="{CFFCC9FC-7EE2-244F-859B-C6C6A62EDCC5}"/>
    <hyperlink ref="B62" r:id="rId8" xr:uid="{A75892D7-D746-A049-82C6-B3A27DC1EA76}"/>
    <hyperlink ref="B63" r:id="rId9" xr:uid="{E80FD59A-0FBA-9843-A6DF-96ACAC686F8A}"/>
    <hyperlink ref="B64" r:id="rId10" xr:uid="{D1DDFA07-88D7-2949-9710-FDD371BB599F}"/>
  </hyperlinks>
  <pageMargins left="0.7" right="0.7" top="0.75" bottom="0.75" header="0.3" footer="0.3"/>
  <ignoredErrors>
    <ignoredError sqref="J24:J25" formulaRange="1"/>
  </ignoredErrors>
  <legacy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F1C4-B9CD-7246-9FF7-03F9011886A2}">
  <dimension ref="A1:AS72"/>
  <sheetViews>
    <sheetView zoomScaleNormal="100" workbookViewId="0"/>
  </sheetViews>
  <sheetFormatPr baseColWidth="10" defaultColWidth="11" defaultRowHeight="16" x14ac:dyDescent="0.2"/>
  <cols>
    <col min="1" max="1" width="4.83203125" customWidth="1"/>
    <col min="2" max="2" width="18.6640625" customWidth="1"/>
    <col min="3" max="3" width="10" customWidth="1"/>
    <col min="4" max="4" width="7.5" customWidth="1"/>
    <col min="6" max="6" width="8.5" customWidth="1"/>
    <col min="7" max="7" width="10.83203125" customWidth="1"/>
    <col min="8" max="8" width="5.83203125" customWidth="1"/>
    <col min="9" max="9" width="25.6640625" customWidth="1"/>
    <col min="10" max="10" width="11.1640625" customWidth="1"/>
    <col min="11" max="11" width="11.33203125" customWidth="1"/>
    <col min="12" max="12" width="5.1640625" customWidth="1"/>
    <col min="13" max="13" width="25.83203125" customWidth="1"/>
    <col min="14" max="14" width="16.83203125" customWidth="1"/>
    <col min="15" max="15" width="44.6640625" customWidth="1"/>
    <col min="16" max="16" width="13.5" customWidth="1"/>
    <col min="17" max="17" width="13.83203125" customWidth="1"/>
    <col min="18" max="18" width="13.6640625" customWidth="1"/>
    <col min="19" max="19" width="12.5" customWidth="1"/>
    <col min="20" max="20" width="11.5" customWidth="1"/>
    <col min="21" max="21" width="10.1640625" customWidth="1"/>
    <col min="22" max="22" width="17.5" customWidth="1"/>
    <col min="23" max="23" width="26.6640625" customWidth="1"/>
    <col min="24" max="24" width="9" customWidth="1"/>
    <col min="25" max="25" width="4" customWidth="1"/>
    <col min="26" max="26" width="7.83203125" customWidth="1"/>
    <col min="27" max="27" width="6" customWidth="1"/>
    <col min="28" max="28" width="5.83203125" customWidth="1"/>
    <col min="29" max="29" width="7.33203125" customWidth="1"/>
    <col min="30" max="30" width="5.1640625" customWidth="1"/>
    <col min="31" max="31" width="5" customWidth="1"/>
    <col min="32" max="32" width="5.83203125" customWidth="1"/>
    <col min="33" max="33" width="7.6640625" customWidth="1"/>
    <col min="34" max="34" width="5.1640625" customWidth="1"/>
    <col min="35" max="35" width="5" customWidth="1"/>
    <col min="36" max="36" width="6.6640625" customWidth="1"/>
    <col min="37" max="37" width="6.1640625" customWidth="1"/>
    <col min="38" max="38" width="5.83203125" customWidth="1"/>
    <col min="39" max="39" width="5.5" customWidth="1"/>
    <col min="40" max="40" width="5.1640625" customWidth="1"/>
  </cols>
  <sheetData>
    <row r="1" spans="1:45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59"/>
      <c r="AQ1" s="59"/>
    </row>
    <row r="2" spans="1:45" x14ac:dyDescent="0.2">
      <c r="A2" s="3">
        <v>13</v>
      </c>
      <c r="B2" s="3" t="s">
        <v>1008</v>
      </c>
      <c r="C2" s="3" t="s">
        <v>252</v>
      </c>
      <c r="D2" s="105">
        <v>68</v>
      </c>
      <c r="E2" s="105">
        <v>611</v>
      </c>
      <c r="F2" s="106">
        <v>220</v>
      </c>
      <c r="G2" s="4">
        <v>32995</v>
      </c>
      <c r="H2" s="110">
        <f t="shared" ref="H2:H17" ca="1" si="0">ROUNDDOWN(YEARFRAC($G$25,G2),1)</f>
        <v>30.5</v>
      </c>
      <c r="I2" s="3" t="s">
        <v>1009</v>
      </c>
      <c r="J2" s="3">
        <v>11</v>
      </c>
      <c r="K2" s="109">
        <v>2010</v>
      </c>
      <c r="L2" s="109">
        <v>10</v>
      </c>
      <c r="M2" s="3" t="s">
        <v>1010</v>
      </c>
      <c r="N2" s="3" t="s">
        <v>734</v>
      </c>
      <c r="O2" s="3" t="s">
        <v>2046</v>
      </c>
      <c r="P2" s="11">
        <v>35450412</v>
      </c>
      <c r="Q2" s="47">
        <v>37895268</v>
      </c>
      <c r="R2" s="14">
        <v>45937500</v>
      </c>
      <c r="S2" s="12"/>
      <c r="T2" s="59"/>
      <c r="U2" s="59"/>
      <c r="V2" s="59"/>
      <c r="W2" t="s">
        <v>1011</v>
      </c>
      <c r="X2" s="69">
        <v>4</v>
      </c>
      <c r="Y2" s="69">
        <v>42</v>
      </c>
      <c r="Z2" s="65">
        <f>30/42</f>
        <v>0.7142857142857143</v>
      </c>
      <c r="AA2" s="119">
        <v>114</v>
      </c>
      <c r="AB2" s="119">
        <v>105.7</v>
      </c>
      <c r="AC2" s="119">
        <f t="shared" ref="AC2:AC9" si="1">AA2-AB2</f>
        <v>8.2999999999999972</v>
      </c>
      <c r="AD2" s="119">
        <v>29.1</v>
      </c>
      <c r="AE2" s="119">
        <v>20.5</v>
      </c>
      <c r="AF2" s="65">
        <v>0.58199999999999996</v>
      </c>
      <c r="AG2" s="119">
        <v>29.6</v>
      </c>
      <c r="AH2" s="119">
        <v>1.9</v>
      </c>
      <c r="AI2" s="119">
        <v>2</v>
      </c>
      <c r="AJ2" s="65">
        <v>0.153</v>
      </c>
      <c r="AK2" s="119">
        <v>3.4</v>
      </c>
      <c r="AL2" s="119">
        <v>1.1000000000000001</v>
      </c>
      <c r="AM2" s="119">
        <v>2</v>
      </c>
      <c r="AN2" s="119">
        <v>14.4</v>
      </c>
    </row>
    <row r="3" spans="1:45" x14ac:dyDescent="0.2">
      <c r="A3" s="3">
        <v>2</v>
      </c>
      <c r="B3" s="3" t="s">
        <v>1012</v>
      </c>
      <c r="C3" s="3" t="s">
        <v>241</v>
      </c>
      <c r="D3" s="105">
        <v>67</v>
      </c>
      <c r="E3" s="105">
        <v>73</v>
      </c>
      <c r="F3" s="106">
        <v>225</v>
      </c>
      <c r="G3" s="4">
        <v>33418</v>
      </c>
      <c r="H3" s="110">
        <f t="shared" ca="1" si="0"/>
        <v>29.4</v>
      </c>
      <c r="I3" s="3" t="s">
        <v>507</v>
      </c>
      <c r="J3" s="3">
        <v>10</v>
      </c>
      <c r="K3" s="109">
        <v>2011</v>
      </c>
      <c r="L3" s="109">
        <v>15</v>
      </c>
      <c r="M3" s="3" t="s">
        <v>685</v>
      </c>
      <c r="N3" s="3" t="s">
        <v>279</v>
      </c>
      <c r="O3" s="3" t="s">
        <v>2047</v>
      </c>
      <c r="P3" s="11">
        <v>34379100</v>
      </c>
      <c r="Q3" s="47">
        <v>36016200</v>
      </c>
      <c r="R3" s="14">
        <v>45937500</v>
      </c>
      <c r="S3" s="12"/>
      <c r="T3" s="59"/>
      <c r="U3" s="59"/>
      <c r="V3" s="59" t="s">
        <v>347</v>
      </c>
      <c r="W3" t="s">
        <v>1013</v>
      </c>
      <c r="X3" s="69">
        <v>3</v>
      </c>
      <c r="Y3" s="69">
        <v>51</v>
      </c>
      <c r="Z3" s="65">
        <f>38/51</f>
        <v>0.74509803921568629</v>
      </c>
      <c r="AA3" s="119">
        <v>115.7</v>
      </c>
      <c r="AB3" s="119">
        <v>104.3</v>
      </c>
      <c r="AC3" s="119">
        <f t="shared" si="1"/>
        <v>11.400000000000006</v>
      </c>
      <c r="AD3" s="119">
        <v>32.200000000000003</v>
      </c>
      <c r="AE3" s="119">
        <v>26.7</v>
      </c>
      <c r="AF3" s="65">
        <v>0.58499999999999996</v>
      </c>
      <c r="AG3" s="119">
        <v>33.200000000000003</v>
      </c>
      <c r="AH3" s="119">
        <v>4.5999999999999996</v>
      </c>
      <c r="AI3" s="119">
        <v>3</v>
      </c>
      <c r="AJ3" s="65">
        <v>0.222</v>
      </c>
      <c r="AK3" s="119">
        <v>6.5</v>
      </c>
      <c r="AL3" s="119">
        <v>2.5</v>
      </c>
      <c r="AM3" s="119">
        <v>4.5999999999999996</v>
      </c>
      <c r="AN3" s="119">
        <v>19.3</v>
      </c>
    </row>
    <row r="4" spans="1:45" x14ac:dyDescent="0.2">
      <c r="A4" s="3">
        <v>31</v>
      </c>
      <c r="B4" s="3" t="s">
        <v>72</v>
      </c>
      <c r="C4" s="3" t="s">
        <v>234</v>
      </c>
      <c r="D4" s="105">
        <v>68</v>
      </c>
      <c r="E4" s="105">
        <v>610</v>
      </c>
      <c r="F4" s="106">
        <v>218</v>
      </c>
      <c r="G4" s="4">
        <v>32753</v>
      </c>
      <c r="H4" s="110">
        <f t="shared" ca="1" si="0"/>
        <v>31.2</v>
      </c>
      <c r="I4" s="3" t="s">
        <v>498</v>
      </c>
      <c r="J4" s="3">
        <v>10</v>
      </c>
      <c r="K4" s="109">
        <v>2011</v>
      </c>
      <c r="L4" s="109">
        <v>14</v>
      </c>
      <c r="M4" s="3" t="s">
        <v>1014</v>
      </c>
      <c r="N4" s="3" t="s">
        <v>56</v>
      </c>
      <c r="O4" s="3" t="s">
        <v>2476</v>
      </c>
      <c r="P4" s="72">
        <v>14883721</v>
      </c>
      <c r="Q4" s="72">
        <v>15627907</v>
      </c>
      <c r="R4" s="72">
        <v>16372093</v>
      </c>
      <c r="S4" s="16">
        <v>17116279</v>
      </c>
      <c r="T4" s="14">
        <f>S4*1.5</f>
        <v>25674418.5</v>
      </c>
      <c r="U4" s="59"/>
      <c r="W4" t="s">
        <v>1015</v>
      </c>
      <c r="X4" s="69">
        <v>4</v>
      </c>
      <c r="Y4" s="69">
        <v>12</v>
      </c>
      <c r="Z4" s="65">
        <f>8/12</f>
        <v>0.66666666666666663</v>
      </c>
      <c r="AA4" s="119">
        <v>115.8</v>
      </c>
      <c r="AB4" s="119">
        <v>102.8</v>
      </c>
      <c r="AC4" s="119">
        <f t="shared" si="1"/>
        <v>13</v>
      </c>
      <c r="AD4" s="119">
        <v>28.4</v>
      </c>
      <c r="AE4" s="119">
        <v>7.7</v>
      </c>
      <c r="AF4" s="65">
        <v>0.48</v>
      </c>
      <c r="AG4" s="119">
        <v>16.399999999999999</v>
      </c>
      <c r="AH4" s="119">
        <v>-0.2</v>
      </c>
      <c r="AI4" s="119">
        <v>0.4</v>
      </c>
      <c r="AJ4" s="65">
        <v>3.3000000000000002E-2</v>
      </c>
      <c r="AK4" s="119">
        <v>-3.1</v>
      </c>
      <c r="AL4" s="119">
        <v>0.5</v>
      </c>
      <c r="AM4" s="119">
        <v>-0.1</v>
      </c>
      <c r="AN4" s="119">
        <v>5.2</v>
      </c>
    </row>
    <row r="5" spans="1:45" x14ac:dyDescent="0.2">
      <c r="A5" s="3">
        <v>21</v>
      </c>
      <c r="B5" s="3" t="s">
        <v>1016</v>
      </c>
      <c r="C5" s="3" t="s">
        <v>247</v>
      </c>
      <c r="D5" s="105">
        <v>61</v>
      </c>
      <c r="E5" s="105">
        <v>67</v>
      </c>
      <c r="F5" s="106">
        <v>180</v>
      </c>
      <c r="G5" s="4">
        <v>32336</v>
      </c>
      <c r="H5" s="110">
        <f t="shared" ca="1" si="0"/>
        <v>32.299999999999997</v>
      </c>
      <c r="I5" s="3" t="s">
        <v>1017</v>
      </c>
      <c r="J5" s="3">
        <v>9</v>
      </c>
      <c r="K5" s="109">
        <v>2009</v>
      </c>
      <c r="L5" s="109">
        <v>42</v>
      </c>
      <c r="M5" s="3" t="s">
        <v>1018</v>
      </c>
      <c r="N5" s="3" t="s">
        <v>1</v>
      </c>
      <c r="O5" s="3" t="s">
        <v>2048</v>
      </c>
      <c r="P5" s="11">
        <v>13333333</v>
      </c>
      <c r="Q5" s="11">
        <v>14320987</v>
      </c>
      <c r="R5" s="14">
        <f>Q5*1.5</f>
        <v>21481480.5</v>
      </c>
      <c r="S5" s="12"/>
      <c r="T5" s="59"/>
      <c r="U5" s="59"/>
      <c r="W5" t="s">
        <v>1019</v>
      </c>
      <c r="X5" s="69">
        <v>1</v>
      </c>
      <c r="Y5" s="69">
        <v>48</v>
      </c>
      <c r="Z5" s="65">
        <f>37/48</f>
        <v>0.77083333333333337</v>
      </c>
      <c r="AA5" s="119">
        <v>113.7</v>
      </c>
      <c r="AB5" s="119">
        <v>104</v>
      </c>
      <c r="AC5" s="119">
        <f t="shared" si="1"/>
        <v>9.7000000000000028</v>
      </c>
      <c r="AD5" s="119">
        <v>27.1</v>
      </c>
      <c r="AE5" s="119">
        <v>12.3</v>
      </c>
      <c r="AF5" s="65">
        <v>0.55400000000000005</v>
      </c>
      <c r="AG5" s="119">
        <v>13</v>
      </c>
      <c r="AH5" s="119">
        <v>1.4</v>
      </c>
      <c r="AI5" s="119">
        <v>2</v>
      </c>
      <c r="AJ5" s="65">
        <v>0.126</v>
      </c>
      <c r="AK5" s="119">
        <v>-0.5</v>
      </c>
      <c r="AL5" s="119">
        <v>2.6</v>
      </c>
      <c r="AM5" s="119">
        <v>1.3</v>
      </c>
      <c r="AN5" s="119">
        <v>8.8000000000000007</v>
      </c>
    </row>
    <row r="6" spans="1:45" x14ac:dyDescent="0.2">
      <c r="A6" s="3">
        <v>9</v>
      </c>
      <c r="B6" s="3" t="s">
        <v>169</v>
      </c>
      <c r="C6" s="3" t="s">
        <v>234</v>
      </c>
      <c r="D6" s="105">
        <v>70</v>
      </c>
      <c r="E6" s="105">
        <v>73</v>
      </c>
      <c r="F6" s="106">
        <v>235</v>
      </c>
      <c r="G6" s="4">
        <v>32769</v>
      </c>
      <c r="H6" s="110">
        <f t="shared" ca="1" si="0"/>
        <v>31.1</v>
      </c>
      <c r="I6" s="3" t="s">
        <v>1701</v>
      </c>
      <c r="J6" s="3">
        <v>12</v>
      </c>
      <c r="K6" s="3">
        <v>2008</v>
      </c>
      <c r="L6" s="3">
        <v>24</v>
      </c>
      <c r="M6" s="3" t="s">
        <v>2558</v>
      </c>
      <c r="N6" s="3" t="s">
        <v>495</v>
      </c>
      <c r="O6" s="11" t="s">
        <v>2454</v>
      </c>
      <c r="P6" s="11">
        <f>9258000</f>
        <v>9258000</v>
      </c>
      <c r="Q6" s="47">
        <f>P6*1.05</f>
        <v>9720900</v>
      </c>
      <c r="R6" s="14">
        <f>Q6*1.3</f>
        <v>12637170</v>
      </c>
      <c r="S6" s="237"/>
      <c r="T6" s="237"/>
      <c r="U6" s="237"/>
      <c r="V6" s="237"/>
      <c r="W6" s="5" t="s">
        <v>238</v>
      </c>
      <c r="X6" s="107">
        <v>5</v>
      </c>
      <c r="Y6" s="107">
        <v>50</v>
      </c>
      <c r="Z6" s="41">
        <f>36/50</f>
        <v>0.72</v>
      </c>
      <c r="AA6" s="110">
        <v>109.5</v>
      </c>
      <c r="AB6" s="110">
        <v>105</v>
      </c>
      <c r="AC6" s="110">
        <f t="shared" si="1"/>
        <v>4.5</v>
      </c>
      <c r="AD6" s="110">
        <v>27.5</v>
      </c>
      <c r="AE6" s="110">
        <v>18</v>
      </c>
      <c r="AF6" s="41">
        <v>0.59299999999999997</v>
      </c>
      <c r="AG6" s="110">
        <v>24.1</v>
      </c>
      <c r="AH6" s="110">
        <v>1.5</v>
      </c>
      <c r="AI6" s="110">
        <v>2.4</v>
      </c>
      <c r="AJ6" s="41">
        <v>0.13600000000000001</v>
      </c>
      <c r="AK6" s="110">
        <v>0.5</v>
      </c>
      <c r="AL6" s="110">
        <v>-0.1</v>
      </c>
      <c r="AM6" s="110">
        <v>0.9</v>
      </c>
      <c r="AN6" s="110">
        <v>12.8</v>
      </c>
      <c r="AO6" s="3"/>
      <c r="AP6" s="3"/>
      <c r="AQ6" s="3"/>
    </row>
    <row r="7" spans="1:45" x14ac:dyDescent="0.2">
      <c r="A7" s="3">
        <v>23</v>
      </c>
      <c r="B7" s="3" t="s">
        <v>1020</v>
      </c>
      <c r="C7" s="3" t="s">
        <v>230</v>
      </c>
      <c r="D7" s="105">
        <v>61</v>
      </c>
      <c r="E7" s="105"/>
      <c r="F7" s="106">
        <v>175</v>
      </c>
      <c r="G7" s="4">
        <v>31712</v>
      </c>
      <c r="H7" s="110">
        <f t="shared" ca="1" si="0"/>
        <v>34</v>
      </c>
      <c r="I7" s="3" t="s">
        <v>1021</v>
      </c>
      <c r="J7" s="3">
        <v>16</v>
      </c>
      <c r="K7" s="109">
        <v>2005</v>
      </c>
      <c r="L7" s="109">
        <v>45</v>
      </c>
      <c r="M7" s="3" t="s">
        <v>1018</v>
      </c>
      <c r="N7" s="3" t="s">
        <v>1</v>
      </c>
      <c r="O7" s="3" t="s">
        <v>2049</v>
      </c>
      <c r="P7" s="11">
        <v>8000000</v>
      </c>
      <c r="Q7" s="14">
        <f>P7*1.9</f>
        <v>15200000</v>
      </c>
      <c r="R7" s="12"/>
      <c r="S7" s="12"/>
      <c r="T7" s="59"/>
      <c r="U7" s="59"/>
      <c r="W7" t="s">
        <v>1022</v>
      </c>
      <c r="X7" s="69">
        <v>1</v>
      </c>
      <c r="Y7" s="69">
        <v>60</v>
      </c>
      <c r="Z7" s="65">
        <f>41/60</f>
        <v>0.68333333333333335</v>
      </c>
      <c r="AA7" s="119">
        <v>111.1</v>
      </c>
      <c r="AB7" s="119">
        <v>106.6</v>
      </c>
      <c r="AC7" s="119">
        <f t="shared" si="1"/>
        <v>4.5</v>
      </c>
      <c r="AD7" s="119">
        <v>29.3</v>
      </c>
      <c r="AE7" s="119">
        <v>17.2</v>
      </c>
      <c r="AF7" s="65">
        <v>0.54600000000000004</v>
      </c>
      <c r="AG7" s="119">
        <v>28.3</v>
      </c>
      <c r="AH7" s="119">
        <v>2.2000000000000002</v>
      </c>
      <c r="AI7" s="119">
        <v>1.7</v>
      </c>
      <c r="AJ7" s="65">
        <v>0.107</v>
      </c>
      <c r="AK7" s="119">
        <v>2.1</v>
      </c>
      <c r="AL7" s="119">
        <v>-1.4</v>
      </c>
      <c r="AM7" s="119">
        <v>1.2</v>
      </c>
      <c r="AN7" s="119">
        <v>12.4</v>
      </c>
    </row>
    <row r="8" spans="1:45" x14ac:dyDescent="0.2">
      <c r="A8" s="3">
        <v>40</v>
      </c>
      <c r="B8" s="3" t="s">
        <v>1023</v>
      </c>
      <c r="C8" s="3" t="s">
        <v>234</v>
      </c>
      <c r="D8" s="105">
        <v>70</v>
      </c>
      <c r="E8" s="105">
        <v>74</v>
      </c>
      <c r="F8" s="106">
        <v>240</v>
      </c>
      <c r="G8" s="4">
        <v>35507</v>
      </c>
      <c r="H8" s="110">
        <f t="shared" ca="1" si="0"/>
        <v>23.6</v>
      </c>
      <c r="I8" s="3" t="s">
        <v>445</v>
      </c>
      <c r="J8" s="3">
        <v>5</v>
      </c>
      <c r="K8" s="109">
        <v>2016</v>
      </c>
      <c r="L8" s="109">
        <v>32</v>
      </c>
      <c r="M8" s="3" t="s">
        <v>1024</v>
      </c>
      <c r="N8" s="3" t="s">
        <v>1</v>
      </c>
      <c r="O8" s="3" t="s">
        <v>2050</v>
      </c>
      <c r="P8" s="11">
        <v>7000000</v>
      </c>
      <c r="Q8" s="11">
        <v>7518518</v>
      </c>
      <c r="R8" s="48">
        <v>7518518</v>
      </c>
      <c r="S8" s="14">
        <f>R8*1.9</f>
        <v>14285184.199999999</v>
      </c>
      <c r="T8" s="59"/>
      <c r="U8" s="59"/>
      <c r="W8" s="132" t="s">
        <v>238</v>
      </c>
      <c r="X8" s="69">
        <v>5</v>
      </c>
      <c r="Y8" s="69">
        <v>64</v>
      </c>
      <c r="Z8" s="65">
        <f>44/64</f>
        <v>0.6875</v>
      </c>
      <c r="AA8" s="119">
        <v>112</v>
      </c>
      <c r="AB8" s="119">
        <v>104.1</v>
      </c>
      <c r="AC8" s="119">
        <f t="shared" si="1"/>
        <v>7.9000000000000057</v>
      </c>
      <c r="AD8" s="119">
        <v>18.100000000000001</v>
      </c>
      <c r="AE8" s="119">
        <v>21</v>
      </c>
      <c r="AF8" s="65">
        <v>0.64200000000000002</v>
      </c>
      <c r="AG8" s="119">
        <v>16.2</v>
      </c>
      <c r="AH8" s="119">
        <v>3.6</v>
      </c>
      <c r="AI8" s="119">
        <v>2</v>
      </c>
      <c r="AJ8" s="65">
        <v>0.23100000000000001</v>
      </c>
      <c r="AK8" s="119">
        <v>1.5</v>
      </c>
      <c r="AL8" s="119">
        <v>1</v>
      </c>
      <c r="AM8" s="119">
        <v>1.3</v>
      </c>
      <c r="AN8" s="119">
        <v>13.9</v>
      </c>
    </row>
    <row r="9" spans="1:45" x14ac:dyDescent="0.2">
      <c r="A9" s="3">
        <v>5</v>
      </c>
      <c r="B9" s="3" t="s">
        <v>793</v>
      </c>
      <c r="C9" s="3" t="s">
        <v>252</v>
      </c>
      <c r="D9" s="105">
        <v>65</v>
      </c>
      <c r="E9" s="105">
        <v>65</v>
      </c>
      <c r="F9" s="106">
        <v>206</v>
      </c>
      <c r="G9" s="4">
        <v>35240</v>
      </c>
      <c r="H9" s="110">
        <f t="shared" ca="1" si="0"/>
        <v>24.4</v>
      </c>
      <c r="I9" s="3" t="s">
        <v>253</v>
      </c>
      <c r="J9" s="3">
        <v>4</v>
      </c>
      <c r="K9" s="109">
        <v>2017</v>
      </c>
      <c r="L9" s="109">
        <v>12</v>
      </c>
      <c r="M9" s="3" t="s">
        <v>2477</v>
      </c>
      <c r="N9" s="3" t="s">
        <v>2295</v>
      </c>
      <c r="O9" s="3" t="s">
        <v>2018</v>
      </c>
      <c r="P9" s="11">
        <v>5273826</v>
      </c>
      <c r="Q9" s="49">
        <f>P9*3</f>
        <v>15821478</v>
      </c>
      <c r="R9" s="12"/>
      <c r="S9" s="12"/>
      <c r="T9" s="28"/>
      <c r="U9" s="59"/>
      <c r="V9" s="59"/>
      <c r="W9" s="59" t="s">
        <v>794</v>
      </c>
      <c r="X9" s="69">
        <v>2</v>
      </c>
      <c r="Y9" s="69">
        <v>28</v>
      </c>
      <c r="Z9" s="65">
        <f>11/28</f>
        <v>0.39285714285714285</v>
      </c>
      <c r="AA9" s="119">
        <v>109.2</v>
      </c>
      <c r="AB9" s="119">
        <v>111.3</v>
      </c>
      <c r="AC9" s="119">
        <f t="shared" si="1"/>
        <v>-2.0999999999999943</v>
      </c>
      <c r="AD9" s="119">
        <v>32.9</v>
      </c>
      <c r="AE9" s="119">
        <v>14.4</v>
      </c>
      <c r="AF9" s="65">
        <v>0.58899999999999997</v>
      </c>
      <c r="AG9" s="119">
        <v>19.8</v>
      </c>
      <c r="AH9" s="119">
        <v>1.6</v>
      </c>
      <c r="AI9" s="119">
        <v>0.3</v>
      </c>
      <c r="AJ9" s="65">
        <v>0.1</v>
      </c>
      <c r="AK9" s="119">
        <v>1.1000000000000001</v>
      </c>
      <c r="AL9" s="119">
        <v>-1.4</v>
      </c>
      <c r="AM9" s="119">
        <v>0.4</v>
      </c>
      <c r="AN9" s="119">
        <v>9.8000000000000007</v>
      </c>
      <c r="AO9" s="59"/>
    </row>
    <row r="10" spans="1:45" x14ac:dyDescent="0.2">
      <c r="A10" s="3">
        <v>55</v>
      </c>
      <c r="B10" s="3" t="s">
        <v>1047</v>
      </c>
      <c r="C10" s="3" t="s">
        <v>234</v>
      </c>
      <c r="D10" s="105">
        <v>611</v>
      </c>
      <c r="E10" s="105">
        <v>71</v>
      </c>
      <c r="F10" s="106">
        <v>232</v>
      </c>
      <c r="G10" s="4">
        <v>31103</v>
      </c>
      <c r="H10" s="110">
        <f t="shared" ca="1" si="0"/>
        <v>35.700000000000003</v>
      </c>
      <c r="I10" s="3" t="s">
        <v>449</v>
      </c>
      <c r="J10" s="3">
        <v>14</v>
      </c>
      <c r="K10" s="109">
        <v>2007</v>
      </c>
      <c r="L10" s="109">
        <v>9</v>
      </c>
      <c r="M10" s="3" t="s">
        <v>1865</v>
      </c>
      <c r="N10" s="3" t="s">
        <v>276</v>
      </c>
      <c r="O10" s="159" t="s">
        <v>1864</v>
      </c>
      <c r="P10" s="15">
        <v>2692991</v>
      </c>
      <c r="Q10" s="51">
        <v>1856061</v>
      </c>
      <c r="R10" s="12"/>
      <c r="S10" s="12"/>
      <c r="T10" s="70"/>
      <c r="U10" s="70"/>
      <c r="V10" s="155"/>
      <c r="W10" s="155"/>
      <c r="X10" s="101"/>
      <c r="Y10" s="101"/>
      <c r="Z10" s="163"/>
      <c r="AA10" s="162"/>
      <c r="AB10" s="162"/>
      <c r="AC10" s="162"/>
      <c r="AD10" s="162"/>
      <c r="AE10" s="162"/>
      <c r="AF10" s="163"/>
      <c r="AG10" s="162"/>
      <c r="AH10" s="162"/>
      <c r="AI10" s="162"/>
      <c r="AJ10" s="163"/>
      <c r="AK10" s="162"/>
      <c r="AL10" s="162"/>
      <c r="AM10" s="162"/>
      <c r="AN10" s="162"/>
      <c r="AO10" s="155"/>
      <c r="AP10" s="155"/>
      <c r="AQ10" s="155"/>
      <c r="AR10" s="155"/>
      <c r="AS10" s="155"/>
    </row>
    <row r="11" spans="1:45" x14ac:dyDescent="0.2">
      <c r="A11" s="3">
        <v>25</v>
      </c>
      <c r="B11" s="3" t="s">
        <v>1034</v>
      </c>
      <c r="C11" s="3" t="s">
        <v>234</v>
      </c>
      <c r="D11" s="105">
        <v>69</v>
      </c>
      <c r="E11" s="105">
        <v>73</v>
      </c>
      <c r="F11" s="106">
        <v>250</v>
      </c>
      <c r="G11" s="4">
        <v>35656</v>
      </c>
      <c r="H11" s="110">
        <f t="shared" ca="1" si="0"/>
        <v>23.2</v>
      </c>
      <c r="I11" s="3" t="s">
        <v>494</v>
      </c>
      <c r="J11" s="3">
        <v>2</v>
      </c>
      <c r="K11" s="109">
        <v>2019</v>
      </c>
      <c r="L11" s="109">
        <v>27</v>
      </c>
      <c r="M11" s="3" t="s">
        <v>1035</v>
      </c>
      <c r="N11" s="3" t="s">
        <v>244</v>
      </c>
      <c r="O11" s="11" t="s">
        <v>1896</v>
      </c>
      <c r="P11" s="11">
        <v>2075880</v>
      </c>
      <c r="Q11" s="50">
        <v>2174800</v>
      </c>
      <c r="R11" s="50">
        <v>3923484</v>
      </c>
      <c r="S11" s="49">
        <f>R11*3</f>
        <v>11770452</v>
      </c>
      <c r="T11" s="59"/>
      <c r="U11" s="59"/>
      <c r="W11" t="s">
        <v>1036</v>
      </c>
      <c r="X11" s="69">
        <v>5</v>
      </c>
      <c r="Y11" s="69">
        <v>12</v>
      </c>
      <c r="Z11" s="65">
        <f>9/12</f>
        <v>0.75</v>
      </c>
      <c r="AA11" s="119">
        <v>104.4</v>
      </c>
      <c r="AB11" s="119">
        <v>103.6</v>
      </c>
      <c r="AC11" s="119">
        <f t="shared" ref="AC11:AC14" si="2">AA11-AB11</f>
        <v>0.80000000000001137</v>
      </c>
      <c r="AD11" s="119">
        <v>5.4</v>
      </c>
      <c r="AE11" s="119">
        <v>18.2</v>
      </c>
      <c r="AF11" s="65">
        <v>0.61399999999999999</v>
      </c>
      <c r="AG11" s="119">
        <v>23.5</v>
      </c>
      <c r="AH11" s="119">
        <v>0.1</v>
      </c>
      <c r="AI11" s="119">
        <v>0.1</v>
      </c>
      <c r="AJ11" s="65">
        <v>0.17499999999999999</v>
      </c>
      <c r="AK11" s="119">
        <v>2.2000000000000002</v>
      </c>
      <c r="AL11" s="119">
        <v>-0.1</v>
      </c>
      <c r="AM11" s="119">
        <v>0.1</v>
      </c>
      <c r="AN11" s="119">
        <v>11.2</v>
      </c>
    </row>
    <row r="12" spans="1:45" x14ac:dyDescent="0.2">
      <c r="A12" s="3">
        <v>54</v>
      </c>
      <c r="B12" s="3" t="s">
        <v>75</v>
      </c>
      <c r="C12" s="3" t="s">
        <v>234</v>
      </c>
      <c r="D12" s="105">
        <v>68</v>
      </c>
      <c r="E12" s="105">
        <v>72</v>
      </c>
      <c r="F12" s="106">
        <v>235</v>
      </c>
      <c r="G12" s="4">
        <v>32581</v>
      </c>
      <c r="H12" s="110">
        <f t="shared" ca="1" si="0"/>
        <v>31.7</v>
      </c>
      <c r="I12" s="3" t="s">
        <v>266</v>
      </c>
      <c r="J12" s="3">
        <v>11</v>
      </c>
      <c r="K12" s="109">
        <v>2010</v>
      </c>
      <c r="L12" s="109">
        <v>14</v>
      </c>
      <c r="M12" s="3" t="s">
        <v>1037</v>
      </c>
      <c r="N12" s="3" t="s">
        <v>276</v>
      </c>
      <c r="O12" s="3" t="s">
        <v>2438</v>
      </c>
      <c r="P12" s="16">
        <v>1620564</v>
      </c>
      <c r="Q12" s="236"/>
      <c r="R12" s="12"/>
      <c r="S12" s="12"/>
      <c r="T12" s="59"/>
      <c r="U12" s="59"/>
      <c r="W12" t="s">
        <v>781</v>
      </c>
      <c r="X12" s="69">
        <v>4</v>
      </c>
      <c r="Y12" s="69">
        <v>51</v>
      </c>
      <c r="Z12" s="65">
        <f>34/51</f>
        <v>0.66666666666666663</v>
      </c>
      <c r="AA12" s="119">
        <v>108.1</v>
      </c>
      <c r="AB12" s="119">
        <v>103.6</v>
      </c>
      <c r="AC12" s="119">
        <f t="shared" ref="AC12" si="3">AA12-AB12</f>
        <v>4.5</v>
      </c>
      <c r="AD12" s="119">
        <v>11.9</v>
      </c>
      <c r="AE12" s="119">
        <v>11.7</v>
      </c>
      <c r="AF12" s="65">
        <v>0.57599999999999996</v>
      </c>
      <c r="AG12" s="119">
        <v>15.1</v>
      </c>
      <c r="AH12" s="119">
        <v>0.9</v>
      </c>
      <c r="AI12" s="119">
        <v>0.6</v>
      </c>
      <c r="AJ12" s="65">
        <v>0.11799999999999999</v>
      </c>
      <c r="AK12" s="119">
        <v>0.9</v>
      </c>
      <c r="AL12" s="119">
        <v>-0.5</v>
      </c>
      <c r="AM12" s="119">
        <v>0.4</v>
      </c>
      <c r="AN12" s="119">
        <v>8.6</v>
      </c>
      <c r="AO12" s="59"/>
      <c r="AP12" s="59"/>
      <c r="AQ12" s="59"/>
    </row>
    <row r="13" spans="1:45" x14ac:dyDescent="0.2">
      <c r="A13" s="3">
        <v>14</v>
      </c>
      <c r="B13" s="3" t="s">
        <v>1038</v>
      </c>
      <c r="C13" s="3" t="s">
        <v>252</v>
      </c>
      <c r="D13" s="105">
        <v>65</v>
      </c>
      <c r="E13" s="105">
        <v>68</v>
      </c>
      <c r="F13" s="106">
        <v>215</v>
      </c>
      <c r="G13" s="4">
        <v>35356</v>
      </c>
      <c r="H13" s="110">
        <f t="shared" ca="1" si="0"/>
        <v>24.1</v>
      </c>
      <c r="I13" s="3" t="s">
        <v>494</v>
      </c>
      <c r="J13" s="3">
        <v>2</v>
      </c>
      <c r="K13" s="109">
        <v>2019</v>
      </c>
      <c r="L13" s="109">
        <v>48</v>
      </c>
      <c r="M13" s="3" t="s">
        <v>1039</v>
      </c>
      <c r="N13" s="3" t="s">
        <v>279</v>
      </c>
      <c r="O13" s="11" t="s">
        <v>1897</v>
      </c>
      <c r="P13" s="11">
        <v>1517981</v>
      </c>
      <c r="Q13" s="15">
        <v>1782621</v>
      </c>
      <c r="R13" s="15">
        <v>1930681</v>
      </c>
      <c r="S13" s="14">
        <v>2046307</v>
      </c>
      <c r="T13" s="59"/>
      <c r="U13" s="59"/>
      <c r="W13" t="s">
        <v>1040</v>
      </c>
      <c r="X13" s="69">
        <v>3</v>
      </c>
      <c r="Y13" s="69">
        <v>35</v>
      </c>
      <c r="Z13" s="65">
        <f>22/35</f>
        <v>0.62857142857142856</v>
      </c>
      <c r="AA13" s="119">
        <v>103.3</v>
      </c>
      <c r="AB13" s="119">
        <v>102.2</v>
      </c>
      <c r="AC13" s="119">
        <f t="shared" si="2"/>
        <v>1.0999999999999943</v>
      </c>
      <c r="AD13" s="119">
        <v>7.7</v>
      </c>
      <c r="AE13" s="119">
        <v>7.1</v>
      </c>
      <c r="AF13" s="65">
        <v>0.47199999999999998</v>
      </c>
      <c r="AG13" s="119">
        <v>11.2</v>
      </c>
      <c r="AH13" s="119">
        <v>0</v>
      </c>
      <c r="AI13" s="119">
        <v>0.3</v>
      </c>
      <c r="AJ13" s="65">
        <v>5.7000000000000002E-2</v>
      </c>
      <c r="AK13" s="119">
        <v>-4.7</v>
      </c>
      <c r="AL13" s="119">
        <v>1.2</v>
      </c>
      <c r="AM13" s="119">
        <v>-0.1</v>
      </c>
      <c r="AN13" s="119">
        <v>4.8</v>
      </c>
    </row>
    <row r="14" spans="1:45" x14ac:dyDescent="0.2">
      <c r="A14" s="3">
        <v>7</v>
      </c>
      <c r="B14" s="3" t="s">
        <v>1041</v>
      </c>
      <c r="C14" s="3" t="s">
        <v>252</v>
      </c>
      <c r="D14" s="105">
        <v>67</v>
      </c>
      <c r="E14" s="105">
        <v>67</v>
      </c>
      <c r="F14" s="106">
        <v>210</v>
      </c>
      <c r="G14" s="4">
        <v>35598</v>
      </c>
      <c r="H14" s="110">
        <f t="shared" ca="1" si="0"/>
        <v>23.4</v>
      </c>
      <c r="I14" s="3" t="s">
        <v>1042</v>
      </c>
      <c r="J14" s="3">
        <v>2</v>
      </c>
      <c r="K14" s="109">
        <v>2019</v>
      </c>
      <c r="L14" s="109"/>
      <c r="M14" s="3" t="s">
        <v>638</v>
      </c>
      <c r="N14" s="3" t="s">
        <v>288</v>
      </c>
      <c r="O14" s="3" t="s">
        <v>2650</v>
      </c>
      <c r="P14" s="3" t="s">
        <v>288</v>
      </c>
      <c r="Q14" s="52"/>
      <c r="R14" s="12"/>
      <c r="S14" s="12"/>
      <c r="T14" s="59"/>
      <c r="U14" s="59"/>
      <c r="W14" t="s">
        <v>1043</v>
      </c>
      <c r="X14" s="69">
        <v>3</v>
      </c>
      <c r="Y14" s="69">
        <v>13</v>
      </c>
      <c r="Z14" s="65">
        <f>7/13</f>
        <v>0.53846153846153844</v>
      </c>
      <c r="AA14" s="119">
        <v>106.5</v>
      </c>
      <c r="AB14" s="119">
        <v>109.8</v>
      </c>
      <c r="AC14" s="119">
        <f t="shared" si="2"/>
        <v>-3.2999999999999972</v>
      </c>
      <c r="AD14" s="119">
        <v>7.5</v>
      </c>
      <c r="AE14" s="119">
        <v>5.9</v>
      </c>
      <c r="AF14" s="65">
        <v>0.40799999999999997</v>
      </c>
      <c r="AG14" s="119">
        <v>15.8</v>
      </c>
      <c r="AH14" s="119">
        <v>-0.1</v>
      </c>
      <c r="AI14" s="119">
        <v>0.1</v>
      </c>
      <c r="AJ14" s="65">
        <v>8.9999999999999993E-3</v>
      </c>
      <c r="AK14" s="119">
        <v>-5.7</v>
      </c>
      <c r="AL14" s="119">
        <v>-1.1000000000000001</v>
      </c>
      <c r="AM14" s="119">
        <v>-0.1</v>
      </c>
      <c r="AN14" s="119">
        <v>3.4</v>
      </c>
    </row>
    <row r="15" spans="1:45" x14ac:dyDescent="0.2">
      <c r="A15" s="3"/>
      <c r="B15" s="3" t="s">
        <v>2372</v>
      </c>
      <c r="C15" s="3" t="s">
        <v>252</v>
      </c>
      <c r="D15" s="105">
        <v>66</v>
      </c>
      <c r="E15" s="105">
        <v>69</v>
      </c>
      <c r="F15" s="106">
        <v>200</v>
      </c>
      <c r="G15" s="4">
        <v>36770</v>
      </c>
      <c r="H15" s="110">
        <f t="shared" ca="1" si="0"/>
        <v>20.2</v>
      </c>
      <c r="I15" s="3" t="s">
        <v>2651</v>
      </c>
      <c r="J15" s="3">
        <v>1</v>
      </c>
      <c r="K15" s="54">
        <v>2020</v>
      </c>
      <c r="L15" s="109">
        <v>55</v>
      </c>
      <c r="M15" s="112" t="s">
        <v>2373</v>
      </c>
      <c r="N15" s="54" t="s">
        <v>288</v>
      </c>
      <c r="O15" s="178" t="s">
        <v>2516</v>
      </c>
      <c r="P15" s="22" t="s">
        <v>288</v>
      </c>
      <c r="Q15" s="52"/>
      <c r="R15" s="22"/>
      <c r="T15" s="59"/>
      <c r="U15" s="59"/>
      <c r="X15" s="69"/>
      <c r="Y15" s="69"/>
      <c r="Z15" s="65"/>
      <c r="AA15" s="119"/>
      <c r="AB15" s="119"/>
      <c r="AC15" s="119"/>
      <c r="AD15" s="119"/>
      <c r="AE15" s="119"/>
      <c r="AF15" s="65"/>
      <c r="AG15" s="119"/>
      <c r="AH15" s="119"/>
      <c r="AI15" s="119"/>
      <c r="AJ15" s="65"/>
      <c r="AK15" s="119"/>
      <c r="AL15" s="119"/>
      <c r="AM15" s="119"/>
      <c r="AN15" s="119"/>
    </row>
    <row r="16" spans="1:45" x14ac:dyDescent="0.2">
      <c r="A16" s="3"/>
      <c r="B16" s="3" t="s">
        <v>57</v>
      </c>
      <c r="C16" s="3" t="s">
        <v>247</v>
      </c>
      <c r="D16" s="105">
        <v>61</v>
      </c>
      <c r="E16" s="105">
        <v>67</v>
      </c>
      <c r="F16" s="106">
        <v>187</v>
      </c>
      <c r="G16" s="4">
        <v>35598</v>
      </c>
      <c r="H16" s="110">
        <f t="shared" ca="1" si="0"/>
        <v>23.4</v>
      </c>
      <c r="I16" s="3" t="s">
        <v>858</v>
      </c>
      <c r="J16" s="3">
        <v>2</v>
      </c>
      <c r="K16" s="109">
        <v>2019</v>
      </c>
      <c r="L16" s="109"/>
      <c r="M16" s="3" t="s">
        <v>2692</v>
      </c>
      <c r="N16" s="3" t="s">
        <v>2405</v>
      </c>
      <c r="O16" s="3" t="s">
        <v>2533</v>
      </c>
      <c r="P16" s="15">
        <v>898310</v>
      </c>
      <c r="Q16" s="52"/>
      <c r="R16" s="57"/>
      <c r="S16" s="3"/>
      <c r="T16" s="12"/>
      <c r="U16" s="59"/>
      <c r="V16" s="59"/>
      <c r="W16" s="71" t="s">
        <v>284</v>
      </c>
      <c r="X16" s="69">
        <v>1</v>
      </c>
      <c r="Y16" s="69">
        <v>45</v>
      </c>
      <c r="Z16" s="65">
        <f>9/45</f>
        <v>0.2</v>
      </c>
      <c r="AA16" s="119">
        <v>99.8</v>
      </c>
      <c r="AB16" s="119">
        <v>108.2</v>
      </c>
      <c r="AC16" s="119">
        <f t="shared" ref="AC16" si="4">AA16-AB16</f>
        <v>-8.4000000000000057</v>
      </c>
      <c r="AD16" s="119">
        <v>22.6</v>
      </c>
      <c r="AE16" s="119">
        <v>9.1999999999999993</v>
      </c>
      <c r="AF16" s="65">
        <v>0.49399999999999999</v>
      </c>
      <c r="AG16" s="119">
        <v>17.2</v>
      </c>
      <c r="AH16" s="119">
        <v>-0.6</v>
      </c>
      <c r="AI16" s="119">
        <v>0.6</v>
      </c>
      <c r="AJ16" s="65">
        <v>-3.0000000000000001E-3</v>
      </c>
      <c r="AK16" s="119">
        <v>-4</v>
      </c>
      <c r="AL16" s="119">
        <v>-0.3</v>
      </c>
      <c r="AM16" s="119">
        <v>-0.6</v>
      </c>
      <c r="AN16" s="119">
        <v>6.7</v>
      </c>
    </row>
    <row r="17" spans="1:40" x14ac:dyDescent="0.2">
      <c r="A17" s="3"/>
      <c r="B17" s="3" t="s">
        <v>2404</v>
      </c>
      <c r="C17" s="3" t="s">
        <v>247</v>
      </c>
      <c r="D17" s="105">
        <v>60</v>
      </c>
      <c r="E17" s="105"/>
      <c r="F17" s="106">
        <v>180</v>
      </c>
      <c r="G17" s="4">
        <v>35472</v>
      </c>
      <c r="H17" s="110">
        <f t="shared" ca="1" si="0"/>
        <v>23.7</v>
      </c>
      <c r="I17" s="3" t="s">
        <v>425</v>
      </c>
      <c r="J17" s="3">
        <v>1</v>
      </c>
      <c r="K17" s="109">
        <v>2020</v>
      </c>
      <c r="L17" s="109"/>
      <c r="M17" s="3" t="s">
        <v>2436</v>
      </c>
      <c r="N17" s="3" t="s">
        <v>2405</v>
      </c>
      <c r="O17" s="3" t="s">
        <v>2533</v>
      </c>
      <c r="P17" s="15">
        <v>898310</v>
      </c>
      <c r="Q17" s="52"/>
      <c r="R17" s="12"/>
      <c r="S17" s="12"/>
      <c r="T17" s="59"/>
      <c r="U17" s="59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59"/>
      <c r="B18" s="59" t="s">
        <v>290</v>
      </c>
      <c r="C18" s="59"/>
      <c r="D18" s="59"/>
      <c r="E18" s="59"/>
      <c r="F18" s="59"/>
      <c r="G18" s="59"/>
      <c r="H18" s="110"/>
      <c r="I18" s="59"/>
      <c r="J18" s="59"/>
      <c r="K18" s="117"/>
      <c r="L18" s="117"/>
      <c r="M18" s="78"/>
      <c r="N18" s="78"/>
      <c r="O18" s="78"/>
      <c r="P18" s="60"/>
      <c r="Q18" s="59"/>
      <c r="R18" s="59"/>
      <c r="S18" s="59"/>
      <c r="T18" s="59"/>
      <c r="U18" s="59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59"/>
      <c r="B19" s="3" t="s">
        <v>2327</v>
      </c>
      <c r="C19" s="59" t="s">
        <v>234</v>
      </c>
      <c r="D19" s="105">
        <v>610</v>
      </c>
      <c r="E19" s="105">
        <v>72</v>
      </c>
      <c r="F19" s="106">
        <v>240</v>
      </c>
      <c r="G19" s="62">
        <v>36423</v>
      </c>
      <c r="H19" s="110">
        <f ca="1">ROUNDDOWN(YEARFRAC($G$25,G19),1)</f>
        <v>21.1</v>
      </c>
      <c r="I19" s="59" t="s">
        <v>1042</v>
      </c>
      <c r="J19" s="59">
        <v>1</v>
      </c>
      <c r="K19" s="59">
        <v>2020</v>
      </c>
      <c r="L19" s="59">
        <v>33</v>
      </c>
      <c r="M19" s="59" t="s">
        <v>2328</v>
      </c>
      <c r="N19" s="59"/>
      <c r="O19" s="59"/>
      <c r="P19" s="11">
        <v>898310</v>
      </c>
      <c r="Q19" s="237"/>
      <c r="R19" s="237"/>
      <c r="S19" s="237"/>
      <c r="T19" s="237"/>
      <c r="U19" s="59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B20" s="71"/>
      <c r="K20" s="117"/>
      <c r="L20" s="117"/>
      <c r="M20" s="75"/>
      <c r="N20" s="75"/>
      <c r="O20" s="75"/>
      <c r="P20" s="60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3">
        <v>1</v>
      </c>
      <c r="B21" s="3" t="s">
        <v>76</v>
      </c>
      <c r="C21" s="3" t="s">
        <v>252</v>
      </c>
      <c r="D21" s="105">
        <v>63</v>
      </c>
      <c r="E21" s="105">
        <v>70</v>
      </c>
      <c r="F21" s="106">
        <v>208</v>
      </c>
      <c r="G21" s="4">
        <v>32979</v>
      </c>
      <c r="H21" s="110">
        <f ca="1">ROUNDDOWN(YEARFRAC($G$25,G21),1)</f>
        <v>30.6</v>
      </c>
      <c r="I21" s="3" t="s">
        <v>858</v>
      </c>
      <c r="J21" s="3">
        <v>10</v>
      </c>
      <c r="K21" s="109">
        <v>2011</v>
      </c>
      <c r="L21" s="109">
        <v>24</v>
      </c>
      <c r="M21" s="3" t="s">
        <v>926</v>
      </c>
      <c r="N21" s="3"/>
      <c r="O21" s="3"/>
      <c r="P21" s="14">
        <v>1620564</v>
      </c>
      <c r="Q21" s="12"/>
      <c r="R21" s="12"/>
      <c r="S21" s="12"/>
      <c r="T21" s="59"/>
      <c r="U21" s="59"/>
      <c r="W21" t="s">
        <v>820</v>
      </c>
      <c r="X21" s="69">
        <v>1</v>
      </c>
      <c r="Y21" s="69">
        <v>9</v>
      </c>
      <c r="Z21" s="65">
        <f>7/9</f>
        <v>0.77777777777777779</v>
      </c>
      <c r="AA21" s="119">
        <v>117.2</v>
      </c>
      <c r="AB21" s="119">
        <v>106</v>
      </c>
      <c r="AC21" s="119">
        <f t="shared" ref="AC21:AC22" si="5">AA21-AB21</f>
        <v>11.200000000000003</v>
      </c>
      <c r="AD21" s="119">
        <v>19.5</v>
      </c>
      <c r="AE21" s="119">
        <v>15.6</v>
      </c>
      <c r="AF21" s="65">
        <v>0.67</v>
      </c>
      <c r="AG21" s="119">
        <v>19.100000000000001</v>
      </c>
      <c r="AH21" s="119">
        <v>0.3</v>
      </c>
      <c r="AI21" s="119">
        <v>0.2</v>
      </c>
      <c r="AJ21" s="65">
        <v>0.14199999999999999</v>
      </c>
      <c r="AK21" s="119">
        <v>2.1</v>
      </c>
      <c r="AL21" s="119">
        <v>0.6</v>
      </c>
      <c r="AM21" s="119">
        <v>0.2</v>
      </c>
      <c r="AN21" s="119">
        <v>10.199999999999999</v>
      </c>
    </row>
    <row r="22" spans="1:40" x14ac:dyDescent="0.2">
      <c r="A22" s="3">
        <v>15</v>
      </c>
      <c r="B22" s="3" t="s">
        <v>1044</v>
      </c>
      <c r="C22" s="3" t="s">
        <v>234</v>
      </c>
      <c r="D22" s="105">
        <v>68</v>
      </c>
      <c r="E22" s="105">
        <v>74</v>
      </c>
      <c r="F22" s="106">
        <v>230</v>
      </c>
      <c r="G22" s="4">
        <v>34823</v>
      </c>
      <c r="H22" s="110">
        <f ca="1">ROUNDDOWN(YEARFRAC($G$25,G22),1)</f>
        <v>25.5</v>
      </c>
      <c r="I22" s="3" t="s">
        <v>421</v>
      </c>
      <c r="J22" s="3">
        <v>4</v>
      </c>
      <c r="K22" s="109">
        <v>2017</v>
      </c>
      <c r="L22" s="115"/>
      <c r="M22" s="3" t="s">
        <v>1045</v>
      </c>
      <c r="N22" s="3"/>
      <c r="O22" s="3"/>
      <c r="P22" s="236"/>
      <c r="Q22" s="12"/>
      <c r="R22" s="12"/>
      <c r="S22" s="12"/>
      <c r="T22" s="59"/>
      <c r="U22" s="59"/>
      <c r="W22" t="s">
        <v>1046</v>
      </c>
      <c r="X22" s="69">
        <v>4</v>
      </c>
      <c r="Y22" s="69">
        <v>13</v>
      </c>
      <c r="Z22" s="65">
        <f>8/13</f>
        <v>0.61538461538461542</v>
      </c>
      <c r="AA22" s="119">
        <v>111.1</v>
      </c>
      <c r="AB22" s="119">
        <v>105.4</v>
      </c>
      <c r="AC22" s="119">
        <f t="shared" si="5"/>
        <v>5.6999999999999886</v>
      </c>
      <c r="AD22" s="119">
        <v>3.2</v>
      </c>
      <c r="AE22" s="119">
        <v>28.4</v>
      </c>
      <c r="AF22" s="65">
        <v>0.77400000000000002</v>
      </c>
      <c r="AG22" s="119">
        <v>23.4</v>
      </c>
      <c r="AH22" s="119">
        <v>0.2</v>
      </c>
      <c r="AI22" s="119">
        <v>0.1</v>
      </c>
      <c r="AJ22" s="65">
        <v>0.29899999999999999</v>
      </c>
      <c r="AK22" s="119">
        <v>4.8</v>
      </c>
      <c r="AL22" s="119">
        <v>3.3</v>
      </c>
      <c r="AM22" s="119">
        <v>0.1</v>
      </c>
      <c r="AN22" s="119">
        <v>17.2</v>
      </c>
    </row>
    <row r="23" spans="1:40" x14ac:dyDescent="0.2">
      <c r="A23" s="3"/>
      <c r="B23" s="3" t="s">
        <v>1847</v>
      </c>
      <c r="C23" s="3" t="s">
        <v>234</v>
      </c>
      <c r="D23" s="105">
        <v>611</v>
      </c>
      <c r="E23" s="105">
        <v>73</v>
      </c>
      <c r="F23" s="106">
        <v>241</v>
      </c>
      <c r="G23" s="4">
        <v>35595</v>
      </c>
      <c r="H23" s="110">
        <f t="shared" ref="H23" ca="1" si="6">ROUNDDOWN(YEARFRAC($G$25,G23),1)</f>
        <v>23.4</v>
      </c>
      <c r="I23" s="3" t="s">
        <v>807</v>
      </c>
      <c r="J23" s="3">
        <v>4</v>
      </c>
      <c r="K23" s="109">
        <v>2017</v>
      </c>
      <c r="L23" s="109">
        <v>16</v>
      </c>
      <c r="M23" s="3" t="s">
        <v>2477</v>
      </c>
      <c r="N23" s="3"/>
      <c r="O23" s="159"/>
      <c r="P23" s="236"/>
      <c r="Q23" s="16"/>
      <c r="R23" s="12"/>
      <c r="S23" s="12"/>
      <c r="T23" s="28"/>
      <c r="U23" s="59"/>
      <c r="V23" s="59"/>
      <c r="W23" s="59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B24" s="71"/>
      <c r="K24" s="117"/>
      <c r="L24" s="117"/>
      <c r="M24" s="75"/>
      <c r="N24" s="75"/>
      <c r="O24" s="75"/>
      <c r="P24" s="60"/>
      <c r="X24" s="69"/>
      <c r="Y24" s="69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0" x14ac:dyDescent="0.2">
      <c r="E25" s="62"/>
      <c r="F25" s="63"/>
      <c r="G25" s="62">
        <f ca="1">TODAY()</f>
        <v>44162</v>
      </c>
      <c r="H25" s="63">
        <f ca="1">AVERAGE(H2:H13)</f>
        <v>29.266666666666666</v>
      </c>
      <c r="J25" s="63">
        <f>AVERAGE(J2:J13)</f>
        <v>8.8333333333333339</v>
      </c>
      <c r="K25" s="117"/>
      <c r="L25" s="117"/>
      <c r="M25" s="75"/>
      <c r="N25" s="75"/>
      <c r="O25" s="75"/>
      <c r="P25" s="60"/>
      <c r="X25" s="134"/>
      <c r="Y25" s="134"/>
      <c r="Z25" s="124"/>
      <c r="AF25" s="124"/>
      <c r="AJ25" s="124"/>
    </row>
    <row r="26" spans="1:40" x14ac:dyDescent="0.2">
      <c r="B26" s="3"/>
      <c r="C26" s="59"/>
      <c r="H26" s="63">
        <f ca="1">MEDIAN(H2:H13)</f>
        <v>30.8</v>
      </c>
      <c r="J26" s="107">
        <f>MEDIAN(J2:J13)</f>
        <v>10</v>
      </c>
      <c r="K26" s="117"/>
      <c r="L26" s="117"/>
      <c r="M26" s="75"/>
      <c r="N26" s="75"/>
      <c r="O26" s="75"/>
      <c r="P26" s="60"/>
      <c r="X26" s="134"/>
      <c r="Y26" s="134"/>
      <c r="Z26" s="124"/>
      <c r="AF26" s="124"/>
    </row>
    <row r="27" spans="1:40" x14ac:dyDescent="0.2">
      <c r="B27" s="197" t="s">
        <v>1985</v>
      </c>
      <c r="C27" s="117"/>
      <c r="J27" s="3"/>
      <c r="K27" s="117"/>
      <c r="L27" s="117"/>
      <c r="M27" s="75"/>
      <c r="N27" s="75"/>
      <c r="O27" s="75"/>
      <c r="P27" s="173">
        <f>SUM(P2:P17)-P10-P16-P17</f>
        <v>132792817</v>
      </c>
      <c r="Q27" s="75"/>
      <c r="X27" s="134"/>
      <c r="Y27" s="134"/>
      <c r="AF27" s="124"/>
    </row>
    <row r="28" spans="1:40" x14ac:dyDescent="0.2">
      <c r="B28" s="3" t="s">
        <v>1876</v>
      </c>
      <c r="C28" s="181">
        <v>11</v>
      </c>
      <c r="J28" s="197"/>
      <c r="K28" s="117"/>
      <c r="L28" s="117"/>
      <c r="M28" s="75"/>
      <c r="N28" s="75"/>
      <c r="O28" s="75"/>
      <c r="P28" s="171">
        <f>SUM(P2:P17)</f>
        <v>137282428</v>
      </c>
      <c r="Q28" s="75"/>
      <c r="X28" s="134"/>
      <c r="Y28" s="134"/>
      <c r="AF28" s="124"/>
    </row>
    <row r="29" spans="1:40" x14ac:dyDescent="0.2">
      <c r="B29" s="3" t="s">
        <v>2457</v>
      </c>
      <c r="C29" s="200">
        <v>3</v>
      </c>
      <c r="J29" s="3"/>
      <c r="K29" s="117"/>
      <c r="L29" s="117"/>
      <c r="M29" s="75"/>
      <c r="N29" s="75"/>
      <c r="O29" s="3"/>
      <c r="P29" s="171"/>
      <c r="Q29" s="75"/>
      <c r="X29" s="134"/>
      <c r="Y29" s="134"/>
    </row>
    <row r="30" spans="1:40" x14ac:dyDescent="0.2">
      <c r="B30" s="3" t="s">
        <v>2539</v>
      </c>
      <c r="C30" s="200">
        <v>2</v>
      </c>
      <c r="J30" s="3"/>
      <c r="K30" s="57"/>
      <c r="L30" s="117"/>
      <c r="M30" s="75"/>
      <c r="N30" s="75"/>
      <c r="O30" s="3" t="s">
        <v>292</v>
      </c>
      <c r="P30" s="22" t="e">
        <f>#REF!</f>
        <v>#REF!</v>
      </c>
      <c r="X30" s="134"/>
      <c r="Y30" s="134"/>
    </row>
    <row r="31" spans="1:40" x14ac:dyDescent="0.2">
      <c r="B31" s="3" t="s">
        <v>495</v>
      </c>
      <c r="C31" s="22">
        <f>9258000-P6</f>
        <v>0</v>
      </c>
      <c r="D31" t="s">
        <v>169</v>
      </c>
      <c r="J31" s="3"/>
      <c r="K31" s="57"/>
      <c r="L31" s="117"/>
      <c r="M31" s="75"/>
      <c r="N31" s="75"/>
      <c r="O31" s="22" t="s">
        <v>294</v>
      </c>
      <c r="P31" s="22" t="e">
        <f>#REF!</f>
        <v>#REF!</v>
      </c>
    </row>
    <row r="32" spans="1:40" x14ac:dyDescent="0.2">
      <c r="B32" s="3" t="s">
        <v>514</v>
      </c>
      <c r="C32" s="22">
        <v>3623000</v>
      </c>
      <c r="J32" s="3"/>
      <c r="K32" s="22"/>
      <c r="L32" s="117"/>
      <c r="M32" s="75"/>
      <c r="N32" s="75"/>
      <c r="O32" s="22" t="s">
        <v>2568</v>
      </c>
      <c r="P32" s="22">
        <v>138928000</v>
      </c>
    </row>
    <row r="33" spans="2:16" x14ac:dyDescent="0.2">
      <c r="B33" s="24" t="s">
        <v>2569</v>
      </c>
      <c r="C33" s="60">
        <v>3567720</v>
      </c>
      <c r="D33" s="249">
        <v>44233</v>
      </c>
      <c r="J33" s="3"/>
      <c r="K33" s="22"/>
      <c r="L33" s="117"/>
      <c r="M33" s="75"/>
      <c r="N33" s="75"/>
      <c r="O33" s="22"/>
      <c r="P33" s="11"/>
    </row>
    <row r="34" spans="2:16" x14ac:dyDescent="0.2">
      <c r="B34" s="24" t="s">
        <v>293</v>
      </c>
      <c r="C34" s="60">
        <v>0</v>
      </c>
      <c r="J34" s="3"/>
      <c r="K34" s="22"/>
      <c r="L34" s="117"/>
      <c r="M34" s="75"/>
      <c r="N34" s="75"/>
      <c r="O34" s="22"/>
      <c r="P34" s="11"/>
    </row>
    <row r="35" spans="2:16" x14ac:dyDescent="0.2">
      <c r="B35" s="3" t="s">
        <v>295</v>
      </c>
      <c r="C35" s="60">
        <v>0</v>
      </c>
      <c r="J35" s="3"/>
      <c r="K35" s="22"/>
      <c r="L35" s="117"/>
      <c r="M35" s="75"/>
      <c r="N35" s="75"/>
      <c r="O35" s="22"/>
      <c r="P35" s="11"/>
    </row>
    <row r="36" spans="2:16" x14ac:dyDescent="0.2">
      <c r="J36" s="24"/>
      <c r="K36" s="60"/>
      <c r="L36" s="60"/>
      <c r="O36" s="22"/>
    </row>
    <row r="37" spans="2:16" x14ac:dyDescent="0.2">
      <c r="B37" s="149" t="s">
        <v>1875</v>
      </c>
      <c r="J37" s="24"/>
      <c r="K37" s="60"/>
      <c r="L37" s="60"/>
      <c r="O37" s="22"/>
    </row>
    <row r="38" spans="2:16" x14ac:dyDescent="0.2">
      <c r="B38" s="3" t="s">
        <v>296</v>
      </c>
      <c r="C38" s="41">
        <f>49/(49+23)</f>
        <v>0.68055555555555558</v>
      </c>
      <c r="D38" s="3" t="s">
        <v>767</v>
      </c>
      <c r="E38" s="3"/>
      <c r="J38" s="3"/>
      <c r="L38" s="60"/>
    </row>
    <row r="39" spans="2:16" x14ac:dyDescent="0.2">
      <c r="B39" s="3" t="s">
        <v>298</v>
      </c>
      <c r="C39" s="110">
        <v>113.3</v>
      </c>
      <c r="D39" s="3" t="s">
        <v>2028</v>
      </c>
      <c r="E39" s="3"/>
    </row>
    <row r="40" spans="2:16" x14ac:dyDescent="0.2">
      <c r="B40" s="3" t="s">
        <v>299</v>
      </c>
      <c r="C40" s="110">
        <v>106.9</v>
      </c>
      <c r="D40" s="3" t="s">
        <v>1964</v>
      </c>
      <c r="E40" s="3"/>
    </row>
    <row r="41" spans="2:16" x14ac:dyDescent="0.2">
      <c r="B41" s="3" t="s">
        <v>300</v>
      </c>
      <c r="C41" s="110">
        <v>6.3</v>
      </c>
      <c r="D41" s="3" t="s">
        <v>2028</v>
      </c>
      <c r="E41" s="3"/>
    </row>
    <row r="42" spans="2:16" x14ac:dyDescent="0.2">
      <c r="B42" s="3" t="s">
        <v>301</v>
      </c>
      <c r="C42" s="36">
        <v>102.16</v>
      </c>
      <c r="D42" s="3" t="s">
        <v>2027</v>
      </c>
      <c r="E42" s="3"/>
    </row>
    <row r="43" spans="2:16" x14ac:dyDescent="0.2">
      <c r="B43" s="3"/>
      <c r="C43" s="3"/>
      <c r="D43" s="3"/>
      <c r="E43" s="3"/>
    </row>
    <row r="44" spans="2:16" x14ac:dyDescent="0.2">
      <c r="B44" s="2" t="s">
        <v>302</v>
      </c>
      <c r="C44" s="3"/>
      <c r="D44" s="3"/>
      <c r="E44" s="3"/>
    </row>
    <row r="45" spans="2:16" x14ac:dyDescent="0.2">
      <c r="B45" s="2" t="s">
        <v>1048</v>
      </c>
      <c r="C45" s="3"/>
      <c r="D45" s="3"/>
      <c r="E45" s="3"/>
    </row>
    <row r="46" spans="2:16" x14ac:dyDescent="0.2">
      <c r="B46" s="2" t="s">
        <v>1049</v>
      </c>
      <c r="C46" s="3"/>
      <c r="D46" s="3"/>
      <c r="E46" s="3"/>
    </row>
    <row r="47" spans="2:16" x14ac:dyDescent="0.2">
      <c r="B47" s="2" t="s">
        <v>2408</v>
      </c>
      <c r="C47" s="3"/>
      <c r="D47" s="3"/>
      <c r="E47" s="3"/>
    </row>
    <row r="48" spans="2:16" x14ac:dyDescent="0.2">
      <c r="B48" s="2" t="s">
        <v>2409</v>
      </c>
      <c r="C48" s="3"/>
      <c r="D48" s="3"/>
      <c r="E48" s="3"/>
    </row>
    <row r="49" spans="2:9" x14ac:dyDescent="0.2">
      <c r="B49" s="2" t="s">
        <v>2410</v>
      </c>
      <c r="C49" s="3"/>
      <c r="D49" s="3"/>
      <c r="E49" s="3"/>
    </row>
    <row r="50" spans="2:9" x14ac:dyDescent="0.2">
      <c r="B50" s="2" t="s">
        <v>2411</v>
      </c>
      <c r="C50" s="3"/>
      <c r="D50" s="3"/>
      <c r="E50" s="3"/>
    </row>
    <row r="51" spans="2:9" x14ac:dyDescent="0.2">
      <c r="B51" s="10"/>
      <c r="C51" s="3"/>
      <c r="D51" s="3"/>
      <c r="E51" s="3"/>
    </row>
    <row r="52" spans="2:9" x14ac:dyDescent="0.2">
      <c r="B52" s="2" t="s">
        <v>310</v>
      </c>
      <c r="C52" s="3"/>
      <c r="D52" s="3"/>
      <c r="E52" s="3"/>
    </row>
    <row r="53" spans="2:9" x14ac:dyDescent="0.2">
      <c r="B53" s="2" t="s">
        <v>1050</v>
      </c>
      <c r="C53" s="3"/>
      <c r="D53" s="3"/>
      <c r="E53" s="3"/>
    </row>
    <row r="54" spans="2:9" x14ac:dyDescent="0.2">
      <c r="B54" s="2" t="s">
        <v>457</v>
      </c>
      <c r="C54" s="3"/>
      <c r="D54" s="3"/>
      <c r="E54" s="3"/>
    </row>
    <row r="55" spans="2:9" x14ac:dyDescent="0.2">
      <c r="B55" s="2" t="s">
        <v>1051</v>
      </c>
      <c r="C55" s="3"/>
      <c r="D55" s="3"/>
      <c r="E55" s="3"/>
    </row>
    <row r="56" spans="2:9" x14ac:dyDescent="0.2">
      <c r="B56" s="2" t="s">
        <v>1052</v>
      </c>
      <c r="C56" s="3"/>
      <c r="D56" s="3"/>
      <c r="E56" s="3"/>
    </row>
    <row r="57" spans="2:9" x14ac:dyDescent="0.2">
      <c r="B57" s="2" t="s">
        <v>1053</v>
      </c>
      <c r="C57" s="3"/>
      <c r="D57" s="3"/>
      <c r="E57" s="3"/>
    </row>
    <row r="58" spans="2:9" x14ac:dyDescent="0.2">
      <c r="B58" s="2" t="s">
        <v>1054</v>
      </c>
      <c r="C58" s="3"/>
      <c r="D58" s="3"/>
      <c r="E58" s="3"/>
    </row>
    <row r="59" spans="2:9" x14ac:dyDescent="0.2">
      <c r="B59" s="2" t="s">
        <v>1055</v>
      </c>
      <c r="C59" s="3"/>
      <c r="D59" s="3"/>
      <c r="E59" s="3"/>
    </row>
    <row r="60" spans="2:9" x14ac:dyDescent="0.2">
      <c r="B60" s="2"/>
      <c r="C60" s="3"/>
      <c r="D60" s="3"/>
      <c r="E60" s="3"/>
    </row>
    <row r="61" spans="2:9" x14ac:dyDescent="0.2">
      <c r="B61" s="194" t="s">
        <v>1989</v>
      </c>
      <c r="C61" s="3"/>
      <c r="D61" s="3"/>
      <c r="E61" s="3"/>
    </row>
    <row r="62" spans="2:9" x14ac:dyDescent="0.2">
      <c r="B62" s="39" t="s">
        <v>314</v>
      </c>
      <c r="C62" s="3">
        <v>49</v>
      </c>
      <c r="D62" s="3">
        <v>23</v>
      </c>
      <c r="E62" s="3" t="s">
        <v>767</v>
      </c>
      <c r="G62" t="s">
        <v>402</v>
      </c>
      <c r="I62" s="141" t="s">
        <v>2121</v>
      </c>
    </row>
    <row r="63" spans="2:9" x14ac:dyDescent="0.2">
      <c r="B63" s="39" t="s">
        <v>317</v>
      </c>
      <c r="C63" s="3">
        <v>48</v>
      </c>
      <c r="D63" s="3">
        <v>34</v>
      </c>
      <c r="E63" s="3" t="s">
        <v>720</v>
      </c>
      <c r="G63" t="s">
        <v>402</v>
      </c>
      <c r="I63" t="s">
        <v>774</v>
      </c>
    </row>
    <row r="64" spans="2:9" x14ac:dyDescent="0.2">
      <c r="B64" s="39" t="s">
        <v>319</v>
      </c>
      <c r="C64" s="3">
        <v>42</v>
      </c>
      <c r="D64" s="3">
        <v>40</v>
      </c>
      <c r="E64" s="3" t="s">
        <v>722</v>
      </c>
      <c r="G64" t="s">
        <v>402</v>
      </c>
      <c r="I64" s="141" t="s">
        <v>316</v>
      </c>
    </row>
    <row r="65" spans="2:9" x14ac:dyDescent="0.2">
      <c r="B65" s="39" t="s">
        <v>322</v>
      </c>
      <c r="C65" s="3">
        <v>51</v>
      </c>
      <c r="D65" s="3">
        <v>31</v>
      </c>
      <c r="E65" s="3" t="s">
        <v>943</v>
      </c>
      <c r="G65" t="s">
        <v>402</v>
      </c>
      <c r="I65" t="s">
        <v>2115</v>
      </c>
    </row>
    <row r="66" spans="2:9" x14ac:dyDescent="0.2">
      <c r="B66" s="39" t="s">
        <v>325</v>
      </c>
      <c r="C66" s="3">
        <v>53</v>
      </c>
      <c r="D66" s="3">
        <v>29</v>
      </c>
      <c r="E66" s="3" t="s">
        <v>943</v>
      </c>
      <c r="G66" t="s">
        <v>402</v>
      </c>
      <c r="I66" t="s">
        <v>951</v>
      </c>
    </row>
    <row r="67" spans="2:9" x14ac:dyDescent="0.2">
      <c r="B67" s="39" t="s">
        <v>328</v>
      </c>
      <c r="C67" s="3">
        <v>56</v>
      </c>
      <c r="D67" s="3">
        <v>26</v>
      </c>
      <c r="E67" s="41" t="s">
        <v>724</v>
      </c>
      <c r="G67" t="s">
        <v>402</v>
      </c>
      <c r="I67" t="s">
        <v>2116</v>
      </c>
    </row>
    <row r="68" spans="2:9" x14ac:dyDescent="0.2">
      <c r="B68" s="39" t="s">
        <v>331</v>
      </c>
      <c r="C68" s="3">
        <v>57</v>
      </c>
      <c r="D68" s="3">
        <v>25</v>
      </c>
      <c r="E68" s="41" t="s">
        <v>724</v>
      </c>
      <c r="G68" t="s">
        <v>402</v>
      </c>
      <c r="I68" t="s">
        <v>2117</v>
      </c>
    </row>
    <row r="69" spans="2:9" x14ac:dyDescent="0.2">
      <c r="B69" s="37" t="s">
        <v>334</v>
      </c>
      <c r="C69" s="3">
        <v>56</v>
      </c>
      <c r="D69" s="3">
        <v>26</v>
      </c>
      <c r="E69" s="3" t="s">
        <v>943</v>
      </c>
      <c r="G69" t="s">
        <v>1056</v>
      </c>
      <c r="I69" t="s">
        <v>1696</v>
      </c>
    </row>
    <row r="70" spans="2:9" x14ac:dyDescent="0.2">
      <c r="B70" s="37" t="s">
        <v>338</v>
      </c>
      <c r="C70" s="3">
        <v>40</v>
      </c>
      <c r="D70" s="3">
        <v>26</v>
      </c>
      <c r="E70" s="3" t="s">
        <v>776</v>
      </c>
      <c r="G70" t="s">
        <v>1056</v>
      </c>
      <c r="I70" t="s">
        <v>2118</v>
      </c>
    </row>
    <row r="71" spans="2:9" x14ac:dyDescent="0.2">
      <c r="B71" s="37" t="s">
        <v>340</v>
      </c>
      <c r="C71" s="3">
        <v>32</v>
      </c>
      <c r="D71" s="3">
        <v>50</v>
      </c>
      <c r="E71" s="3" t="s">
        <v>715</v>
      </c>
      <c r="G71" t="s">
        <v>1056</v>
      </c>
      <c r="I71" s="141" t="s">
        <v>316</v>
      </c>
    </row>
    <row r="72" spans="2:9" x14ac:dyDescent="0.2">
      <c r="B72" s="3" t="s">
        <v>342</v>
      </c>
      <c r="C72" s="59">
        <f>SUM(C62:C71)</f>
        <v>484</v>
      </c>
      <c r="D72" s="59">
        <f>SUM(D62:D71)</f>
        <v>310</v>
      </c>
      <c r="E72" s="65">
        <f>C72/(C72+D72)</f>
        <v>0.60957178841309823</v>
      </c>
    </row>
  </sheetData>
  <pageMargins left="0.7" right="0.7" top="0.75" bottom="0.75" header="0.3" footer="0.3"/>
  <ignoredErrors>
    <ignoredError sqref="J25:J26" formulaRange="1"/>
  </ignoredError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CE8E-EA62-1C41-841D-DA6DC7C0DE3D}">
  <dimension ref="A1:AT65"/>
  <sheetViews>
    <sheetView zoomScaleNormal="100" workbookViewId="0"/>
  </sheetViews>
  <sheetFormatPr baseColWidth="10" defaultColWidth="11" defaultRowHeight="16" x14ac:dyDescent="0.2"/>
  <cols>
    <col min="1" max="1" width="5" customWidth="1"/>
    <col min="2" max="2" width="22.33203125" customWidth="1"/>
    <col min="3" max="3" width="13" customWidth="1"/>
    <col min="4" max="4" width="9.33203125" customWidth="1"/>
    <col min="5" max="5" width="10.5" customWidth="1"/>
    <col min="6" max="6" width="8.5" customWidth="1"/>
    <col min="7" max="7" width="10.5" customWidth="1"/>
    <col min="8" max="8" width="6.1640625" customWidth="1"/>
    <col min="9" max="9" width="30.6640625" customWidth="1"/>
    <col min="10" max="10" width="11.5" customWidth="1"/>
    <col min="11" max="11" width="13.33203125" bestFit="1" customWidth="1"/>
    <col min="12" max="12" width="6.6640625" customWidth="1"/>
    <col min="13" max="13" width="29.5" customWidth="1"/>
    <col min="14" max="14" width="15.1640625" customWidth="1"/>
    <col min="15" max="15" width="47.1640625" customWidth="1"/>
    <col min="16" max="16" width="14" customWidth="1"/>
    <col min="17" max="17" width="13.6640625" customWidth="1"/>
    <col min="18" max="18" width="12.5" customWidth="1"/>
    <col min="19" max="19" width="11.83203125" customWidth="1"/>
    <col min="20" max="20" width="12.1640625" customWidth="1"/>
    <col min="21" max="21" width="10.5" customWidth="1"/>
    <col min="22" max="22" width="144.33203125" bestFit="1" customWidth="1"/>
    <col min="23" max="23" width="21" customWidth="1"/>
    <col min="24" max="24" width="9.83203125" customWidth="1"/>
    <col min="25" max="25" width="3.83203125" customWidth="1"/>
    <col min="26" max="26" width="7.83203125" customWidth="1"/>
    <col min="27" max="28" width="5.83203125" customWidth="1"/>
    <col min="29" max="29" width="7.6640625" customWidth="1"/>
    <col min="30" max="30" width="5.33203125" customWidth="1"/>
    <col min="31" max="31" width="4.83203125" customWidth="1"/>
    <col min="32" max="32" width="6.33203125" customWidth="1"/>
    <col min="33" max="33" width="7.5" customWidth="1"/>
    <col min="34" max="35" width="5.1640625" customWidth="1"/>
    <col min="36" max="36" width="6.5" customWidth="1"/>
    <col min="37" max="37" width="6.33203125" customWidth="1"/>
    <col min="38" max="38" width="6" customWidth="1"/>
    <col min="39" max="39" width="5.83203125" customWidth="1"/>
    <col min="40" max="40" width="5.33203125" customWidth="1"/>
  </cols>
  <sheetData>
    <row r="1" spans="1:46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59"/>
      <c r="AQ1" s="59"/>
    </row>
    <row r="2" spans="1:46" x14ac:dyDescent="0.2">
      <c r="A2" s="3">
        <v>23</v>
      </c>
      <c r="B2" s="3" t="s">
        <v>1057</v>
      </c>
      <c r="C2" s="3" t="s">
        <v>241</v>
      </c>
      <c r="D2" s="105">
        <v>69</v>
      </c>
      <c r="E2" s="105">
        <v>70</v>
      </c>
      <c r="F2" s="106">
        <v>250</v>
      </c>
      <c r="G2" s="4">
        <v>31046</v>
      </c>
      <c r="H2" s="110">
        <f t="shared" ref="H2:H15" ca="1" si="0">ROUNDDOWN(YEARFRAC($G$24,G2),1)</f>
        <v>35.9</v>
      </c>
      <c r="I2" s="3" t="s">
        <v>1058</v>
      </c>
      <c r="J2" s="3">
        <v>18</v>
      </c>
      <c r="K2" s="109">
        <v>2003</v>
      </c>
      <c r="L2" s="109">
        <v>1</v>
      </c>
      <c r="M2" s="3" t="s">
        <v>1059</v>
      </c>
      <c r="N2" s="3" t="s">
        <v>279</v>
      </c>
      <c r="O2" s="3" t="s">
        <v>2165</v>
      </c>
      <c r="P2" s="11">
        <v>39219566</v>
      </c>
      <c r="Q2" s="47">
        <v>41002774</v>
      </c>
      <c r="R2" s="14">
        <v>45937500</v>
      </c>
      <c r="S2" s="3"/>
      <c r="T2" s="3"/>
      <c r="V2" t="s">
        <v>347</v>
      </c>
      <c r="W2" t="s">
        <v>1060</v>
      </c>
      <c r="X2" s="69">
        <v>1</v>
      </c>
      <c r="Y2" s="69">
        <v>60</v>
      </c>
      <c r="Z2" s="65">
        <f>47/60</f>
        <v>0.78333333333333333</v>
      </c>
      <c r="AA2" s="119">
        <v>113.3</v>
      </c>
      <c r="AB2" s="119">
        <v>103</v>
      </c>
      <c r="AC2" s="119">
        <f t="shared" ref="AC2:AC10" si="1">AA2-AB2</f>
        <v>10.299999999999997</v>
      </c>
      <c r="AD2" s="119">
        <v>34.9</v>
      </c>
      <c r="AE2" s="119">
        <v>26</v>
      </c>
      <c r="AF2" s="65">
        <v>0.58199999999999996</v>
      </c>
      <c r="AG2" s="119">
        <v>31.6</v>
      </c>
      <c r="AH2" s="119">
        <v>6.1</v>
      </c>
      <c r="AI2" s="119">
        <v>3.4</v>
      </c>
      <c r="AJ2" s="65">
        <v>0.218</v>
      </c>
      <c r="AK2" s="119">
        <v>6.8</v>
      </c>
      <c r="AL2" s="119">
        <v>1.9</v>
      </c>
      <c r="AM2" s="119">
        <v>5.7</v>
      </c>
      <c r="AN2" s="119">
        <v>20</v>
      </c>
    </row>
    <row r="3" spans="1:46" x14ac:dyDescent="0.2">
      <c r="A3" s="3">
        <v>3</v>
      </c>
      <c r="B3" s="3" t="s">
        <v>77</v>
      </c>
      <c r="C3" s="3" t="s">
        <v>234</v>
      </c>
      <c r="D3" s="105">
        <v>610</v>
      </c>
      <c r="E3" s="105">
        <v>76</v>
      </c>
      <c r="F3" s="106">
        <v>253</v>
      </c>
      <c r="G3" s="4">
        <v>34039</v>
      </c>
      <c r="H3" s="110">
        <f t="shared" ca="1" si="0"/>
        <v>27.7</v>
      </c>
      <c r="I3" s="3" t="s">
        <v>266</v>
      </c>
      <c r="J3" s="3">
        <v>9</v>
      </c>
      <c r="K3" s="109">
        <v>2012</v>
      </c>
      <c r="L3" s="109">
        <v>1</v>
      </c>
      <c r="M3" s="3" t="s">
        <v>1061</v>
      </c>
      <c r="N3" s="3" t="s">
        <v>1</v>
      </c>
      <c r="O3" s="3" t="s">
        <v>2455</v>
      </c>
      <c r="P3" s="16">
        <v>32742000</v>
      </c>
      <c r="Q3" s="16" t="s">
        <v>2456</v>
      </c>
      <c r="R3" s="12"/>
      <c r="S3" s="12"/>
      <c r="T3" s="12"/>
      <c r="W3" t="s">
        <v>1062</v>
      </c>
      <c r="X3" s="69">
        <v>4</v>
      </c>
      <c r="Y3" s="69">
        <v>55</v>
      </c>
      <c r="Z3" s="65">
        <f>43/55</f>
        <v>0.78181818181818186</v>
      </c>
      <c r="AA3" s="119">
        <v>112.3</v>
      </c>
      <c r="AB3" s="119">
        <v>105.6</v>
      </c>
      <c r="AC3" s="119">
        <f t="shared" si="1"/>
        <v>6.7000000000000028</v>
      </c>
      <c r="AD3" s="119">
        <v>34.299999999999997</v>
      </c>
      <c r="AE3" s="119">
        <v>28.2</v>
      </c>
      <c r="AF3" s="65">
        <v>0.61399999999999999</v>
      </c>
      <c r="AG3" s="119">
        <v>29.7</v>
      </c>
      <c r="AH3" s="119">
        <v>6.2</v>
      </c>
      <c r="AI3" s="119">
        <v>4.0999999999999996</v>
      </c>
      <c r="AJ3" s="65">
        <v>0.26200000000000001</v>
      </c>
      <c r="AK3" s="119">
        <v>5.8</v>
      </c>
      <c r="AL3" s="119">
        <v>2.8</v>
      </c>
      <c r="AM3" s="119">
        <v>5</v>
      </c>
      <c r="AN3" s="119">
        <v>18.3</v>
      </c>
    </row>
    <row r="4" spans="1:46" x14ac:dyDescent="0.2">
      <c r="A4" s="107"/>
      <c r="B4" s="3" t="s">
        <v>209</v>
      </c>
      <c r="C4" s="3" t="s">
        <v>230</v>
      </c>
      <c r="D4" s="105">
        <v>61</v>
      </c>
      <c r="E4" s="105">
        <v>68</v>
      </c>
      <c r="F4" s="106">
        <v>172</v>
      </c>
      <c r="G4" s="4">
        <v>34227</v>
      </c>
      <c r="H4" s="119">
        <f t="shared" ca="1" si="0"/>
        <v>27.2</v>
      </c>
      <c r="I4" t="s">
        <v>1389</v>
      </c>
      <c r="J4" s="3">
        <v>8</v>
      </c>
      <c r="K4" s="107">
        <v>2013</v>
      </c>
      <c r="L4" s="107">
        <v>17</v>
      </c>
      <c r="M4" s="3" t="s">
        <v>2483</v>
      </c>
      <c r="N4" s="2" t="s">
        <v>1390</v>
      </c>
      <c r="O4" s="2" t="s">
        <v>1885</v>
      </c>
      <c r="P4" s="11">
        <v>16000000</v>
      </c>
      <c r="Q4" s="14">
        <f>P4*1.5</f>
        <v>24000000</v>
      </c>
      <c r="R4" s="12"/>
      <c r="S4" s="12"/>
      <c r="T4" s="12"/>
      <c r="V4" t="s">
        <v>2184</v>
      </c>
      <c r="W4" s="132" t="s">
        <v>284</v>
      </c>
      <c r="X4" s="69">
        <v>1</v>
      </c>
      <c r="Y4" s="69">
        <v>63</v>
      </c>
      <c r="Z4" s="65">
        <f>39/63</f>
        <v>0.61904761904761907</v>
      </c>
      <c r="AA4" s="119">
        <v>109</v>
      </c>
      <c r="AB4" s="119">
        <v>103.1</v>
      </c>
      <c r="AC4" s="119">
        <f t="shared" si="1"/>
        <v>5.9000000000000057</v>
      </c>
      <c r="AD4" s="119">
        <v>31</v>
      </c>
      <c r="AE4" s="119">
        <v>16.8</v>
      </c>
      <c r="AF4" s="65">
        <v>0.57299999999999995</v>
      </c>
      <c r="AG4" s="119">
        <v>27.2</v>
      </c>
      <c r="AH4" s="119">
        <v>1.9</v>
      </c>
      <c r="AI4" s="119">
        <v>1.6</v>
      </c>
      <c r="AJ4" s="65">
        <v>8.5999999999999993E-2</v>
      </c>
      <c r="AK4" s="119">
        <v>1.1000000000000001</v>
      </c>
      <c r="AL4" s="119">
        <v>-1.2</v>
      </c>
      <c r="AM4" s="119">
        <v>1</v>
      </c>
      <c r="AN4" s="119">
        <v>12.2</v>
      </c>
    </row>
    <row r="5" spans="1:46" x14ac:dyDescent="0.2">
      <c r="A5" s="3">
        <v>1</v>
      </c>
      <c r="B5" s="3" t="s">
        <v>78</v>
      </c>
      <c r="C5" s="3" t="s">
        <v>252</v>
      </c>
      <c r="D5" s="105">
        <v>65</v>
      </c>
      <c r="E5" s="105">
        <v>68</v>
      </c>
      <c r="F5" s="106">
        <v>204</v>
      </c>
      <c r="G5" s="4">
        <v>34018</v>
      </c>
      <c r="H5" s="110">
        <f t="shared" ca="1" si="0"/>
        <v>27.7</v>
      </c>
      <c r="I5" s="3" t="s">
        <v>221</v>
      </c>
      <c r="J5" s="3">
        <v>8</v>
      </c>
      <c r="K5" s="109">
        <v>2013</v>
      </c>
      <c r="L5" s="109">
        <v>8</v>
      </c>
      <c r="M5" s="3" t="s">
        <v>679</v>
      </c>
      <c r="N5" s="3" t="s">
        <v>1</v>
      </c>
      <c r="O5" s="3" t="s">
        <v>2551</v>
      </c>
      <c r="P5" s="11">
        <v>12073020</v>
      </c>
      <c r="Q5" s="16">
        <v>13038862</v>
      </c>
      <c r="R5" s="15">
        <v>14004703</v>
      </c>
      <c r="S5" s="14">
        <v>45937500</v>
      </c>
      <c r="T5" s="12"/>
      <c r="W5" t="s">
        <v>1065</v>
      </c>
      <c r="X5" s="69">
        <v>3</v>
      </c>
      <c r="Y5" s="69">
        <v>63</v>
      </c>
      <c r="Z5" s="65">
        <f>49/63</f>
        <v>0.77777777777777779</v>
      </c>
      <c r="AA5" s="119">
        <v>112.6</v>
      </c>
      <c r="AB5" s="119">
        <v>107</v>
      </c>
      <c r="AC5" s="119">
        <f t="shared" si="1"/>
        <v>5.5999999999999943</v>
      </c>
      <c r="AD5" s="119">
        <v>25.5</v>
      </c>
      <c r="AE5" s="119">
        <v>11.6</v>
      </c>
      <c r="AF5" s="65">
        <v>0.59199999999999997</v>
      </c>
      <c r="AG5" s="119">
        <v>14.8</v>
      </c>
      <c r="AH5" s="119">
        <v>2</v>
      </c>
      <c r="AI5" s="119">
        <v>1.8</v>
      </c>
      <c r="AJ5" s="65">
        <v>0.114</v>
      </c>
      <c r="AK5" s="119">
        <v>-0.8</v>
      </c>
      <c r="AL5" s="119">
        <v>0.5</v>
      </c>
      <c r="AM5" s="119">
        <v>0.7</v>
      </c>
      <c r="AN5" s="119">
        <v>6.8</v>
      </c>
    </row>
    <row r="6" spans="1:46" x14ac:dyDescent="0.2">
      <c r="A6" s="3"/>
      <c r="B6" s="3" t="s">
        <v>73</v>
      </c>
      <c r="C6" s="3" t="s">
        <v>234</v>
      </c>
      <c r="D6" s="105">
        <v>67</v>
      </c>
      <c r="E6" s="105">
        <v>74</v>
      </c>
      <c r="F6" s="106">
        <v>240</v>
      </c>
      <c r="G6" s="4">
        <v>34360</v>
      </c>
      <c r="H6" s="110">
        <f t="shared" ca="1" si="0"/>
        <v>26.8</v>
      </c>
      <c r="I6" s="3" t="s">
        <v>474</v>
      </c>
      <c r="J6" s="3">
        <v>6</v>
      </c>
      <c r="K6" s="109">
        <v>2015</v>
      </c>
      <c r="L6" s="109">
        <v>32</v>
      </c>
      <c r="M6" s="3" t="s">
        <v>2622</v>
      </c>
      <c r="N6" s="3" t="s">
        <v>495</v>
      </c>
      <c r="O6" s="3" t="s">
        <v>2454</v>
      </c>
      <c r="P6" s="16">
        <v>9258000</v>
      </c>
      <c r="Q6" s="47">
        <f>P6*1.05</f>
        <v>9720900</v>
      </c>
      <c r="R6" s="14">
        <f>Q6*1.3</f>
        <v>12637170</v>
      </c>
      <c r="S6" s="12"/>
      <c r="T6" s="59"/>
      <c r="U6" s="59"/>
      <c r="W6" s="132" t="s">
        <v>238</v>
      </c>
      <c r="X6" s="69">
        <v>5</v>
      </c>
      <c r="Y6" s="69">
        <v>63</v>
      </c>
      <c r="Z6" s="65">
        <f>44/63</f>
        <v>0.69841269841269837</v>
      </c>
      <c r="AA6" s="119">
        <v>112.3</v>
      </c>
      <c r="AB6" s="119">
        <v>105.8</v>
      </c>
      <c r="AC6" s="119">
        <f t="shared" si="1"/>
        <v>6.5</v>
      </c>
      <c r="AD6" s="119">
        <v>27.8</v>
      </c>
      <c r="AE6" s="119">
        <v>23.1</v>
      </c>
      <c r="AF6" s="65">
        <v>0.60699999999999998</v>
      </c>
      <c r="AG6" s="119">
        <v>25.5</v>
      </c>
      <c r="AH6" s="119">
        <v>4.5</v>
      </c>
      <c r="AI6" s="119">
        <v>2.5</v>
      </c>
      <c r="AJ6" s="65">
        <v>0.193</v>
      </c>
      <c r="AK6" s="119">
        <v>2.4</v>
      </c>
      <c r="AL6" s="119">
        <v>0.5</v>
      </c>
      <c r="AM6" s="119">
        <v>2.2000000000000002</v>
      </c>
      <c r="AN6" s="119">
        <v>14.5</v>
      </c>
    </row>
    <row r="7" spans="1:46" x14ac:dyDescent="0.2">
      <c r="A7" s="3"/>
      <c r="B7" s="3" t="s">
        <v>100</v>
      </c>
      <c r="C7" s="70" t="s">
        <v>252</v>
      </c>
      <c r="D7" s="223">
        <v>64</v>
      </c>
      <c r="E7" s="223">
        <v>69</v>
      </c>
      <c r="F7" s="224">
        <v>220</v>
      </c>
      <c r="G7" s="4">
        <v>31699</v>
      </c>
      <c r="H7" s="162">
        <f t="shared" ca="1" si="0"/>
        <v>34.1</v>
      </c>
      <c r="I7" s="70" t="s">
        <v>1164</v>
      </c>
      <c r="J7" s="3">
        <v>12</v>
      </c>
      <c r="K7" s="107">
        <v>2009</v>
      </c>
      <c r="L7" s="107"/>
      <c r="M7" s="3" t="s">
        <v>2577</v>
      </c>
      <c r="N7" s="3" t="s">
        <v>514</v>
      </c>
      <c r="O7" s="81" t="s">
        <v>2437</v>
      </c>
      <c r="P7" s="16">
        <v>3623000</v>
      </c>
      <c r="Q7" s="14">
        <f>P7*1.2</f>
        <v>4347600</v>
      </c>
      <c r="R7" s="3"/>
      <c r="S7" s="3"/>
      <c r="T7" s="3"/>
      <c r="U7" s="70"/>
      <c r="V7" s="70"/>
      <c r="W7" s="70" t="s">
        <v>2221</v>
      </c>
      <c r="X7" s="101">
        <v>2</v>
      </c>
      <c r="Y7" s="101">
        <v>62</v>
      </c>
      <c r="Z7" s="163">
        <f>50/62</f>
        <v>0.80645161290322576</v>
      </c>
      <c r="AA7" s="162">
        <v>109.9</v>
      </c>
      <c r="AB7" s="162">
        <v>97.8</v>
      </c>
      <c r="AC7" s="162">
        <f t="shared" si="1"/>
        <v>12.100000000000009</v>
      </c>
      <c r="AD7" s="162">
        <v>24.7</v>
      </c>
      <c r="AE7" s="162">
        <v>8.4</v>
      </c>
      <c r="AF7" s="163">
        <v>0.54500000000000004</v>
      </c>
      <c r="AG7" s="162">
        <v>12.7</v>
      </c>
      <c r="AH7" s="162">
        <v>0.8</v>
      </c>
      <c r="AI7" s="162">
        <v>2.4</v>
      </c>
      <c r="AJ7" s="163">
        <v>9.9000000000000005E-2</v>
      </c>
      <c r="AK7" s="162">
        <v>-2.5</v>
      </c>
      <c r="AL7" s="162">
        <v>0.8</v>
      </c>
      <c r="AM7" s="162">
        <v>0.1</v>
      </c>
      <c r="AN7" s="162">
        <v>5.6</v>
      </c>
      <c r="AO7" s="70"/>
    </row>
    <row r="8" spans="1:46" x14ac:dyDescent="0.2">
      <c r="A8" s="3">
        <v>0</v>
      </c>
      <c r="B8" s="3" t="s">
        <v>1072</v>
      </c>
      <c r="C8" s="3" t="s">
        <v>234</v>
      </c>
      <c r="D8" s="105">
        <v>68</v>
      </c>
      <c r="E8" s="105">
        <v>70</v>
      </c>
      <c r="F8" s="106">
        <v>221</v>
      </c>
      <c r="G8" s="4">
        <v>34904</v>
      </c>
      <c r="H8" s="110">
        <f t="shared" ca="1" si="0"/>
        <v>25.3</v>
      </c>
      <c r="I8" s="3" t="s">
        <v>675</v>
      </c>
      <c r="J8" s="3">
        <v>4</v>
      </c>
      <c r="K8" s="109">
        <v>2017</v>
      </c>
      <c r="L8" s="109">
        <v>27</v>
      </c>
      <c r="M8" s="3" t="s">
        <v>1073</v>
      </c>
      <c r="N8" s="3" t="s">
        <v>1074</v>
      </c>
      <c r="O8" s="3" t="s">
        <v>1948</v>
      </c>
      <c r="P8" s="11">
        <v>3562178</v>
      </c>
      <c r="Q8" s="49">
        <f>P8*3</f>
        <v>10686534</v>
      </c>
      <c r="R8" s="12"/>
      <c r="S8" s="12"/>
      <c r="T8" s="12"/>
      <c r="W8" t="s">
        <v>1075</v>
      </c>
      <c r="X8" s="69">
        <v>4</v>
      </c>
      <c r="Y8" s="69">
        <v>54</v>
      </c>
      <c r="Z8" s="65">
        <f>43/54</f>
        <v>0.79629629629629628</v>
      </c>
      <c r="AA8" s="119">
        <v>109.8</v>
      </c>
      <c r="AB8" s="119">
        <v>104.5</v>
      </c>
      <c r="AC8" s="119">
        <f t="shared" si="1"/>
        <v>5.2999999999999972</v>
      </c>
      <c r="AD8" s="119">
        <v>24.6</v>
      </c>
      <c r="AE8" s="119">
        <v>11.6</v>
      </c>
      <c r="AF8" s="65">
        <v>0.52200000000000002</v>
      </c>
      <c r="AG8" s="119">
        <v>23.2</v>
      </c>
      <c r="AH8" s="119">
        <v>-0.2</v>
      </c>
      <c r="AI8" s="119">
        <v>1.6</v>
      </c>
      <c r="AJ8" s="65">
        <v>5.1999999999999998E-2</v>
      </c>
      <c r="AK8" s="119">
        <v>-2.2000000000000002</v>
      </c>
      <c r="AL8" s="119">
        <v>-1.3</v>
      </c>
      <c r="AM8" s="119">
        <v>-0.5</v>
      </c>
      <c r="AN8" s="119">
        <v>8.1999999999999993</v>
      </c>
    </row>
    <row r="9" spans="1:46" x14ac:dyDescent="0.2">
      <c r="A9" s="3">
        <v>4</v>
      </c>
      <c r="B9" s="3" t="s">
        <v>1070</v>
      </c>
      <c r="C9" s="3" t="s">
        <v>230</v>
      </c>
      <c r="D9" s="105">
        <v>65</v>
      </c>
      <c r="E9" s="105">
        <v>66</v>
      </c>
      <c r="F9" s="106">
        <v>186</v>
      </c>
      <c r="G9" s="4">
        <v>34393</v>
      </c>
      <c r="H9" s="110">
        <f t="shared" ca="1" si="0"/>
        <v>26.7</v>
      </c>
      <c r="I9" s="3" t="s">
        <v>373</v>
      </c>
      <c r="J9" s="3">
        <v>4</v>
      </c>
      <c r="K9" s="109">
        <v>2016</v>
      </c>
      <c r="L9" s="109"/>
      <c r="M9" s="3" t="s">
        <v>679</v>
      </c>
      <c r="N9" s="3" t="s">
        <v>5</v>
      </c>
      <c r="O9" s="3" t="s">
        <v>2087</v>
      </c>
      <c r="P9" s="11">
        <v>2750000</v>
      </c>
      <c r="Q9" s="14">
        <f>P9*1.9</f>
        <v>5225000</v>
      </c>
      <c r="R9" s="12"/>
      <c r="S9" s="12"/>
      <c r="T9" s="12"/>
      <c r="W9" t="s">
        <v>1071</v>
      </c>
      <c r="X9" s="69">
        <v>2</v>
      </c>
      <c r="Y9" s="69">
        <v>58</v>
      </c>
      <c r="Z9" s="65">
        <f>45/58</f>
        <v>0.77586206896551724</v>
      </c>
      <c r="AA9" s="119">
        <v>110.6</v>
      </c>
      <c r="AB9" s="119">
        <v>100.3</v>
      </c>
      <c r="AC9" s="119">
        <f t="shared" si="1"/>
        <v>10.299999999999997</v>
      </c>
      <c r="AD9" s="119">
        <v>17.8</v>
      </c>
      <c r="AE9" s="119">
        <v>11</v>
      </c>
      <c r="AF9" s="65">
        <v>0.53800000000000003</v>
      </c>
      <c r="AG9" s="119">
        <v>13.9</v>
      </c>
      <c r="AH9" s="119">
        <v>0.6</v>
      </c>
      <c r="AI9" s="119">
        <v>1.6</v>
      </c>
      <c r="AJ9" s="65">
        <v>0.10299999999999999</v>
      </c>
      <c r="AK9" s="119">
        <v>-2.4</v>
      </c>
      <c r="AL9" s="119">
        <v>2.4</v>
      </c>
      <c r="AM9" s="119">
        <v>0.5</v>
      </c>
      <c r="AN9" s="119">
        <v>7.5</v>
      </c>
    </row>
    <row r="10" spans="1:46" x14ac:dyDescent="0.2">
      <c r="A10" s="3"/>
      <c r="B10" s="3" t="s">
        <v>168</v>
      </c>
      <c r="C10" s="3" t="s">
        <v>234</v>
      </c>
      <c r="D10" s="105">
        <v>611</v>
      </c>
      <c r="E10" s="105">
        <v>74</v>
      </c>
      <c r="F10" s="106">
        <v>255</v>
      </c>
      <c r="G10" s="4">
        <v>31076</v>
      </c>
      <c r="H10" s="110">
        <f t="shared" ca="1" si="0"/>
        <v>35.799999999999997</v>
      </c>
      <c r="I10" s="3" t="s">
        <v>1698</v>
      </c>
      <c r="J10" s="3">
        <v>13</v>
      </c>
      <c r="K10" s="3">
        <v>2007</v>
      </c>
      <c r="L10" s="3">
        <v>48</v>
      </c>
      <c r="M10" s="3" t="s">
        <v>2684</v>
      </c>
      <c r="N10" s="3" t="s">
        <v>276</v>
      </c>
      <c r="O10" s="3" t="s">
        <v>2609</v>
      </c>
      <c r="P10" s="175">
        <v>2564753</v>
      </c>
      <c r="Q10" s="171">
        <v>2692991</v>
      </c>
      <c r="R10" s="14"/>
      <c r="S10" s="3"/>
      <c r="T10" s="3"/>
      <c r="U10" s="3"/>
      <c r="V10" s="3"/>
      <c r="W10" s="3" t="s">
        <v>1700</v>
      </c>
      <c r="X10" s="107">
        <v>5</v>
      </c>
      <c r="Y10" s="107">
        <v>36</v>
      </c>
      <c r="Z10" s="41">
        <f>28/36</f>
        <v>0.77777777777777779</v>
      </c>
      <c r="AA10" s="110">
        <v>110.6</v>
      </c>
      <c r="AB10" s="110">
        <v>100.2</v>
      </c>
      <c r="AC10" s="110">
        <f t="shared" si="1"/>
        <v>10.399999999999991</v>
      </c>
      <c r="AD10" s="110">
        <v>27.5</v>
      </c>
      <c r="AE10" s="110">
        <v>11.9</v>
      </c>
      <c r="AF10" s="41">
        <v>0.54600000000000004</v>
      </c>
      <c r="AG10" s="110">
        <v>12.7</v>
      </c>
      <c r="AH10" s="110">
        <v>0.9</v>
      </c>
      <c r="AI10" s="110">
        <v>1.8</v>
      </c>
      <c r="AJ10" s="41">
        <v>0.128</v>
      </c>
      <c r="AK10" s="110">
        <v>-0.9</v>
      </c>
      <c r="AL10" s="110">
        <v>2.7</v>
      </c>
      <c r="AM10" s="110">
        <v>0.9</v>
      </c>
      <c r="AN10" s="110">
        <v>9.1999999999999993</v>
      </c>
      <c r="AO10" s="3"/>
      <c r="AP10" s="3"/>
      <c r="AQ10" s="3"/>
      <c r="AR10" s="3"/>
      <c r="AS10" s="3"/>
      <c r="AT10" s="3"/>
    </row>
    <row r="11" spans="1:46" x14ac:dyDescent="0.2">
      <c r="A11" s="3"/>
      <c r="B11" s="3" t="s">
        <v>31</v>
      </c>
      <c r="C11" s="3" t="s">
        <v>241</v>
      </c>
      <c r="D11" s="105">
        <v>67</v>
      </c>
      <c r="E11" s="105">
        <v>69</v>
      </c>
      <c r="F11" s="106">
        <v>215</v>
      </c>
      <c r="G11" s="4">
        <v>33864</v>
      </c>
      <c r="H11" s="110">
        <f t="shared" ca="1" si="0"/>
        <v>28.1</v>
      </c>
      <c r="I11" s="3" t="s">
        <v>630</v>
      </c>
      <c r="J11" s="3">
        <v>4</v>
      </c>
      <c r="K11" s="109">
        <v>2015</v>
      </c>
      <c r="L11" s="109"/>
      <c r="M11" s="3" t="s">
        <v>2657</v>
      </c>
      <c r="N11" s="3" t="s">
        <v>2608</v>
      </c>
      <c r="O11" s="11" t="s">
        <v>2612</v>
      </c>
      <c r="P11" s="16">
        <v>1762796</v>
      </c>
      <c r="Q11" s="15">
        <v>1910860</v>
      </c>
      <c r="R11" s="15">
        <v>2165298</v>
      </c>
      <c r="S11" s="51">
        <v>2046307</v>
      </c>
      <c r="T11" s="3"/>
      <c r="U11" s="59"/>
      <c r="V11" s="59"/>
      <c r="W11" s="122" t="s">
        <v>632</v>
      </c>
      <c r="X11" s="69">
        <v>3</v>
      </c>
      <c r="Y11" s="69">
        <v>50</v>
      </c>
      <c r="Z11" s="65">
        <f>15/50</f>
        <v>0.3</v>
      </c>
      <c r="AA11" s="119">
        <v>102</v>
      </c>
      <c r="AB11" s="119">
        <v>113.2</v>
      </c>
      <c r="AC11" s="119">
        <f t="shared" ref="AC11:AC12" si="2">AA11-AB11</f>
        <v>-11.200000000000003</v>
      </c>
      <c r="AD11" s="119">
        <v>23.2</v>
      </c>
      <c r="AE11" s="119">
        <v>10.8</v>
      </c>
      <c r="AF11" s="65">
        <v>0.53500000000000003</v>
      </c>
      <c r="AG11" s="119">
        <v>20.5</v>
      </c>
      <c r="AH11" s="119">
        <v>-0.3</v>
      </c>
      <c r="AI11" s="119">
        <v>0.6</v>
      </c>
      <c r="AJ11" s="65">
        <v>1.0999999999999999E-2</v>
      </c>
      <c r="AK11" s="119">
        <v>-3.2</v>
      </c>
      <c r="AL11" s="119">
        <v>-0.6</v>
      </c>
      <c r="AM11" s="119">
        <v>-0.5</v>
      </c>
      <c r="AN11" s="119">
        <v>6.9</v>
      </c>
      <c r="AO11" s="59"/>
    </row>
    <row r="12" spans="1:46" x14ac:dyDescent="0.2">
      <c r="A12" s="3">
        <v>88</v>
      </c>
      <c r="B12" s="3" t="s">
        <v>82</v>
      </c>
      <c r="C12" s="3" t="s">
        <v>241</v>
      </c>
      <c r="D12" s="105">
        <v>68</v>
      </c>
      <c r="E12" s="105">
        <v>611</v>
      </c>
      <c r="F12" s="106">
        <v>245</v>
      </c>
      <c r="G12" s="4">
        <v>32753</v>
      </c>
      <c r="H12" s="110">
        <f t="shared" ca="1" si="0"/>
        <v>31.2</v>
      </c>
      <c r="I12" s="3" t="s">
        <v>498</v>
      </c>
      <c r="J12" s="3">
        <v>10</v>
      </c>
      <c r="K12" s="109">
        <v>2011</v>
      </c>
      <c r="L12" s="109">
        <v>13</v>
      </c>
      <c r="M12" s="3" t="s">
        <v>1076</v>
      </c>
      <c r="N12" s="3" t="s">
        <v>276</v>
      </c>
      <c r="O12" s="3" t="s">
        <v>2438</v>
      </c>
      <c r="P12" s="11">
        <v>1620564</v>
      </c>
      <c r="Q12" s="14"/>
      <c r="R12" s="53"/>
      <c r="S12" s="53"/>
      <c r="T12" s="53"/>
      <c r="V12" t="s">
        <v>2530</v>
      </c>
      <c r="W12" t="s">
        <v>1077</v>
      </c>
      <c r="X12" s="69">
        <v>4</v>
      </c>
      <c r="Y12" s="69">
        <v>8</v>
      </c>
      <c r="Z12" s="65">
        <f>6/8</f>
        <v>0.75</v>
      </c>
      <c r="AA12" s="119">
        <v>95.1</v>
      </c>
      <c r="AB12" s="119">
        <v>101.5</v>
      </c>
      <c r="AC12" s="119">
        <f t="shared" si="2"/>
        <v>-6.4000000000000057</v>
      </c>
      <c r="AD12" s="119">
        <v>14.7</v>
      </c>
      <c r="AE12" s="119">
        <v>9.8000000000000007</v>
      </c>
      <c r="AF12" s="65">
        <v>0.503</v>
      </c>
      <c r="AG12" s="119">
        <v>15.3</v>
      </c>
      <c r="AH12" s="119">
        <v>0.1</v>
      </c>
      <c r="AI12" s="119">
        <v>0.2</v>
      </c>
      <c r="AJ12" s="65">
        <v>8.5999999999999993E-2</v>
      </c>
      <c r="AK12" s="119">
        <v>-2.5</v>
      </c>
      <c r="AL12" s="119">
        <v>0.1</v>
      </c>
      <c r="AM12" s="119">
        <v>0</v>
      </c>
      <c r="AN12" s="119">
        <v>6.1</v>
      </c>
    </row>
    <row r="13" spans="1:46" x14ac:dyDescent="0.2">
      <c r="A13" s="3">
        <v>5</v>
      </c>
      <c r="B13" s="3" t="s">
        <v>1080</v>
      </c>
      <c r="C13" s="3" t="s">
        <v>252</v>
      </c>
      <c r="D13" s="105">
        <v>64</v>
      </c>
      <c r="E13" s="105">
        <v>71</v>
      </c>
      <c r="F13" s="106">
        <v>234</v>
      </c>
      <c r="G13" s="4">
        <v>36855</v>
      </c>
      <c r="H13" s="110">
        <f t="shared" ca="1" si="0"/>
        <v>20</v>
      </c>
      <c r="I13" s="3" t="s">
        <v>228</v>
      </c>
      <c r="J13" s="3">
        <v>2</v>
      </c>
      <c r="K13" s="109">
        <v>2019</v>
      </c>
      <c r="L13" s="109">
        <v>46</v>
      </c>
      <c r="M13" s="3" t="s">
        <v>1081</v>
      </c>
      <c r="N13" s="3" t="s">
        <v>276</v>
      </c>
      <c r="O13" s="3" t="s">
        <v>2166</v>
      </c>
      <c r="P13" s="11">
        <v>1517981</v>
      </c>
      <c r="Q13" s="49">
        <v>1782621</v>
      </c>
      <c r="R13" s="12"/>
      <c r="S13" s="12"/>
      <c r="T13" s="12"/>
      <c r="X13" s="69"/>
      <c r="Y13" s="69"/>
      <c r="Z13" s="65"/>
      <c r="AA13" s="119"/>
      <c r="AB13" s="119"/>
      <c r="AC13" s="119"/>
      <c r="AD13" s="119"/>
      <c r="AE13" s="119"/>
      <c r="AF13" s="65"/>
      <c r="AG13" s="119"/>
      <c r="AH13" s="119"/>
      <c r="AI13" s="119"/>
      <c r="AJ13" s="65"/>
      <c r="AK13" s="119"/>
      <c r="AL13" s="119"/>
      <c r="AM13" s="119"/>
      <c r="AN13" s="119"/>
    </row>
    <row r="14" spans="1:46" x14ac:dyDescent="0.2">
      <c r="A14" s="3">
        <v>12</v>
      </c>
      <c r="B14" s="3" t="s">
        <v>1083</v>
      </c>
      <c r="C14" s="3" t="s">
        <v>234</v>
      </c>
      <c r="D14" s="105">
        <v>68</v>
      </c>
      <c r="E14" s="105"/>
      <c r="F14" s="106">
        <v>240</v>
      </c>
      <c r="G14" s="4">
        <v>35346</v>
      </c>
      <c r="H14" s="110">
        <f t="shared" ca="1" si="0"/>
        <v>24.1</v>
      </c>
      <c r="I14" s="3" t="s">
        <v>1084</v>
      </c>
      <c r="J14" s="3">
        <v>2</v>
      </c>
      <c r="K14" s="109">
        <v>2019</v>
      </c>
      <c r="L14" s="109"/>
      <c r="M14" s="3" t="s">
        <v>1085</v>
      </c>
      <c r="N14" s="3" t="s">
        <v>288</v>
      </c>
      <c r="O14" s="3" t="s">
        <v>2552</v>
      </c>
      <c r="P14" s="3" t="s">
        <v>288</v>
      </c>
      <c r="Q14" s="34"/>
      <c r="R14" s="53"/>
      <c r="S14" s="53"/>
      <c r="T14" s="53"/>
      <c r="X14" s="69"/>
      <c r="Y14" s="69"/>
      <c r="Z14" s="65"/>
      <c r="AA14" s="119"/>
      <c r="AB14" s="119"/>
      <c r="AC14" s="119"/>
      <c r="AD14" s="119"/>
      <c r="AE14" s="119"/>
      <c r="AF14" s="65"/>
      <c r="AG14" s="119"/>
      <c r="AH14" s="119"/>
      <c r="AI14" s="119"/>
      <c r="AJ14" s="65"/>
      <c r="AK14" s="119"/>
      <c r="AL14" s="119"/>
      <c r="AM14" s="119"/>
      <c r="AN14" s="119"/>
    </row>
    <row r="15" spans="1:46" x14ac:dyDescent="0.2">
      <c r="A15" s="3">
        <v>37</v>
      </c>
      <c r="B15" s="3" t="s">
        <v>1087</v>
      </c>
      <c r="C15" s="3" t="s">
        <v>234</v>
      </c>
      <c r="D15" s="105">
        <v>610</v>
      </c>
      <c r="E15" s="105">
        <v>72</v>
      </c>
      <c r="F15" s="106">
        <v>200</v>
      </c>
      <c r="G15" s="4">
        <v>35754</v>
      </c>
      <c r="H15" s="110">
        <f t="shared" ca="1" si="0"/>
        <v>23</v>
      </c>
      <c r="I15" s="3" t="s">
        <v>222</v>
      </c>
      <c r="J15" s="3">
        <v>3</v>
      </c>
      <c r="K15" s="109">
        <v>2018</v>
      </c>
      <c r="L15" s="109">
        <v>60</v>
      </c>
      <c r="M15" s="3" t="s">
        <v>1088</v>
      </c>
      <c r="N15" s="3" t="s">
        <v>288</v>
      </c>
      <c r="O15" s="3" t="s">
        <v>2516</v>
      </c>
      <c r="P15" s="3" t="s">
        <v>288</v>
      </c>
      <c r="Q15" s="34"/>
      <c r="R15" s="12"/>
      <c r="S15" s="12"/>
      <c r="T15" s="12"/>
      <c r="X15" s="69"/>
      <c r="Y15" s="69"/>
      <c r="Z15" s="65"/>
      <c r="AA15" s="119"/>
      <c r="AB15" s="119"/>
      <c r="AC15" s="119"/>
      <c r="AD15" s="119"/>
      <c r="AE15" s="119"/>
      <c r="AJ15" s="124"/>
    </row>
    <row r="16" spans="1:46" x14ac:dyDescent="0.2">
      <c r="A16" s="3"/>
      <c r="B16" s="3" t="s">
        <v>290</v>
      </c>
      <c r="C16" s="3"/>
      <c r="D16" s="3"/>
      <c r="E16" s="3"/>
      <c r="F16" s="3"/>
      <c r="G16" s="3"/>
      <c r="H16" s="3"/>
      <c r="I16" s="3"/>
      <c r="J16" s="3"/>
      <c r="K16" s="57"/>
      <c r="L16" s="57"/>
      <c r="M16" s="57"/>
      <c r="N16" s="16"/>
      <c r="O16" s="16"/>
      <c r="P16" s="57">
        <f>5000000+1000000+193354</f>
        <v>6193354</v>
      </c>
      <c r="Q16" s="57">
        <f>5000000+193354</f>
        <v>5193354</v>
      </c>
      <c r="R16" s="16">
        <f>193354</f>
        <v>193354</v>
      </c>
      <c r="S16" s="16"/>
      <c r="T16" s="16"/>
      <c r="X16" s="134"/>
      <c r="Y16" s="134"/>
      <c r="Z16" s="124"/>
      <c r="AJ16" s="124"/>
    </row>
    <row r="17" spans="1:41" x14ac:dyDescent="0.2">
      <c r="A17" s="3"/>
      <c r="B17" s="5"/>
      <c r="C17" s="3"/>
      <c r="D17" s="3"/>
      <c r="E17" s="3"/>
      <c r="F17" s="3"/>
      <c r="G17" s="3"/>
      <c r="H17" s="3"/>
      <c r="I17" s="3"/>
      <c r="J17" s="3"/>
      <c r="K17" s="54"/>
      <c r="L17" s="16"/>
      <c r="M17" s="16"/>
      <c r="N17" s="16"/>
      <c r="O17" s="16"/>
      <c r="P17" s="11"/>
      <c r="Q17" s="11"/>
      <c r="R17" s="16"/>
      <c r="S17" s="16"/>
      <c r="T17" s="16"/>
      <c r="X17" s="134"/>
      <c r="Y17" s="134"/>
      <c r="Z17" s="124"/>
      <c r="AJ17" s="124"/>
    </row>
    <row r="18" spans="1:41" x14ac:dyDescent="0.2">
      <c r="A18" s="3">
        <v>28</v>
      </c>
      <c r="B18" s="3" t="s">
        <v>80</v>
      </c>
      <c r="C18" s="3" t="s">
        <v>230</v>
      </c>
      <c r="D18" s="105">
        <v>61</v>
      </c>
      <c r="E18" s="105">
        <v>64</v>
      </c>
      <c r="F18" s="106">
        <v>180</v>
      </c>
      <c r="G18" s="4">
        <v>34051</v>
      </c>
      <c r="H18" s="110">
        <f ca="1">ROUNDDOWN(YEARFRAC($G$24,G18),1)</f>
        <v>27.6</v>
      </c>
      <c r="I18" s="3" t="s">
        <v>253</v>
      </c>
      <c r="J18" s="3">
        <v>5</v>
      </c>
      <c r="K18" s="109">
        <v>2015</v>
      </c>
      <c r="L18" s="109"/>
      <c r="M18" s="3" t="s">
        <v>1069</v>
      </c>
      <c r="N18" s="3"/>
      <c r="O18" s="159"/>
      <c r="P18" s="14">
        <f>3000000*1.2</f>
        <v>3600000</v>
      </c>
      <c r="Q18" s="16"/>
      <c r="R18" s="12"/>
      <c r="S18" s="12"/>
      <c r="T18" s="12"/>
      <c r="W18" s="132" t="s">
        <v>284</v>
      </c>
      <c r="X18" s="69">
        <v>1</v>
      </c>
      <c r="Y18" s="69">
        <v>38</v>
      </c>
      <c r="Z18" s="65">
        <f>30/38</f>
        <v>0.78947368421052633</v>
      </c>
      <c r="AA18" s="119">
        <v>109.1</v>
      </c>
      <c r="AB18" s="119">
        <v>100.3</v>
      </c>
      <c r="AC18" s="119">
        <f t="shared" ref="AC18" si="3">AA18-AB18</f>
        <v>8.7999999999999972</v>
      </c>
      <c r="AD18" s="119">
        <v>10.8</v>
      </c>
      <c r="AE18" s="119">
        <v>10.5</v>
      </c>
      <c r="AF18" s="65">
        <v>0.51700000000000002</v>
      </c>
      <c r="AG18" s="119">
        <v>20.8</v>
      </c>
      <c r="AH18" s="119">
        <v>-0.1</v>
      </c>
      <c r="AI18" s="119">
        <v>0.4</v>
      </c>
      <c r="AJ18" s="65">
        <v>4.2999999999999997E-2</v>
      </c>
      <c r="AK18" s="119">
        <v>-2.2999999999999998</v>
      </c>
      <c r="AL18" s="119">
        <v>-1</v>
      </c>
      <c r="AM18" s="119">
        <v>-0.1</v>
      </c>
      <c r="AN18" s="119">
        <v>7.7</v>
      </c>
    </row>
    <row r="19" spans="1:41" x14ac:dyDescent="0.2">
      <c r="A19" s="3">
        <v>10</v>
      </c>
      <c r="B19" s="3" t="s">
        <v>83</v>
      </c>
      <c r="C19" s="3" t="s">
        <v>234</v>
      </c>
      <c r="D19" s="105">
        <v>66</v>
      </c>
      <c r="E19" s="105">
        <v>67</v>
      </c>
      <c r="F19" s="106">
        <v>237</v>
      </c>
      <c r="G19" s="4">
        <v>31238</v>
      </c>
      <c r="H19" s="110">
        <f ca="1">ROUNDDOWN(YEARFRAC($G$24,G19),1)</f>
        <v>35.299999999999997</v>
      </c>
      <c r="I19" s="3" t="s">
        <v>858</v>
      </c>
      <c r="J19" s="3">
        <v>14</v>
      </c>
      <c r="K19" s="109">
        <v>2007</v>
      </c>
      <c r="L19" s="109">
        <v>22</v>
      </c>
      <c r="M19" s="3" t="s">
        <v>409</v>
      </c>
      <c r="N19" s="3"/>
      <c r="O19" s="3"/>
      <c r="P19" s="14">
        <v>1620564</v>
      </c>
      <c r="Q19" s="53"/>
      <c r="R19" s="237"/>
      <c r="S19" s="237"/>
      <c r="T19" s="237"/>
      <c r="W19" t="s">
        <v>1078</v>
      </c>
      <c r="X19" s="69">
        <v>4</v>
      </c>
      <c r="Y19" s="69">
        <v>40</v>
      </c>
      <c r="Z19" s="65">
        <f>29/40</f>
        <v>0.72499999999999998</v>
      </c>
      <c r="AA19" s="119">
        <v>100</v>
      </c>
      <c r="AB19" s="119">
        <v>97.5</v>
      </c>
      <c r="AC19" s="119">
        <f t="shared" ref="AC19" si="4">AA19-AB19</f>
        <v>2.5</v>
      </c>
      <c r="AD19" s="119">
        <v>7.8</v>
      </c>
      <c r="AE19" s="119">
        <v>7.4</v>
      </c>
      <c r="AF19" s="65">
        <v>0.56999999999999995</v>
      </c>
      <c r="AG19" s="119">
        <v>7.7</v>
      </c>
      <c r="AH19" s="119">
        <v>0.2</v>
      </c>
      <c r="AI19" s="119">
        <v>0.4</v>
      </c>
      <c r="AJ19" s="65">
        <v>0.10299999999999999</v>
      </c>
      <c r="AK19" s="119">
        <v>-2.7</v>
      </c>
      <c r="AL19" s="119">
        <v>2</v>
      </c>
      <c r="AM19" s="119">
        <v>0.1</v>
      </c>
      <c r="AN19" s="119">
        <v>5.6</v>
      </c>
    </row>
    <row r="20" spans="1:41" x14ac:dyDescent="0.2">
      <c r="A20" s="3">
        <v>18</v>
      </c>
      <c r="B20" s="3" t="s">
        <v>85</v>
      </c>
      <c r="C20" s="3" t="s">
        <v>230</v>
      </c>
      <c r="D20" s="105">
        <v>63</v>
      </c>
      <c r="E20" s="105">
        <v>67</v>
      </c>
      <c r="F20" s="106">
        <v>210</v>
      </c>
      <c r="G20" s="4">
        <v>33582</v>
      </c>
      <c r="H20" s="110">
        <f ca="1">ROUNDDOWN(YEARFRAC($G$24,G20),1)</f>
        <v>28.9</v>
      </c>
      <c r="I20" s="3" t="s">
        <v>733</v>
      </c>
      <c r="J20" s="3">
        <v>9</v>
      </c>
      <c r="K20" s="109">
        <v>2012</v>
      </c>
      <c r="L20" s="109">
        <v>4</v>
      </c>
      <c r="M20" s="3" t="s">
        <v>1082</v>
      </c>
      <c r="N20" s="3"/>
      <c r="O20" s="3"/>
      <c r="P20" s="14">
        <v>1620564</v>
      </c>
      <c r="Q20" s="54"/>
      <c r="R20" s="53"/>
      <c r="S20" s="53"/>
      <c r="T20" s="53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124"/>
    </row>
    <row r="21" spans="1:41" x14ac:dyDescent="0.2">
      <c r="A21" s="3">
        <v>21</v>
      </c>
      <c r="B21" s="3" t="s">
        <v>1866</v>
      </c>
      <c r="C21" s="3" t="s">
        <v>252</v>
      </c>
      <c r="D21" s="105">
        <v>66</v>
      </c>
      <c r="E21" s="105">
        <v>610</v>
      </c>
      <c r="F21" s="106">
        <v>225</v>
      </c>
      <c r="G21" s="4">
        <v>31299</v>
      </c>
      <c r="H21" s="110">
        <f ca="1">ROUNDDOWN(YEARFRAC($G$24,G21),1)</f>
        <v>35.200000000000003</v>
      </c>
      <c r="I21" s="3" t="s">
        <v>1867</v>
      </c>
      <c r="J21" s="3">
        <v>17</v>
      </c>
      <c r="K21" s="109">
        <v>2004</v>
      </c>
      <c r="L21" s="109">
        <v>18</v>
      </c>
      <c r="M21" s="3" t="s">
        <v>1936</v>
      </c>
      <c r="N21" s="3"/>
      <c r="O21" s="3"/>
      <c r="P21" s="14">
        <v>1620564</v>
      </c>
      <c r="Q21" s="3"/>
      <c r="R21" s="53"/>
      <c r="S21" s="53"/>
      <c r="T21" s="53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124"/>
    </row>
    <row r="22" spans="1:41" x14ac:dyDescent="0.2">
      <c r="A22" s="3"/>
      <c r="B22" s="3" t="s">
        <v>1868</v>
      </c>
      <c r="C22" s="3" t="s">
        <v>234</v>
      </c>
      <c r="D22" s="105">
        <v>68</v>
      </c>
      <c r="E22" s="105">
        <v>70</v>
      </c>
      <c r="F22" s="106">
        <v>216</v>
      </c>
      <c r="G22" s="4">
        <v>34706</v>
      </c>
      <c r="H22" s="110">
        <f t="shared" ref="H22" si="5">ROUNDDOWN(YEARFRAC($G$23,G22),1)</f>
        <v>95</v>
      </c>
      <c r="I22" s="3" t="s">
        <v>763</v>
      </c>
      <c r="J22" s="3">
        <v>4</v>
      </c>
      <c r="K22" s="109">
        <v>2017</v>
      </c>
      <c r="L22" s="109">
        <v>38</v>
      </c>
      <c r="M22" s="3" t="s">
        <v>2607</v>
      </c>
      <c r="N22" s="3"/>
      <c r="O22" s="159"/>
      <c r="P22" s="14"/>
      <c r="Q22" s="57"/>
      <c r="R22" s="22"/>
      <c r="S22" s="22"/>
      <c r="T22" s="22"/>
      <c r="U22" s="151"/>
      <c r="V22" s="59"/>
      <c r="W22" s="122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  <c r="AO22" s="59"/>
    </row>
    <row r="23" spans="1:41" x14ac:dyDescent="0.2">
      <c r="A23" s="3"/>
      <c r="B23" s="3"/>
      <c r="C23" s="3"/>
      <c r="D23" s="105"/>
      <c r="E23" s="105"/>
      <c r="F23" s="106"/>
      <c r="G23" s="4"/>
      <c r="H23" s="110"/>
      <c r="I23" s="3"/>
      <c r="J23" s="3"/>
      <c r="K23" s="109"/>
      <c r="L23" s="109"/>
      <c r="M23" s="3"/>
      <c r="N23" s="3"/>
      <c r="O23" s="3"/>
      <c r="P23" s="57"/>
      <c r="Q23" s="3"/>
      <c r="R23" s="12"/>
      <c r="S23" s="12"/>
      <c r="T23" s="12"/>
      <c r="X23" s="69"/>
      <c r="Y23" s="69"/>
      <c r="Z23" s="65"/>
      <c r="AA23" s="119"/>
      <c r="AB23" s="119"/>
      <c r="AC23" s="119"/>
      <c r="AD23" s="119"/>
      <c r="AE23" s="119"/>
      <c r="AJ23" s="124"/>
    </row>
    <row r="24" spans="1:41" x14ac:dyDescent="0.2">
      <c r="E24" s="62"/>
      <c r="F24" s="63"/>
      <c r="G24" s="62">
        <f ca="1">TODAY()</f>
        <v>44162</v>
      </c>
      <c r="H24" s="63">
        <f ca="1">AVERAGE(H2:H13)</f>
        <v>28.875</v>
      </c>
      <c r="J24" s="63">
        <f>AVERAGE(J2:J13)</f>
        <v>8.1666666666666661</v>
      </c>
      <c r="K24" s="75"/>
      <c r="L24" s="75"/>
      <c r="M24" s="75"/>
      <c r="N24" s="75"/>
      <c r="O24" s="75"/>
      <c r="P24" s="11"/>
      <c r="Q24" s="11"/>
      <c r="R24" s="16"/>
      <c r="S24" s="16"/>
      <c r="T24" s="16"/>
      <c r="X24" s="134"/>
      <c r="Y24" s="134"/>
      <c r="Z24" s="124"/>
    </row>
    <row r="25" spans="1:41" x14ac:dyDescent="0.2">
      <c r="B25" s="3"/>
      <c r="C25" s="59"/>
      <c r="H25" s="63">
        <f ca="1">MEDIAN(H2:H13)</f>
        <v>27.7</v>
      </c>
      <c r="J25" s="107">
        <f>MEDIAN(J2:J13)</f>
        <v>8</v>
      </c>
      <c r="K25" s="76"/>
      <c r="L25" s="117"/>
      <c r="M25" s="75"/>
      <c r="N25" s="75"/>
      <c r="O25" s="75"/>
      <c r="P25" s="60"/>
      <c r="R25" s="75"/>
      <c r="S25" s="75"/>
      <c r="T25" s="75"/>
      <c r="X25" s="134"/>
      <c r="Y25" s="134"/>
      <c r="Z25" s="124"/>
    </row>
    <row r="26" spans="1:41" x14ac:dyDescent="0.2">
      <c r="B26" s="197" t="s">
        <v>1985</v>
      </c>
      <c r="C26" s="59"/>
      <c r="J26" s="3"/>
      <c r="K26" s="75"/>
      <c r="L26" s="117"/>
      <c r="M26" s="75"/>
      <c r="N26" s="75"/>
      <c r="O26" s="75"/>
      <c r="P26" s="120">
        <f>SUM(P2:P16)</f>
        <v>132887212</v>
      </c>
    </row>
    <row r="27" spans="1:41" x14ac:dyDescent="0.2">
      <c r="B27" s="3" t="s">
        <v>1876</v>
      </c>
      <c r="C27" s="3">
        <v>12</v>
      </c>
      <c r="I27" s="197"/>
      <c r="J27" s="3"/>
      <c r="K27" s="75"/>
      <c r="L27" s="117"/>
      <c r="M27" s="75"/>
      <c r="N27" s="75"/>
      <c r="O27" s="75"/>
      <c r="P27" s="175"/>
    </row>
    <row r="28" spans="1:41" x14ac:dyDescent="0.2">
      <c r="B28" s="3" t="s">
        <v>2457</v>
      </c>
      <c r="C28" s="3">
        <v>0</v>
      </c>
      <c r="I28" s="3"/>
      <c r="J28" s="3"/>
      <c r="K28" s="75"/>
      <c r="L28" s="117"/>
      <c r="M28" s="75"/>
      <c r="N28" s="75"/>
      <c r="O28" s="3" t="s">
        <v>292</v>
      </c>
      <c r="P28" s="22" t="e">
        <f>#REF!</f>
        <v>#REF!</v>
      </c>
    </row>
    <row r="29" spans="1:41" x14ac:dyDescent="0.2">
      <c r="B29" s="3" t="s">
        <v>2539</v>
      </c>
      <c r="C29" s="3">
        <v>2</v>
      </c>
      <c r="I29" s="3"/>
      <c r="J29" s="3"/>
      <c r="K29" s="75"/>
      <c r="L29" s="117"/>
      <c r="M29" s="75"/>
      <c r="N29" s="75"/>
      <c r="O29" s="22" t="s">
        <v>294</v>
      </c>
      <c r="P29" s="22" t="e">
        <f>#REF!</f>
        <v>#REF!</v>
      </c>
    </row>
    <row r="30" spans="1:41" x14ac:dyDescent="0.2">
      <c r="B30" s="3" t="s">
        <v>495</v>
      </c>
      <c r="C30" s="60">
        <f>9258000-P6</f>
        <v>0</v>
      </c>
      <c r="D30" t="s">
        <v>73</v>
      </c>
      <c r="I30" s="3"/>
      <c r="J30" s="3"/>
      <c r="K30" s="57"/>
      <c r="L30" s="75"/>
      <c r="M30" s="75"/>
      <c r="N30" s="75"/>
      <c r="O30" s="3" t="s">
        <v>2553</v>
      </c>
      <c r="P30" s="22">
        <v>138928000</v>
      </c>
      <c r="Q30" s="60">
        <f>P30-P26-1500000</f>
        <v>4540788</v>
      </c>
    </row>
    <row r="31" spans="1:41" x14ac:dyDescent="0.2">
      <c r="B31" s="3" t="s">
        <v>514</v>
      </c>
      <c r="C31" s="60">
        <f>3623000-P7</f>
        <v>0</v>
      </c>
      <c r="D31" t="s">
        <v>2728</v>
      </c>
      <c r="I31" s="3"/>
      <c r="J31" s="3"/>
      <c r="K31" s="57"/>
      <c r="L31" s="75"/>
      <c r="M31" s="75"/>
      <c r="N31" s="75"/>
      <c r="O31" s="3"/>
      <c r="P31" s="22"/>
    </row>
    <row r="32" spans="1:41" x14ac:dyDescent="0.2">
      <c r="B32" s="3" t="s">
        <v>293</v>
      </c>
      <c r="C32" s="60">
        <v>0</v>
      </c>
      <c r="I32" s="3"/>
      <c r="J32" s="3"/>
      <c r="K32" s="57"/>
      <c r="L32" s="75"/>
      <c r="M32" s="75"/>
      <c r="N32" s="75"/>
      <c r="O32" s="22"/>
      <c r="P32" s="22"/>
    </row>
    <row r="33" spans="2:16" x14ac:dyDescent="0.2">
      <c r="B33" s="3" t="s">
        <v>295</v>
      </c>
      <c r="C33" s="60">
        <v>0</v>
      </c>
      <c r="I33" s="3"/>
      <c r="J33" s="3"/>
      <c r="K33" s="57"/>
      <c r="L33" s="75"/>
      <c r="M33" s="75"/>
      <c r="N33" s="75"/>
      <c r="O33" s="22"/>
      <c r="P33" s="22"/>
    </row>
    <row r="34" spans="2:16" x14ac:dyDescent="0.2">
      <c r="I34" s="3"/>
      <c r="J34" s="3"/>
      <c r="K34" s="57"/>
      <c r="L34" s="75"/>
      <c r="M34" s="75"/>
      <c r="N34" s="75"/>
      <c r="O34" s="3"/>
    </row>
    <row r="35" spans="2:16" x14ac:dyDescent="0.2">
      <c r="B35" s="149" t="s">
        <v>1875</v>
      </c>
      <c r="I35" s="3"/>
      <c r="J35" s="3"/>
      <c r="K35" s="57"/>
      <c r="L35" s="75"/>
      <c r="M35" s="75"/>
      <c r="N35" s="75"/>
      <c r="O35" s="3"/>
    </row>
    <row r="36" spans="2:16" x14ac:dyDescent="0.2">
      <c r="B36" s="3" t="s">
        <v>296</v>
      </c>
      <c r="C36" s="41">
        <f>52/(52+19)</f>
        <v>0.73239436619718312</v>
      </c>
      <c r="D36" s="3" t="s">
        <v>884</v>
      </c>
      <c r="E36" s="3"/>
      <c r="I36" s="24"/>
      <c r="J36" s="60"/>
      <c r="K36" s="57"/>
      <c r="L36" s="75"/>
      <c r="M36" s="75"/>
      <c r="N36" s="75"/>
      <c r="O36" s="22"/>
    </row>
    <row r="37" spans="2:16" x14ac:dyDescent="0.2">
      <c r="B37" s="3" t="s">
        <v>298</v>
      </c>
      <c r="C37" s="110">
        <v>111.7</v>
      </c>
      <c r="D37" s="3" t="s">
        <v>1687</v>
      </c>
      <c r="E37" s="3"/>
    </row>
    <row r="38" spans="2:16" x14ac:dyDescent="0.2">
      <c r="B38" s="3" t="s">
        <v>299</v>
      </c>
      <c r="C38" s="110">
        <v>106.1</v>
      </c>
      <c r="D38" s="3" t="s">
        <v>1956</v>
      </c>
      <c r="E38" s="3"/>
    </row>
    <row r="39" spans="2:16" x14ac:dyDescent="0.2">
      <c r="B39" s="3" t="s">
        <v>300</v>
      </c>
      <c r="C39" s="110">
        <f>C37-C38</f>
        <v>5.6000000000000085</v>
      </c>
      <c r="D39" s="3" t="s">
        <v>1964</v>
      </c>
      <c r="E39" s="3"/>
    </row>
    <row r="40" spans="2:16" x14ac:dyDescent="0.2">
      <c r="B40" s="3" t="s">
        <v>301</v>
      </c>
      <c r="C40" s="36">
        <v>101.2</v>
      </c>
      <c r="D40" s="3" t="s">
        <v>1687</v>
      </c>
      <c r="E40" s="3"/>
    </row>
    <row r="41" spans="2:16" x14ac:dyDescent="0.2">
      <c r="B41" s="3"/>
      <c r="C41" s="3"/>
      <c r="D41" s="3"/>
      <c r="E41" s="3"/>
    </row>
    <row r="42" spans="2:16" x14ac:dyDescent="0.2">
      <c r="B42" s="3" t="s">
        <v>302</v>
      </c>
      <c r="C42" s="3"/>
      <c r="D42" s="3"/>
      <c r="E42" s="3"/>
    </row>
    <row r="43" spans="2:16" x14ac:dyDescent="0.2">
      <c r="B43" s="3" t="s">
        <v>1089</v>
      </c>
      <c r="C43" s="3"/>
      <c r="D43" s="3"/>
      <c r="E43" s="3"/>
    </row>
    <row r="44" spans="2:16" x14ac:dyDescent="0.2">
      <c r="B44" s="12"/>
      <c r="C44" s="3"/>
      <c r="D44" s="3"/>
      <c r="E44" s="3"/>
    </row>
    <row r="45" spans="2:16" x14ac:dyDescent="0.2">
      <c r="B45" s="3" t="s">
        <v>310</v>
      </c>
      <c r="C45" s="3"/>
      <c r="D45" s="3"/>
      <c r="E45" s="3"/>
    </row>
    <row r="46" spans="2:16" x14ac:dyDescent="0.2">
      <c r="B46" s="3" t="s">
        <v>2610</v>
      </c>
      <c r="C46" s="3"/>
      <c r="D46" s="3"/>
      <c r="E46" s="3"/>
    </row>
    <row r="47" spans="2:16" x14ac:dyDescent="0.2">
      <c r="B47" s="3" t="s">
        <v>1090</v>
      </c>
      <c r="C47" s="3"/>
      <c r="D47" s="3"/>
      <c r="E47" s="3"/>
    </row>
    <row r="48" spans="2:16" x14ac:dyDescent="0.2">
      <c r="B48" s="3" t="s">
        <v>2233</v>
      </c>
      <c r="C48" s="3"/>
      <c r="D48" s="3"/>
      <c r="E48" s="3"/>
    </row>
    <row r="49" spans="2:10" x14ac:dyDescent="0.2">
      <c r="B49" s="3" t="s">
        <v>1091</v>
      </c>
      <c r="C49" s="3"/>
      <c r="D49" s="3"/>
      <c r="E49" s="3"/>
    </row>
    <row r="50" spans="2:10" x14ac:dyDescent="0.2">
      <c r="B50" s="3" t="s">
        <v>1092</v>
      </c>
      <c r="C50" s="3"/>
      <c r="D50" s="3"/>
      <c r="E50" s="3"/>
    </row>
    <row r="51" spans="2:10" x14ac:dyDescent="0.2">
      <c r="B51" s="3" t="s">
        <v>1093</v>
      </c>
      <c r="C51" s="3"/>
      <c r="D51" s="3"/>
      <c r="E51" s="3"/>
    </row>
    <row r="52" spans="2:10" x14ac:dyDescent="0.2">
      <c r="B52" s="3"/>
      <c r="C52" s="3"/>
      <c r="D52" s="3"/>
      <c r="E52" s="3"/>
    </row>
    <row r="53" spans="2:10" x14ac:dyDescent="0.2">
      <c r="B53" s="5" t="s">
        <v>1989</v>
      </c>
      <c r="C53" s="3"/>
      <c r="D53" s="3"/>
      <c r="E53" s="3"/>
    </row>
    <row r="54" spans="2:10" x14ac:dyDescent="0.2">
      <c r="B54" s="39" t="s">
        <v>314</v>
      </c>
      <c r="C54" s="3">
        <v>52</v>
      </c>
      <c r="D54" s="3">
        <v>19</v>
      </c>
      <c r="E54" s="3" t="s">
        <v>884</v>
      </c>
      <c r="G54" t="s">
        <v>1001</v>
      </c>
      <c r="J54" t="s">
        <v>2613</v>
      </c>
    </row>
    <row r="55" spans="2:10" x14ac:dyDescent="0.2">
      <c r="B55" s="39" t="s">
        <v>317</v>
      </c>
      <c r="C55" s="3">
        <v>37</v>
      </c>
      <c r="D55" s="3">
        <v>45</v>
      </c>
      <c r="E55" s="3" t="s">
        <v>722</v>
      </c>
      <c r="G55" t="s">
        <v>1094</v>
      </c>
      <c r="J55" s="141" t="s">
        <v>316</v>
      </c>
    </row>
    <row r="56" spans="2:10" x14ac:dyDescent="0.2">
      <c r="B56" s="39" t="s">
        <v>319</v>
      </c>
      <c r="C56" s="3">
        <v>35</v>
      </c>
      <c r="D56" s="3">
        <v>47</v>
      </c>
      <c r="E56" s="3" t="s">
        <v>716</v>
      </c>
      <c r="G56" t="s">
        <v>1094</v>
      </c>
      <c r="J56" s="141" t="s">
        <v>316</v>
      </c>
    </row>
    <row r="57" spans="2:10" x14ac:dyDescent="0.2">
      <c r="B57" s="39" t="s">
        <v>322</v>
      </c>
      <c r="C57" s="3">
        <v>26</v>
      </c>
      <c r="D57" s="3">
        <v>56</v>
      </c>
      <c r="E57" s="3" t="s">
        <v>714</v>
      </c>
      <c r="G57" t="s">
        <v>1094</v>
      </c>
      <c r="J57" s="141" t="s">
        <v>316</v>
      </c>
    </row>
    <row r="58" spans="2:10" x14ac:dyDescent="0.2">
      <c r="B58" s="39" t="s">
        <v>325</v>
      </c>
      <c r="C58" s="3">
        <v>17</v>
      </c>
      <c r="D58" s="3">
        <v>65</v>
      </c>
      <c r="E58" s="3" t="s">
        <v>883</v>
      </c>
      <c r="G58" t="s">
        <v>660</v>
      </c>
      <c r="J58" s="141" t="s">
        <v>316</v>
      </c>
    </row>
    <row r="59" spans="2:10" x14ac:dyDescent="0.2">
      <c r="B59" s="39" t="s">
        <v>328</v>
      </c>
      <c r="C59" s="3">
        <v>21</v>
      </c>
      <c r="D59" s="3">
        <v>61</v>
      </c>
      <c r="E59" s="3" t="s">
        <v>714</v>
      </c>
      <c r="G59" t="s">
        <v>660</v>
      </c>
      <c r="J59" s="141" t="s">
        <v>316</v>
      </c>
    </row>
    <row r="60" spans="2:10" x14ac:dyDescent="0.2">
      <c r="B60" s="39" t="s">
        <v>331</v>
      </c>
      <c r="C60" s="3">
        <v>27</v>
      </c>
      <c r="D60" s="3">
        <v>55</v>
      </c>
      <c r="E60" s="3" t="s">
        <v>714</v>
      </c>
      <c r="G60" t="s">
        <v>934</v>
      </c>
      <c r="J60" s="141" t="s">
        <v>316</v>
      </c>
    </row>
    <row r="61" spans="2:10" x14ac:dyDescent="0.2">
      <c r="B61" s="39" t="s">
        <v>334</v>
      </c>
      <c r="C61" s="3">
        <v>45</v>
      </c>
      <c r="D61" s="3">
        <v>37</v>
      </c>
      <c r="E61" s="3" t="s">
        <v>711</v>
      </c>
      <c r="G61" t="s">
        <v>1095</v>
      </c>
      <c r="J61" t="s">
        <v>1096</v>
      </c>
    </row>
    <row r="62" spans="2:10" x14ac:dyDescent="0.2">
      <c r="B62" s="39" t="s">
        <v>338</v>
      </c>
      <c r="C62" s="3">
        <v>41</v>
      </c>
      <c r="D62" s="3">
        <v>25</v>
      </c>
      <c r="E62" s="41" t="s">
        <v>724</v>
      </c>
      <c r="G62" t="s">
        <v>659</v>
      </c>
      <c r="J62" t="s">
        <v>1097</v>
      </c>
    </row>
    <row r="63" spans="2:10" x14ac:dyDescent="0.2">
      <c r="B63" s="39" t="s">
        <v>340</v>
      </c>
      <c r="C63" s="3">
        <v>57</v>
      </c>
      <c r="D63" s="3">
        <v>25</v>
      </c>
      <c r="E63" s="41" t="s">
        <v>767</v>
      </c>
      <c r="G63" t="s">
        <v>1098</v>
      </c>
      <c r="J63" t="s">
        <v>1099</v>
      </c>
    </row>
    <row r="64" spans="2:10" x14ac:dyDescent="0.2">
      <c r="B64" t="s">
        <v>342</v>
      </c>
      <c r="C64" s="59">
        <f>SUM(C54:C63)</f>
        <v>358</v>
      </c>
      <c r="D64" s="59">
        <f>SUM(D54:D63)</f>
        <v>435</v>
      </c>
      <c r="E64" s="65">
        <f>C64/(C64+D64)</f>
        <v>0.45145018915510721</v>
      </c>
    </row>
    <row r="65" spans="3:4" x14ac:dyDescent="0.2">
      <c r="C65" s="59"/>
      <c r="D65" s="59"/>
    </row>
  </sheetData>
  <pageMargins left="0.7" right="0.7" top="0.75" bottom="0.75" header="0.3" footer="0.3"/>
  <ignoredErrors>
    <ignoredError sqref="J25" formulaRange="1"/>
  </ignoredErrors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D184-FBA4-DD4E-864D-340C710806B3}">
  <dimension ref="A1:AO68"/>
  <sheetViews>
    <sheetView zoomScaleNormal="100" workbookViewId="0"/>
  </sheetViews>
  <sheetFormatPr baseColWidth="10" defaultColWidth="10.83203125" defaultRowHeight="16" x14ac:dyDescent="0.2"/>
  <cols>
    <col min="1" max="1" width="4.83203125" style="82" customWidth="1"/>
    <col min="2" max="2" width="18.5" style="82" customWidth="1"/>
    <col min="3" max="3" width="10.5" style="82" customWidth="1"/>
    <col min="4" max="5" width="10.83203125" style="82" customWidth="1"/>
    <col min="6" max="6" width="8.5" style="82" customWidth="1"/>
    <col min="7" max="7" width="9.5" style="82" customWidth="1"/>
    <col min="8" max="8" width="7.83203125" style="82" customWidth="1"/>
    <col min="9" max="9" width="17.83203125" style="82" customWidth="1"/>
    <col min="10" max="11" width="11.1640625" style="82" customWidth="1"/>
    <col min="12" max="12" width="6.6640625" style="82" customWidth="1"/>
    <col min="13" max="13" width="25.1640625" style="82" customWidth="1"/>
    <col min="14" max="14" width="16.6640625" style="82" customWidth="1"/>
    <col min="15" max="15" width="46" style="82" customWidth="1"/>
    <col min="16" max="16" width="13.1640625" style="82" customWidth="1"/>
    <col min="17" max="18" width="12" style="82" customWidth="1"/>
    <col min="19" max="19" width="12.33203125" style="82" bestFit="1" customWidth="1"/>
    <col min="20" max="20" width="12.6640625" style="82" customWidth="1"/>
    <col min="21" max="21" width="10.83203125" style="82"/>
    <col min="22" max="23" width="27.5" style="82" customWidth="1"/>
    <col min="24" max="24" width="10" style="82" customWidth="1"/>
    <col min="25" max="25" width="3.83203125" style="82" customWidth="1"/>
    <col min="26" max="26" width="7.83203125" style="82" customWidth="1"/>
    <col min="27" max="27" width="6.1640625" style="82" customWidth="1"/>
    <col min="28" max="28" width="6.5" style="82" customWidth="1"/>
    <col min="29" max="30" width="7.5" style="82" customWidth="1"/>
    <col min="31" max="31" width="5" style="82" customWidth="1"/>
    <col min="32" max="32" width="5.83203125" style="82" customWidth="1"/>
    <col min="33" max="33" width="7.83203125" style="82" customWidth="1"/>
    <col min="34" max="34" width="5.1640625" style="82" customWidth="1"/>
    <col min="35" max="35" width="4.6640625" style="82" customWidth="1"/>
    <col min="36" max="36" width="6.5" style="82" customWidth="1"/>
    <col min="37" max="37" width="6.33203125" style="82" customWidth="1"/>
    <col min="38" max="38" width="6.1640625" style="82" customWidth="1"/>
    <col min="39" max="39" width="5.83203125" style="82" customWidth="1"/>
    <col min="40" max="40" width="5" style="82" customWidth="1"/>
    <col min="41" max="16384" width="10.83203125" style="82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95">
        <v>14</v>
      </c>
      <c r="B2" s="97" t="s">
        <v>1100</v>
      </c>
      <c r="C2" s="97" t="s">
        <v>234</v>
      </c>
      <c r="D2" s="83">
        <v>610</v>
      </c>
      <c r="E2" s="83">
        <v>74</v>
      </c>
      <c r="F2" s="84">
        <v>252</v>
      </c>
      <c r="G2" s="85">
        <v>32891</v>
      </c>
      <c r="H2" s="86">
        <f t="shared" ref="H2:H19" ca="1" si="0">ROUNDDOWN(YEARFRAC($G$26,G2),1)</f>
        <v>30.8</v>
      </c>
      <c r="I2" s="97" t="s">
        <v>474</v>
      </c>
      <c r="J2" s="95">
        <v>8</v>
      </c>
      <c r="K2" s="95">
        <v>2013</v>
      </c>
      <c r="L2" s="95">
        <v>21</v>
      </c>
      <c r="M2" s="97" t="s">
        <v>835</v>
      </c>
      <c r="N2" s="97" t="s">
        <v>836</v>
      </c>
      <c r="O2" s="97" t="s">
        <v>2060</v>
      </c>
      <c r="P2" s="87">
        <v>17287640</v>
      </c>
      <c r="Q2" s="88">
        <f>P2*1.5</f>
        <v>25931460</v>
      </c>
      <c r="V2" s="97"/>
      <c r="W2" s="97" t="s">
        <v>1101</v>
      </c>
      <c r="X2" s="95">
        <v>5</v>
      </c>
      <c r="Y2" s="82">
        <v>12</v>
      </c>
      <c r="Z2" s="94">
        <f>5/12</f>
        <v>0.41666666666666669</v>
      </c>
      <c r="AA2" s="86">
        <v>103.7</v>
      </c>
      <c r="AB2" s="86">
        <v>103.7</v>
      </c>
      <c r="AC2" s="86">
        <f>AA2-AB2</f>
        <v>0</v>
      </c>
      <c r="AD2" s="86">
        <v>19.5</v>
      </c>
      <c r="AE2" s="86">
        <v>16.2</v>
      </c>
      <c r="AF2" s="94">
        <v>0.56799999999999995</v>
      </c>
      <c r="AG2" s="86">
        <v>15.6</v>
      </c>
      <c r="AH2" s="86">
        <v>0.2</v>
      </c>
      <c r="AI2" s="86">
        <v>0.4</v>
      </c>
      <c r="AJ2" s="94">
        <v>0.128</v>
      </c>
      <c r="AK2" s="86">
        <v>-1.2</v>
      </c>
      <c r="AL2" s="86">
        <v>2.9</v>
      </c>
      <c r="AM2" s="86">
        <v>0.2</v>
      </c>
      <c r="AN2" s="86">
        <v>13</v>
      </c>
    </row>
    <row r="3" spans="1:41" x14ac:dyDescent="0.2">
      <c r="A3" s="95">
        <v>17</v>
      </c>
      <c r="B3" s="97" t="s">
        <v>1102</v>
      </c>
      <c r="C3" s="97" t="s">
        <v>234</v>
      </c>
      <c r="D3" s="83">
        <v>611</v>
      </c>
      <c r="E3" s="83">
        <v>76</v>
      </c>
      <c r="F3" s="84">
        <v>265</v>
      </c>
      <c r="G3" s="85">
        <v>33730</v>
      </c>
      <c r="H3" s="86">
        <f t="shared" ca="1" si="0"/>
        <v>28.5</v>
      </c>
      <c r="I3" s="97" t="s">
        <v>1103</v>
      </c>
      <c r="J3" s="95">
        <v>9</v>
      </c>
      <c r="K3" s="95">
        <v>2011</v>
      </c>
      <c r="L3" s="95">
        <v>5</v>
      </c>
      <c r="M3" s="97" t="s">
        <v>1104</v>
      </c>
      <c r="N3" s="97" t="s">
        <v>1</v>
      </c>
      <c r="O3" s="97" t="s">
        <v>2061</v>
      </c>
      <c r="P3" s="87">
        <v>15000000</v>
      </c>
      <c r="Q3" s="87">
        <v>14000000</v>
      </c>
      <c r="R3" s="88">
        <f>Q3*1.5</f>
        <v>21000000</v>
      </c>
      <c r="V3" s="97"/>
      <c r="W3" s="100" t="s">
        <v>238</v>
      </c>
      <c r="X3" s="101">
        <v>5</v>
      </c>
      <c r="Y3" s="82">
        <v>62</v>
      </c>
      <c r="Z3" s="94">
        <f>30/62</f>
        <v>0.4838709677419355</v>
      </c>
      <c r="AA3" s="86">
        <v>107.8</v>
      </c>
      <c r="AB3" s="86">
        <v>107.4</v>
      </c>
      <c r="AC3" s="86">
        <f t="shared" ref="AC3:AC15" si="1">AA3-AB3</f>
        <v>0.39999999999999147</v>
      </c>
      <c r="AD3" s="86">
        <v>26.3</v>
      </c>
      <c r="AE3" s="86">
        <v>22.3</v>
      </c>
      <c r="AF3" s="94">
        <v>0.63100000000000001</v>
      </c>
      <c r="AG3" s="86">
        <v>21.4</v>
      </c>
      <c r="AH3" s="86">
        <v>3.8</v>
      </c>
      <c r="AI3" s="86">
        <v>2.4</v>
      </c>
      <c r="AJ3" s="94">
        <v>0.182</v>
      </c>
      <c r="AK3" s="86">
        <v>2.2000000000000002</v>
      </c>
      <c r="AL3" s="86">
        <v>0</v>
      </c>
      <c r="AM3" s="86">
        <v>1.8</v>
      </c>
      <c r="AN3" s="86">
        <v>16.2</v>
      </c>
    </row>
    <row r="4" spans="1:41" x14ac:dyDescent="0.2">
      <c r="A4" s="95">
        <v>7</v>
      </c>
      <c r="B4" s="97" t="s">
        <v>1105</v>
      </c>
      <c r="C4" s="97" t="s">
        <v>230</v>
      </c>
      <c r="D4" s="83">
        <v>66</v>
      </c>
      <c r="E4" s="83">
        <v>610</v>
      </c>
      <c r="F4" s="84">
        <v>222</v>
      </c>
      <c r="G4" s="85">
        <v>35150</v>
      </c>
      <c r="H4" s="86">
        <f t="shared" ca="1" si="0"/>
        <v>24.6</v>
      </c>
      <c r="I4" s="97" t="s">
        <v>253</v>
      </c>
      <c r="J4" s="95">
        <v>6</v>
      </c>
      <c r="K4" s="95">
        <v>2015</v>
      </c>
      <c r="L4" s="95">
        <v>10</v>
      </c>
      <c r="M4" s="97" t="s">
        <v>1106</v>
      </c>
      <c r="N4" s="97" t="s">
        <v>1107</v>
      </c>
      <c r="O4" s="97" t="s">
        <v>2062</v>
      </c>
      <c r="P4" s="87">
        <v>13000000</v>
      </c>
      <c r="Q4" s="89">
        <v>13000000</v>
      </c>
      <c r="R4" s="88">
        <f>Q4*1.5</f>
        <v>19500000</v>
      </c>
      <c r="V4" s="97"/>
      <c r="W4" s="97" t="s">
        <v>1108</v>
      </c>
      <c r="X4" s="95">
        <v>3</v>
      </c>
      <c r="Y4" s="82">
        <v>11</v>
      </c>
      <c r="Z4" s="94">
        <f>7/11</f>
        <v>0.63636363636363635</v>
      </c>
      <c r="AA4" s="86">
        <v>106.2</v>
      </c>
      <c r="AB4" s="86">
        <v>99.9</v>
      </c>
      <c r="AC4" s="86">
        <f t="shared" si="1"/>
        <v>6.2999999999999972</v>
      </c>
      <c r="AD4" s="86">
        <v>32</v>
      </c>
      <c r="AE4" s="86">
        <v>8.6</v>
      </c>
      <c r="AF4" s="94">
        <v>0.44</v>
      </c>
      <c r="AG4" s="86">
        <v>20.7</v>
      </c>
      <c r="AH4" s="86">
        <v>0.4</v>
      </c>
      <c r="AI4" s="86">
        <v>0.4</v>
      </c>
      <c r="AJ4" s="94">
        <v>-3.0000000000000001E-3</v>
      </c>
      <c r="AK4" s="86">
        <v>-3.5</v>
      </c>
      <c r="AL4" s="86">
        <v>-0.1</v>
      </c>
      <c r="AM4" s="86">
        <v>-0.1</v>
      </c>
      <c r="AN4" s="86">
        <v>7.4</v>
      </c>
    </row>
    <row r="5" spans="1:41" x14ac:dyDescent="0.2">
      <c r="A5" s="95">
        <v>24</v>
      </c>
      <c r="B5" s="97" t="s">
        <v>1132</v>
      </c>
      <c r="C5" s="97" t="s">
        <v>252</v>
      </c>
      <c r="D5" s="83">
        <v>67</v>
      </c>
      <c r="E5" s="83">
        <v>65</v>
      </c>
      <c r="F5" s="84">
        <v>225</v>
      </c>
      <c r="G5" s="85">
        <v>35086</v>
      </c>
      <c r="H5" s="86">
        <f t="shared" ca="1" si="0"/>
        <v>24.8</v>
      </c>
      <c r="I5" s="97" t="s">
        <v>763</v>
      </c>
      <c r="J5" s="95">
        <v>4</v>
      </c>
      <c r="K5" s="95">
        <v>2017</v>
      </c>
      <c r="L5" s="95">
        <v>45</v>
      </c>
      <c r="M5" s="97" t="s">
        <v>1133</v>
      </c>
      <c r="N5" s="97" t="s">
        <v>1134</v>
      </c>
      <c r="O5" s="97" t="s">
        <v>2063</v>
      </c>
      <c r="P5" s="87">
        <v>11400000</v>
      </c>
      <c r="Q5" s="87">
        <v>12200000</v>
      </c>
      <c r="R5" s="87">
        <v>11400000</v>
      </c>
      <c r="S5" s="88">
        <f>R5*1.9</f>
        <v>21660000</v>
      </c>
      <c r="V5" s="97"/>
      <c r="W5" s="97" t="s">
        <v>1135</v>
      </c>
      <c r="X5" s="95">
        <v>2</v>
      </c>
      <c r="Y5" s="82">
        <v>65</v>
      </c>
      <c r="Z5" s="94">
        <f>32/65</f>
        <v>0.49230769230769234</v>
      </c>
      <c r="AA5" s="86">
        <v>108.6</v>
      </c>
      <c r="AB5" s="86">
        <v>108.9</v>
      </c>
      <c r="AC5" s="86">
        <f t="shared" si="1"/>
        <v>-0.30000000000001137</v>
      </c>
      <c r="AD5" s="86">
        <v>28.5</v>
      </c>
      <c r="AE5" s="86">
        <v>11.1</v>
      </c>
      <c r="AF5" s="94">
        <v>0.50800000000000001</v>
      </c>
      <c r="AG5" s="86">
        <v>25</v>
      </c>
      <c r="AH5" s="86">
        <v>-0.3</v>
      </c>
      <c r="AI5" s="86">
        <v>1.3</v>
      </c>
      <c r="AJ5" s="94">
        <v>2.5000000000000001E-2</v>
      </c>
      <c r="AK5" s="86">
        <v>-2.8</v>
      </c>
      <c r="AL5" s="86">
        <v>-1.5</v>
      </c>
      <c r="AM5" s="86">
        <v>-1.1000000000000001</v>
      </c>
      <c r="AN5" s="86">
        <v>6</v>
      </c>
    </row>
    <row r="6" spans="1:41" x14ac:dyDescent="0.2">
      <c r="A6" s="95">
        <v>0</v>
      </c>
      <c r="B6" s="97" t="s">
        <v>87</v>
      </c>
      <c r="C6" s="97" t="s">
        <v>230</v>
      </c>
      <c r="D6" s="83">
        <v>62</v>
      </c>
      <c r="E6" s="83">
        <v>68</v>
      </c>
      <c r="F6" s="84">
        <v>200</v>
      </c>
      <c r="G6" s="85">
        <v>35944</v>
      </c>
      <c r="H6" s="86">
        <f t="shared" ca="1" si="0"/>
        <v>22.4</v>
      </c>
      <c r="I6" s="97" t="s">
        <v>224</v>
      </c>
      <c r="J6" s="95">
        <v>3</v>
      </c>
      <c r="K6" s="95">
        <v>2018</v>
      </c>
      <c r="L6" s="95">
        <v>46</v>
      </c>
      <c r="M6" s="97" t="s">
        <v>1118</v>
      </c>
      <c r="N6" s="97" t="s">
        <v>5</v>
      </c>
      <c r="O6" s="97" t="s">
        <v>2501</v>
      </c>
      <c r="P6" s="87">
        <v>9571712</v>
      </c>
      <c r="Q6" s="87">
        <v>8805976</v>
      </c>
      <c r="R6" s="87">
        <v>8250000</v>
      </c>
      <c r="S6" s="255">
        <v>8000000</v>
      </c>
      <c r="T6" s="88">
        <f>S6*1.9</f>
        <v>15200000</v>
      </c>
      <c r="V6" s="97"/>
      <c r="W6" s="97" t="s">
        <v>1136</v>
      </c>
      <c r="X6" s="95">
        <v>2</v>
      </c>
      <c r="Y6" s="82">
        <v>52</v>
      </c>
      <c r="Z6" s="94">
        <f>25/52</f>
        <v>0.48076923076923078</v>
      </c>
      <c r="AA6" s="86">
        <v>111.4</v>
      </c>
      <c r="AB6" s="86">
        <v>105.2</v>
      </c>
      <c r="AC6" s="86">
        <f t="shared" si="1"/>
        <v>6.2000000000000028</v>
      </c>
      <c r="AD6" s="86">
        <v>19.399999999999999</v>
      </c>
      <c r="AE6" s="86">
        <v>14.6</v>
      </c>
      <c r="AF6" s="94">
        <v>0.52500000000000002</v>
      </c>
      <c r="AG6" s="86">
        <v>19.600000000000001</v>
      </c>
      <c r="AH6" s="86">
        <v>0.4</v>
      </c>
      <c r="AI6" s="86">
        <v>1.4</v>
      </c>
      <c r="AJ6" s="94">
        <v>8.5999999999999993E-2</v>
      </c>
      <c r="AK6" s="86">
        <v>-1.6</v>
      </c>
      <c r="AL6" s="86">
        <v>1.8</v>
      </c>
      <c r="AM6" s="86">
        <v>0.6</v>
      </c>
      <c r="AN6" s="86">
        <v>10</v>
      </c>
    </row>
    <row r="7" spans="1:41" x14ac:dyDescent="0.2">
      <c r="A7" s="95">
        <v>1</v>
      </c>
      <c r="B7" s="97" t="s">
        <v>1111</v>
      </c>
      <c r="C7" s="97" t="s">
        <v>241</v>
      </c>
      <c r="D7" s="83">
        <v>69</v>
      </c>
      <c r="E7" s="83">
        <v>73</v>
      </c>
      <c r="F7" s="84">
        <v>230</v>
      </c>
      <c r="G7" s="85">
        <v>34232</v>
      </c>
      <c r="H7" s="86">
        <f t="shared" ca="1" si="0"/>
        <v>27.1</v>
      </c>
      <c r="I7" s="97" t="s">
        <v>534</v>
      </c>
      <c r="J7" s="95">
        <v>7</v>
      </c>
      <c r="K7" s="95">
        <v>2014</v>
      </c>
      <c r="L7" s="95">
        <v>30</v>
      </c>
      <c r="M7" s="97" t="s">
        <v>1112</v>
      </c>
      <c r="N7" s="97" t="s">
        <v>495</v>
      </c>
      <c r="O7" s="97" t="s">
        <v>2064</v>
      </c>
      <c r="P7" s="87">
        <v>9505100</v>
      </c>
      <c r="Q7" s="87">
        <v>9937150</v>
      </c>
      <c r="R7" s="88">
        <f>Q7*1.9</f>
        <v>18880585</v>
      </c>
      <c r="V7" s="97" t="s">
        <v>347</v>
      </c>
      <c r="W7" s="97" t="s">
        <v>1113</v>
      </c>
      <c r="X7" s="95">
        <v>4</v>
      </c>
      <c r="Y7" s="82">
        <v>59</v>
      </c>
      <c r="Z7" s="94">
        <f>30/59</f>
        <v>0.50847457627118642</v>
      </c>
      <c r="AA7" s="86">
        <v>101.8</v>
      </c>
      <c r="AB7" s="86">
        <v>105.9</v>
      </c>
      <c r="AC7" s="86">
        <f t="shared" si="1"/>
        <v>-4.1000000000000085</v>
      </c>
      <c r="AD7" s="86">
        <v>19.3</v>
      </c>
      <c r="AE7" s="86">
        <v>13</v>
      </c>
      <c r="AF7" s="94">
        <v>0.54200000000000004</v>
      </c>
      <c r="AG7" s="86">
        <v>13.3</v>
      </c>
      <c r="AH7" s="86">
        <v>0.9</v>
      </c>
      <c r="AI7" s="86">
        <v>1.4</v>
      </c>
      <c r="AJ7" s="94">
        <v>9.5000000000000001E-2</v>
      </c>
      <c r="AK7" s="86">
        <v>-1.3</v>
      </c>
      <c r="AL7" s="86">
        <v>1.9</v>
      </c>
      <c r="AM7" s="86">
        <v>0.7</v>
      </c>
      <c r="AN7" s="86">
        <v>9.9</v>
      </c>
    </row>
    <row r="8" spans="1:41" x14ac:dyDescent="0.2">
      <c r="A8" s="95">
        <v>12</v>
      </c>
      <c r="B8" s="97" t="s">
        <v>1114</v>
      </c>
      <c r="C8" s="97" t="s">
        <v>247</v>
      </c>
      <c r="D8" s="83">
        <v>63</v>
      </c>
      <c r="E8" s="83">
        <v>67</v>
      </c>
      <c r="F8" s="84">
        <v>174</v>
      </c>
      <c r="G8" s="85">
        <v>36382</v>
      </c>
      <c r="H8" s="86">
        <f t="shared" ca="1" si="0"/>
        <v>21.2</v>
      </c>
      <c r="I8" s="97" t="s">
        <v>1115</v>
      </c>
      <c r="J8" s="95">
        <v>2</v>
      </c>
      <c r="K8" s="95">
        <v>2019</v>
      </c>
      <c r="L8" s="95">
        <v>2</v>
      </c>
      <c r="M8" s="97" t="s">
        <v>1116</v>
      </c>
      <c r="N8" s="97" t="s">
        <v>244</v>
      </c>
      <c r="O8" s="97" t="s">
        <v>1917</v>
      </c>
      <c r="P8" s="87">
        <v>9166800</v>
      </c>
      <c r="Q8" s="90">
        <v>9603360</v>
      </c>
      <c r="R8" s="90">
        <v>12119440</v>
      </c>
      <c r="S8" s="91">
        <f>R8*2.5</f>
        <v>30298600</v>
      </c>
      <c r="V8" s="97"/>
      <c r="W8" s="97" t="s">
        <v>1117</v>
      </c>
      <c r="X8" s="95">
        <v>1</v>
      </c>
      <c r="Y8" s="82">
        <v>59</v>
      </c>
      <c r="Z8" s="94">
        <f>31/59</f>
        <v>0.52542372881355937</v>
      </c>
      <c r="AA8" s="86">
        <v>107.9</v>
      </c>
      <c r="AB8" s="86">
        <v>108.3</v>
      </c>
      <c r="AC8" s="86">
        <f t="shared" si="1"/>
        <v>-0.39999999999999147</v>
      </c>
      <c r="AD8" s="86">
        <v>30</v>
      </c>
      <c r="AE8" s="86">
        <v>18</v>
      </c>
      <c r="AF8" s="94">
        <v>0.56799999999999995</v>
      </c>
      <c r="AG8" s="86">
        <v>26</v>
      </c>
      <c r="AH8" s="86">
        <v>2.2000000000000002</v>
      </c>
      <c r="AI8" s="86">
        <v>1.2</v>
      </c>
      <c r="AJ8" s="94">
        <v>9.2999999999999999E-2</v>
      </c>
      <c r="AK8" s="86">
        <v>1.6</v>
      </c>
      <c r="AL8" s="86">
        <v>-1.3</v>
      </c>
      <c r="AM8" s="86">
        <v>1.1000000000000001</v>
      </c>
      <c r="AN8" s="86">
        <v>13.1</v>
      </c>
    </row>
    <row r="9" spans="1:41" x14ac:dyDescent="0.2">
      <c r="A9" s="95">
        <v>21</v>
      </c>
      <c r="B9" s="97" t="s">
        <v>206</v>
      </c>
      <c r="C9" s="97" t="s">
        <v>247</v>
      </c>
      <c r="D9" s="83">
        <v>60</v>
      </c>
      <c r="E9" s="83">
        <v>65</v>
      </c>
      <c r="F9" s="84">
        <v>196</v>
      </c>
      <c r="G9" s="85">
        <v>35195</v>
      </c>
      <c r="H9" s="86">
        <f t="shared" ca="1" si="0"/>
        <v>24.5</v>
      </c>
      <c r="I9" s="97" t="s">
        <v>253</v>
      </c>
      <c r="J9" s="95">
        <v>6</v>
      </c>
      <c r="K9" s="95">
        <v>2015</v>
      </c>
      <c r="L9" s="95">
        <v>24</v>
      </c>
      <c r="M9" s="97" t="s">
        <v>1109</v>
      </c>
      <c r="N9" s="97" t="s">
        <v>495</v>
      </c>
      <c r="O9" s="97" t="s">
        <v>2065</v>
      </c>
      <c r="P9" s="87">
        <v>8817143</v>
      </c>
      <c r="Q9" s="87">
        <v>8376286</v>
      </c>
      <c r="R9" s="88">
        <f>Q9*1.9</f>
        <v>15914943.399999999</v>
      </c>
      <c r="V9" s="97" t="s">
        <v>1110</v>
      </c>
      <c r="W9" s="100" t="s">
        <v>284</v>
      </c>
      <c r="X9" s="101">
        <v>1</v>
      </c>
      <c r="Y9" s="82">
        <v>65</v>
      </c>
      <c r="Z9" s="94">
        <f>32/65</f>
        <v>0.49230769230769234</v>
      </c>
      <c r="AA9" s="86">
        <v>106.9</v>
      </c>
      <c r="AB9" s="86">
        <v>109.2</v>
      </c>
      <c r="AC9" s="86">
        <f t="shared" si="1"/>
        <v>-2.2999999999999972</v>
      </c>
      <c r="AD9" s="86">
        <v>19</v>
      </c>
      <c r="AE9" s="86">
        <v>15.7</v>
      </c>
      <c r="AF9" s="94">
        <v>0.53200000000000003</v>
      </c>
      <c r="AG9" s="86">
        <v>17.2</v>
      </c>
      <c r="AH9" s="86">
        <v>2</v>
      </c>
      <c r="AI9" s="86">
        <v>1</v>
      </c>
      <c r="AJ9" s="94">
        <v>0.115</v>
      </c>
      <c r="AK9" s="86">
        <v>0.4</v>
      </c>
      <c r="AL9" s="86">
        <v>0.1</v>
      </c>
      <c r="AM9" s="86">
        <v>0.8</v>
      </c>
      <c r="AN9" s="86">
        <v>10.8</v>
      </c>
    </row>
    <row r="10" spans="1:41" x14ac:dyDescent="0.2">
      <c r="A10" s="95">
        <v>13</v>
      </c>
      <c r="B10" s="97" t="s">
        <v>1120</v>
      </c>
      <c r="C10" s="97" t="s">
        <v>234</v>
      </c>
      <c r="D10" s="83">
        <v>611</v>
      </c>
      <c r="E10" s="83">
        <v>74</v>
      </c>
      <c r="F10" s="84">
        <v>242</v>
      </c>
      <c r="G10" s="85">
        <v>36418</v>
      </c>
      <c r="H10" s="86">
        <f t="shared" ca="1" si="0"/>
        <v>21.2</v>
      </c>
      <c r="I10" s="97" t="s">
        <v>489</v>
      </c>
      <c r="J10" s="95">
        <v>3</v>
      </c>
      <c r="K10" s="95">
        <v>2018</v>
      </c>
      <c r="L10" s="95">
        <v>4</v>
      </c>
      <c r="M10" s="97" t="s">
        <v>1121</v>
      </c>
      <c r="N10" s="97" t="s">
        <v>244</v>
      </c>
      <c r="O10" s="97" t="s">
        <v>2066</v>
      </c>
      <c r="P10" s="87">
        <v>7257360</v>
      </c>
      <c r="Q10" s="90">
        <v>9180560</v>
      </c>
      <c r="R10" s="91">
        <f>Q10*3</f>
        <v>27541680</v>
      </c>
      <c r="V10" s="97"/>
      <c r="W10" s="97" t="s">
        <v>1122</v>
      </c>
      <c r="X10" s="95">
        <v>5</v>
      </c>
      <c r="Y10" s="82">
        <v>54</v>
      </c>
      <c r="Z10" s="94">
        <f>28/54</f>
        <v>0.51851851851851849</v>
      </c>
      <c r="AA10" s="86">
        <v>108.4</v>
      </c>
      <c r="AB10" s="86">
        <v>111.5</v>
      </c>
      <c r="AC10" s="86">
        <f t="shared" si="1"/>
        <v>-3.0999999999999943</v>
      </c>
      <c r="AD10" s="86">
        <v>28</v>
      </c>
      <c r="AE10" s="86">
        <v>16.100000000000001</v>
      </c>
      <c r="AF10" s="94">
        <v>0.59</v>
      </c>
      <c r="AG10" s="86">
        <v>23.9</v>
      </c>
      <c r="AH10" s="86">
        <v>1.5</v>
      </c>
      <c r="AI10" s="86">
        <v>1.7</v>
      </c>
      <c r="AJ10" s="94">
        <v>0.1</v>
      </c>
      <c r="AK10" s="86">
        <v>0.2</v>
      </c>
      <c r="AL10" s="86">
        <v>0</v>
      </c>
      <c r="AM10" s="86">
        <v>0.8</v>
      </c>
      <c r="AN10" s="86">
        <v>8.8000000000000007</v>
      </c>
    </row>
    <row r="11" spans="1:41" x14ac:dyDescent="0.2">
      <c r="A11" s="95">
        <v>23</v>
      </c>
      <c r="B11" s="97" t="s">
        <v>1123</v>
      </c>
      <c r="C11" s="97" t="s">
        <v>252</v>
      </c>
      <c r="D11" s="83">
        <v>66</v>
      </c>
      <c r="E11" s="83"/>
      <c r="F11" s="84">
        <v>201</v>
      </c>
      <c r="G11" s="85">
        <v>34766</v>
      </c>
      <c r="H11" s="86">
        <f t="shared" ca="1" si="0"/>
        <v>25.7</v>
      </c>
      <c r="I11" s="97" t="s">
        <v>379</v>
      </c>
      <c r="J11" s="95">
        <v>2</v>
      </c>
      <c r="K11" s="95">
        <v>2017</v>
      </c>
      <c r="L11" s="95"/>
      <c r="M11" s="97" t="s">
        <v>505</v>
      </c>
      <c r="N11" s="97" t="s">
        <v>514</v>
      </c>
      <c r="O11" s="97" t="s">
        <v>1902</v>
      </c>
      <c r="P11" s="87">
        <v>2750000</v>
      </c>
      <c r="Q11" s="91">
        <f>P11*1.3</f>
        <v>3575000</v>
      </c>
      <c r="V11" s="97"/>
      <c r="W11" s="97" t="s">
        <v>1124</v>
      </c>
      <c r="X11" s="95">
        <v>2</v>
      </c>
      <c r="Y11" s="82">
        <v>42</v>
      </c>
      <c r="Z11" s="94">
        <f>18/42</f>
        <v>0.42857142857142855</v>
      </c>
      <c r="AA11" s="86">
        <v>104.4</v>
      </c>
      <c r="AB11" s="86">
        <v>107.7</v>
      </c>
      <c r="AC11" s="86">
        <f t="shared" si="1"/>
        <v>-3.2999999999999972</v>
      </c>
      <c r="AD11" s="86">
        <v>11.3</v>
      </c>
      <c r="AE11" s="86">
        <v>8.8000000000000007</v>
      </c>
      <c r="AF11" s="94">
        <v>0.51500000000000001</v>
      </c>
      <c r="AG11" s="86">
        <v>17.600000000000001</v>
      </c>
      <c r="AH11" s="86">
        <v>-0.2</v>
      </c>
      <c r="AI11" s="86">
        <v>0.4</v>
      </c>
      <c r="AJ11" s="94">
        <v>1.2E-2</v>
      </c>
      <c r="AK11" s="86">
        <v>-2.6</v>
      </c>
      <c r="AL11" s="86">
        <v>-0.8</v>
      </c>
      <c r="AM11" s="86">
        <v>-0.2</v>
      </c>
      <c r="AN11" s="86">
        <v>6.5</v>
      </c>
    </row>
    <row r="12" spans="1:41" x14ac:dyDescent="0.2">
      <c r="A12" s="95">
        <v>15</v>
      </c>
      <c r="B12" s="97" t="s">
        <v>1125</v>
      </c>
      <c r="C12" s="97" t="s">
        <v>234</v>
      </c>
      <c r="D12" s="83">
        <v>68</v>
      </c>
      <c r="E12" s="83">
        <v>68</v>
      </c>
      <c r="F12" s="84">
        <v>215</v>
      </c>
      <c r="G12" s="85">
        <v>35327</v>
      </c>
      <c r="H12" s="86">
        <f t="shared" ca="1" si="0"/>
        <v>24.1</v>
      </c>
      <c r="I12" s="97" t="s">
        <v>973</v>
      </c>
      <c r="J12" s="95">
        <v>2</v>
      </c>
      <c r="K12" s="95">
        <v>2019</v>
      </c>
      <c r="L12" s="95">
        <v>21</v>
      </c>
      <c r="M12" s="97" t="s">
        <v>1126</v>
      </c>
      <c r="N12" s="97" t="s">
        <v>244</v>
      </c>
      <c r="O12" s="97" t="s">
        <v>1903</v>
      </c>
      <c r="P12" s="87">
        <v>2602920</v>
      </c>
      <c r="Q12" s="90">
        <v>2726880</v>
      </c>
      <c r="R12" s="90">
        <v>4343920</v>
      </c>
      <c r="S12" s="91">
        <f>R12*3</f>
        <v>13031760</v>
      </c>
      <c r="V12" s="97"/>
      <c r="W12" s="97" t="s">
        <v>1127</v>
      </c>
      <c r="X12" s="95">
        <v>4</v>
      </c>
      <c r="Y12" s="82">
        <v>50</v>
      </c>
      <c r="Z12" s="94">
        <f>27/50</f>
        <v>0.54</v>
      </c>
      <c r="AA12" s="86">
        <v>108.2</v>
      </c>
      <c r="AB12" s="86">
        <v>107.1</v>
      </c>
      <c r="AC12" s="86">
        <f t="shared" si="1"/>
        <v>1.1000000000000085</v>
      </c>
      <c r="AD12" s="86">
        <v>21.7</v>
      </c>
      <c r="AE12" s="86">
        <v>21.8</v>
      </c>
      <c r="AF12" s="94">
        <v>0.67</v>
      </c>
      <c r="AG12" s="86">
        <v>19</v>
      </c>
      <c r="AH12" s="86">
        <v>3.1</v>
      </c>
      <c r="AI12" s="86">
        <v>1.3</v>
      </c>
      <c r="AJ12" s="94">
        <v>0.192</v>
      </c>
      <c r="AK12" s="86">
        <v>2.8</v>
      </c>
      <c r="AL12" s="86">
        <v>0.7</v>
      </c>
      <c r="AM12" s="86">
        <v>1.5</v>
      </c>
      <c r="AN12" s="86">
        <v>14.4</v>
      </c>
    </row>
    <row r="13" spans="1:41" x14ac:dyDescent="0.2">
      <c r="A13" s="95">
        <v>3</v>
      </c>
      <c r="B13" s="97" t="s">
        <v>1128</v>
      </c>
      <c r="C13" s="97" t="s">
        <v>252</v>
      </c>
      <c r="D13" s="83">
        <v>64</v>
      </c>
      <c r="E13" s="83">
        <v>67</v>
      </c>
      <c r="F13" s="84">
        <v>198</v>
      </c>
      <c r="G13" s="85">
        <v>34980</v>
      </c>
      <c r="H13" s="86">
        <f t="shared" ca="1" si="0"/>
        <v>25.1</v>
      </c>
      <c r="I13" s="97" t="s">
        <v>253</v>
      </c>
      <c r="J13" s="95">
        <v>3</v>
      </c>
      <c r="K13" s="95">
        <v>2018</v>
      </c>
      <c r="L13" s="95">
        <v>21</v>
      </c>
      <c r="M13" s="97" t="s">
        <v>1129</v>
      </c>
      <c r="N13" s="97" t="s">
        <v>1130</v>
      </c>
      <c r="O13" s="97" t="s">
        <v>1932</v>
      </c>
      <c r="P13" s="87">
        <v>2545320</v>
      </c>
      <c r="Q13" s="90">
        <v>4054695</v>
      </c>
      <c r="R13" s="91">
        <f>Q13*3</f>
        <v>12164085</v>
      </c>
      <c r="V13" s="97"/>
      <c r="W13" s="97" t="s">
        <v>1131</v>
      </c>
      <c r="X13" s="95">
        <v>2</v>
      </c>
      <c r="Y13" s="82">
        <v>30</v>
      </c>
      <c r="Z13" s="94">
        <f>14/30</f>
        <v>0.46666666666666667</v>
      </c>
      <c r="AA13" s="86">
        <v>105.2</v>
      </c>
      <c r="AB13" s="86">
        <v>111.6</v>
      </c>
      <c r="AC13" s="86">
        <f t="shared" si="1"/>
        <v>-6.3999999999999915</v>
      </c>
      <c r="AD13" s="86">
        <v>16.600000000000001</v>
      </c>
      <c r="AE13" s="86">
        <v>11.4</v>
      </c>
      <c r="AF13" s="94">
        <v>0.57699999999999996</v>
      </c>
      <c r="AG13" s="86">
        <v>17.899999999999999</v>
      </c>
      <c r="AH13" s="86">
        <v>0.5</v>
      </c>
      <c r="AI13" s="86">
        <v>0.3</v>
      </c>
      <c r="AJ13" s="94">
        <v>7.0000000000000007E-2</v>
      </c>
      <c r="AK13" s="86">
        <v>-1</v>
      </c>
      <c r="AL13" s="86">
        <v>-1.5</v>
      </c>
      <c r="AM13" s="86">
        <v>-0.1</v>
      </c>
      <c r="AN13" s="86">
        <v>8.1999999999999993</v>
      </c>
    </row>
    <row r="14" spans="1:41" x14ac:dyDescent="0.2">
      <c r="A14" s="95">
        <v>46</v>
      </c>
      <c r="B14" s="97" t="s">
        <v>1141</v>
      </c>
      <c r="C14" s="97" t="s">
        <v>252</v>
      </c>
      <c r="D14" s="83">
        <v>65</v>
      </c>
      <c r="E14" s="83">
        <v>68</v>
      </c>
      <c r="F14" s="84">
        <v>210</v>
      </c>
      <c r="G14" s="85">
        <v>35146</v>
      </c>
      <c r="H14" s="86">
        <f t="shared" ca="1" si="0"/>
        <v>24.6</v>
      </c>
      <c r="I14" s="97" t="s">
        <v>1142</v>
      </c>
      <c r="J14" s="95">
        <v>2</v>
      </c>
      <c r="K14" s="95">
        <v>2019</v>
      </c>
      <c r="L14" s="95"/>
      <c r="M14" s="97" t="s">
        <v>418</v>
      </c>
      <c r="N14" s="97" t="s">
        <v>495</v>
      </c>
      <c r="O14" s="97" t="s">
        <v>2567</v>
      </c>
      <c r="P14" s="87">
        <v>2100000</v>
      </c>
      <c r="Q14" s="87">
        <v>2200000</v>
      </c>
      <c r="R14" s="255">
        <v>2300000</v>
      </c>
      <c r="S14" s="255">
        <v>2400000</v>
      </c>
      <c r="T14" s="88">
        <f>S14*1.9</f>
        <v>4560000</v>
      </c>
      <c r="V14" s="97"/>
      <c r="W14" s="97" t="s">
        <v>1143</v>
      </c>
      <c r="X14" s="95">
        <v>2</v>
      </c>
      <c r="Y14" s="82">
        <v>15</v>
      </c>
      <c r="Z14" s="94">
        <f>7/15</f>
        <v>0.46666666666666667</v>
      </c>
      <c r="AA14" s="86">
        <v>110</v>
      </c>
      <c r="AB14" s="86">
        <v>105.2</v>
      </c>
      <c r="AC14" s="86">
        <f t="shared" si="1"/>
        <v>4.7999999999999972</v>
      </c>
      <c r="AD14" s="86">
        <v>11.1</v>
      </c>
      <c r="AE14" s="86">
        <v>19</v>
      </c>
      <c r="AF14" s="94">
        <v>0.71099999999999997</v>
      </c>
      <c r="AG14" s="86">
        <v>10.4</v>
      </c>
      <c r="AH14" s="86">
        <v>0.5</v>
      </c>
      <c r="AI14" s="86">
        <v>0.2</v>
      </c>
      <c r="AJ14" s="94">
        <v>0.19500000000000001</v>
      </c>
      <c r="AK14" s="86">
        <v>2.7</v>
      </c>
      <c r="AL14" s="86">
        <v>2.2000000000000002</v>
      </c>
      <c r="AM14" s="86">
        <v>0.3</v>
      </c>
      <c r="AN14" s="86">
        <v>13.8</v>
      </c>
    </row>
    <row r="15" spans="1:41" x14ac:dyDescent="0.2">
      <c r="A15" s="82">
        <v>44</v>
      </c>
      <c r="B15" s="82" t="s">
        <v>153</v>
      </c>
      <c r="C15" s="82" t="s">
        <v>241</v>
      </c>
      <c r="D15" s="83">
        <v>68</v>
      </c>
      <c r="E15" s="83">
        <v>610</v>
      </c>
      <c r="F15" s="84">
        <v>220</v>
      </c>
      <c r="G15" s="85">
        <v>34755</v>
      </c>
      <c r="H15" s="86">
        <f t="shared" ca="1" si="0"/>
        <v>25.7</v>
      </c>
      <c r="I15" s="82" t="s">
        <v>434</v>
      </c>
      <c r="J15" s="82">
        <v>6</v>
      </c>
      <c r="K15" s="82">
        <v>2015</v>
      </c>
      <c r="L15" s="82">
        <v>5</v>
      </c>
      <c r="M15" s="82" t="s">
        <v>2526</v>
      </c>
      <c r="N15" s="82" t="s">
        <v>2431</v>
      </c>
      <c r="O15" s="82" t="s">
        <v>2170</v>
      </c>
      <c r="P15" s="184">
        <v>1977011</v>
      </c>
      <c r="Q15" s="88">
        <v>1856061</v>
      </c>
      <c r="W15" s="82" t="s">
        <v>1595</v>
      </c>
      <c r="X15" s="95">
        <v>4</v>
      </c>
      <c r="Y15" s="95">
        <v>47</v>
      </c>
      <c r="Z15" s="94">
        <f>20/47</f>
        <v>0.42553191489361702</v>
      </c>
      <c r="AA15" s="86">
        <v>103.7</v>
      </c>
      <c r="AB15" s="86">
        <v>112.7</v>
      </c>
      <c r="AC15" s="86">
        <f t="shared" si="1"/>
        <v>-9</v>
      </c>
      <c r="AD15" s="86">
        <v>16.3</v>
      </c>
      <c r="AE15" s="86">
        <v>9.5</v>
      </c>
      <c r="AF15" s="94">
        <v>0.53200000000000003</v>
      </c>
      <c r="AG15" s="86">
        <v>13.7</v>
      </c>
      <c r="AH15" s="86">
        <v>0.1</v>
      </c>
      <c r="AI15" s="86">
        <v>0.6</v>
      </c>
      <c r="AJ15" s="94">
        <v>4.5999999999999999E-2</v>
      </c>
      <c r="AK15" s="86">
        <v>-3.1</v>
      </c>
      <c r="AL15" s="86">
        <v>0.2</v>
      </c>
      <c r="AM15" s="86">
        <v>-0.2</v>
      </c>
      <c r="AN15" s="86">
        <v>6.8</v>
      </c>
    </row>
    <row r="16" spans="1:41" x14ac:dyDescent="0.2">
      <c r="A16" s="3"/>
      <c r="B16" s="3" t="s">
        <v>2321</v>
      </c>
      <c r="C16" s="3" t="s">
        <v>252</v>
      </c>
      <c r="D16" s="83">
        <v>66</v>
      </c>
      <c r="E16" s="83">
        <v>64</v>
      </c>
      <c r="F16" s="84">
        <v>215</v>
      </c>
      <c r="G16" s="4">
        <v>35971</v>
      </c>
      <c r="H16" s="86">
        <f t="shared" ca="1" si="0"/>
        <v>22.4</v>
      </c>
      <c r="I16" s="3" t="s">
        <v>1321</v>
      </c>
      <c r="J16" s="3">
        <v>1</v>
      </c>
      <c r="K16" s="54">
        <v>2020</v>
      </c>
      <c r="L16" s="95">
        <v>30</v>
      </c>
      <c r="M16" s="16" t="s">
        <v>2322</v>
      </c>
      <c r="N16" s="3" t="s">
        <v>244</v>
      </c>
      <c r="O16" s="22" t="s">
        <v>2314</v>
      </c>
      <c r="P16" s="11">
        <v>1936440</v>
      </c>
      <c r="Q16" s="11">
        <v>2033160</v>
      </c>
      <c r="R16" s="31">
        <v>2130240</v>
      </c>
      <c r="S16" s="31">
        <v>3845803</v>
      </c>
      <c r="T16" s="33">
        <f>S16*3</f>
        <v>11537409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94"/>
      <c r="AG16" s="86"/>
      <c r="AH16" s="86"/>
      <c r="AI16" s="86"/>
      <c r="AJ16" s="94"/>
      <c r="AK16" s="86"/>
      <c r="AL16" s="86"/>
      <c r="AM16" s="86"/>
      <c r="AN16" s="86"/>
    </row>
    <row r="17" spans="1:40" x14ac:dyDescent="0.2">
      <c r="A17" s="95"/>
      <c r="B17" s="97" t="s">
        <v>88</v>
      </c>
      <c r="C17" s="97" t="s">
        <v>234</v>
      </c>
      <c r="D17" s="83">
        <v>611</v>
      </c>
      <c r="E17" s="83">
        <v>70</v>
      </c>
      <c r="F17" s="84">
        <v>240</v>
      </c>
      <c r="G17" s="85">
        <v>36479</v>
      </c>
      <c r="H17" s="86">
        <f t="shared" ca="1" si="0"/>
        <v>21</v>
      </c>
      <c r="I17" s="97" t="s">
        <v>740</v>
      </c>
      <c r="J17" s="95">
        <v>2</v>
      </c>
      <c r="K17" s="95">
        <v>2019</v>
      </c>
      <c r="L17" s="95"/>
      <c r="M17" s="97" t="s">
        <v>643</v>
      </c>
      <c r="N17" s="97" t="s">
        <v>56</v>
      </c>
      <c r="O17" s="93" t="s">
        <v>2581</v>
      </c>
      <c r="P17" s="87">
        <v>1900000</v>
      </c>
      <c r="Q17" s="255">
        <v>1950000</v>
      </c>
      <c r="R17" s="255">
        <v>2000000</v>
      </c>
      <c r="S17" s="88">
        <f>R17*1.9</f>
        <v>3800000</v>
      </c>
      <c r="V17" s="97"/>
      <c r="W17" s="97"/>
      <c r="X17" s="95"/>
      <c r="Z17" s="94"/>
      <c r="AA17" s="86"/>
      <c r="AB17" s="86"/>
      <c r="AC17" s="86"/>
      <c r="AD17" s="86"/>
      <c r="AE17" s="86"/>
      <c r="AF17" s="94"/>
      <c r="AG17" s="86"/>
      <c r="AH17" s="86"/>
      <c r="AI17" s="86"/>
      <c r="AJ17" s="94"/>
      <c r="AK17" s="86"/>
      <c r="AL17" s="86"/>
      <c r="AM17" s="86"/>
      <c r="AN17" s="86"/>
    </row>
    <row r="18" spans="1:40" x14ac:dyDescent="0.2">
      <c r="A18" s="95"/>
      <c r="B18" s="97" t="s">
        <v>2396</v>
      </c>
      <c r="C18" s="97" t="s">
        <v>241</v>
      </c>
      <c r="D18" s="83">
        <v>69</v>
      </c>
      <c r="E18" s="83">
        <v>610</v>
      </c>
      <c r="F18" s="84">
        <v>220</v>
      </c>
      <c r="G18" s="85">
        <v>35859</v>
      </c>
      <c r="H18" s="86">
        <f t="shared" ca="1" si="0"/>
        <v>22.7</v>
      </c>
      <c r="I18" s="97" t="s">
        <v>973</v>
      </c>
      <c r="J18" s="95">
        <v>1</v>
      </c>
      <c r="K18" s="95">
        <v>2020</v>
      </c>
      <c r="L18" s="95"/>
      <c r="M18" s="97" t="s">
        <v>2681</v>
      </c>
      <c r="N18" s="97" t="s">
        <v>288</v>
      </c>
      <c r="O18" s="97" t="s">
        <v>2516</v>
      </c>
      <c r="P18" s="231" t="s">
        <v>288</v>
      </c>
      <c r="Q18" s="91"/>
      <c r="V18" s="97"/>
      <c r="W18" s="97"/>
      <c r="X18" s="95"/>
      <c r="Z18" s="94"/>
      <c r="AA18" s="86"/>
      <c r="AB18" s="86"/>
      <c r="AC18" s="86"/>
      <c r="AD18" s="86"/>
      <c r="AE18" s="86"/>
      <c r="AF18" s="94"/>
      <c r="AG18" s="86"/>
      <c r="AH18" s="86"/>
      <c r="AI18" s="86"/>
      <c r="AJ18" s="94"/>
      <c r="AK18" s="86"/>
      <c r="AL18" s="86"/>
      <c r="AM18" s="86"/>
      <c r="AN18" s="86"/>
    </row>
    <row r="19" spans="1:40" x14ac:dyDescent="0.2">
      <c r="A19" s="95"/>
      <c r="B19" s="97" t="s">
        <v>2400</v>
      </c>
      <c r="C19" s="97"/>
      <c r="D19" s="83">
        <v>66</v>
      </c>
      <c r="E19" s="83"/>
      <c r="F19" s="84">
        <v>195</v>
      </c>
      <c r="G19" s="85">
        <v>35372</v>
      </c>
      <c r="H19" s="86">
        <f t="shared" ca="1" si="0"/>
        <v>24</v>
      </c>
      <c r="I19" s="97" t="s">
        <v>348</v>
      </c>
      <c r="J19" s="95">
        <v>1</v>
      </c>
      <c r="K19" s="95">
        <v>2020</v>
      </c>
      <c r="L19" s="95"/>
      <c r="M19" s="97" t="s">
        <v>2681</v>
      </c>
      <c r="N19" s="97" t="s">
        <v>288</v>
      </c>
      <c r="O19" s="97" t="s">
        <v>2516</v>
      </c>
      <c r="P19" s="231" t="s">
        <v>288</v>
      </c>
      <c r="Q19" s="184" t="s">
        <v>288</v>
      </c>
      <c r="R19" s="273"/>
      <c r="V19" s="97"/>
      <c r="W19" s="97"/>
      <c r="X19" s="95"/>
      <c r="Z19" s="94"/>
      <c r="AA19" s="86"/>
      <c r="AB19" s="86"/>
      <c r="AC19" s="86"/>
      <c r="AD19" s="86"/>
      <c r="AE19" s="86"/>
      <c r="AF19" s="94"/>
      <c r="AG19" s="86"/>
      <c r="AH19" s="86"/>
      <c r="AI19" s="86"/>
      <c r="AJ19" s="94"/>
      <c r="AK19" s="86"/>
      <c r="AL19" s="86"/>
      <c r="AM19" s="86"/>
      <c r="AN19" s="86"/>
    </row>
    <row r="20" spans="1:40" x14ac:dyDescent="0.2">
      <c r="A20" s="95"/>
      <c r="B20" s="97" t="s">
        <v>2401</v>
      </c>
      <c r="C20" s="97" t="s">
        <v>2280</v>
      </c>
      <c r="D20" s="83"/>
      <c r="E20" s="83"/>
      <c r="F20" s="84"/>
      <c r="G20" s="85"/>
      <c r="H20" s="86"/>
      <c r="I20" s="97" t="s">
        <v>2402</v>
      </c>
      <c r="J20" s="95">
        <v>1</v>
      </c>
      <c r="K20" s="95">
        <v>2020</v>
      </c>
      <c r="L20" s="95"/>
      <c r="M20" s="97" t="s">
        <v>2436</v>
      </c>
      <c r="N20" s="97" t="s">
        <v>2403</v>
      </c>
      <c r="O20" s="251"/>
      <c r="P20" s="266">
        <v>898310</v>
      </c>
      <c r="Q20" s="91"/>
      <c r="V20" s="97"/>
      <c r="W20" s="97"/>
      <c r="X20" s="95"/>
      <c r="Z20" s="94"/>
      <c r="AA20" s="86"/>
      <c r="AB20" s="86"/>
      <c r="AC20" s="86"/>
      <c r="AD20" s="86"/>
      <c r="AE20" s="86"/>
      <c r="AF20" s="94"/>
      <c r="AG20" s="86"/>
      <c r="AH20" s="86"/>
      <c r="AI20" s="86"/>
      <c r="AJ20" s="94"/>
      <c r="AK20" s="86"/>
      <c r="AL20" s="86"/>
      <c r="AM20" s="86"/>
      <c r="AN20" s="86"/>
    </row>
    <row r="21" spans="1:40" x14ac:dyDescent="0.2">
      <c r="B21" s="97" t="s">
        <v>290</v>
      </c>
      <c r="C21" s="97"/>
      <c r="D21" s="83"/>
      <c r="E21" s="83"/>
      <c r="F21" s="84"/>
      <c r="H21" s="86"/>
      <c r="L21" s="95"/>
      <c r="P21" s="92">
        <f>12650000+459414</f>
        <v>13109414</v>
      </c>
      <c r="T21" s="87"/>
      <c r="X21" s="93"/>
    </row>
    <row r="22" spans="1:40" x14ac:dyDescent="0.2">
      <c r="A22" s="3"/>
      <c r="B22" s="3" t="s">
        <v>2334</v>
      </c>
      <c r="C22" s="3" t="s">
        <v>234</v>
      </c>
      <c r="D22" s="105">
        <v>68</v>
      </c>
      <c r="E22" s="105">
        <v>71</v>
      </c>
      <c r="F22" s="106">
        <v>245</v>
      </c>
      <c r="G22" s="4">
        <v>36172</v>
      </c>
      <c r="H22" s="86">
        <f ca="1">ROUNDDOWN(YEARFRAC($G$26,G22),1)</f>
        <v>21.8</v>
      </c>
      <c r="I22" s="3" t="s">
        <v>489</v>
      </c>
      <c r="J22" s="3">
        <v>1</v>
      </c>
      <c r="K22" s="3">
        <v>2020</v>
      </c>
      <c r="L22" s="3">
        <v>35</v>
      </c>
      <c r="M22" s="3" t="s">
        <v>2335</v>
      </c>
      <c r="N22" s="3"/>
      <c r="O22" s="3"/>
      <c r="P22" s="168">
        <v>898310</v>
      </c>
      <c r="Q22" s="237"/>
      <c r="R22" s="237"/>
      <c r="S22" s="237"/>
      <c r="T22" s="237"/>
      <c r="U22" s="237"/>
      <c r="V22" s="237"/>
      <c r="W22" s="3"/>
    </row>
    <row r="23" spans="1:40" x14ac:dyDescent="0.2">
      <c r="B23" s="196"/>
      <c r="C23" s="97"/>
      <c r="L23" s="37"/>
      <c r="P23" s="195"/>
      <c r="S23" s="87"/>
    </row>
    <row r="24" spans="1:40" x14ac:dyDescent="0.2">
      <c r="A24" s="95">
        <v>44</v>
      </c>
      <c r="B24" s="97" t="s">
        <v>1838</v>
      </c>
      <c r="C24" s="97" t="s">
        <v>234</v>
      </c>
      <c r="D24" s="83">
        <v>68</v>
      </c>
      <c r="E24" s="83">
        <v>72</v>
      </c>
      <c r="F24" s="84">
        <v>240</v>
      </c>
      <c r="G24" s="85">
        <v>31199</v>
      </c>
      <c r="H24" s="86">
        <f ca="1">ROUNDDOWN(YEARFRAC($G$26,G24),1)</f>
        <v>35.4</v>
      </c>
      <c r="I24" s="97" t="s">
        <v>807</v>
      </c>
      <c r="J24" s="95">
        <v>14</v>
      </c>
      <c r="K24" s="95">
        <v>2007</v>
      </c>
      <c r="L24" s="95"/>
      <c r="M24" s="97" t="s">
        <v>1841</v>
      </c>
      <c r="N24" s="97"/>
      <c r="O24" s="97"/>
      <c r="P24" s="88">
        <v>1707576</v>
      </c>
      <c r="Q24" s="184"/>
      <c r="V24" s="97"/>
      <c r="W24" s="97" t="s">
        <v>1599</v>
      </c>
      <c r="X24" s="95">
        <v>4</v>
      </c>
      <c r="Y24" s="82">
        <v>5</v>
      </c>
      <c r="Z24" s="94">
        <f>3/5</f>
        <v>0.6</v>
      </c>
      <c r="AA24" s="86">
        <v>114.4</v>
      </c>
      <c r="AB24" s="86">
        <v>95</v>
      </c>
      <c r="AC24" s="86">
        <f>AA24-AB24</f>
        <v>19.400000000000006</v>
      </c>
      <c r="AD24" s="86">
        <v>19.3</v>
      </c>
      <c r="AE24" s="86">
        <v>6.8</v>
      </c>
      <c r="AF24" s="94">
        <v>0.59299999999999997</v>
      </c>
      <c r="AG24" s="86">
        <v>12</v>
      </c>
      <c r="AH24" s="86">
        <v>0</v>
      </c>
      <c r="AI24" s="86">
        <v>0.1</v>
      </c>
      <c r="AJ24" s="94">
        <v>2.5999999999999999E-2</v>
      </c>
      <c r="AK24" s="86">
        <v>-3.4</v>
      </c>
      <c r="AL24" s="86">
        <v>0.3</v>
      </c>
      <c r="AM24" s="86">
        <v>0</v>
      </c>
      <c r="AN24" s="86">
        <v>5.8</v>
      </c>
    </row>
    <row r="25" spans="1:40" x14ac:dyDescent="0.2">
      <c r="B25" s="196"/>
      <c r="C25" s="97"/>
      <c r="L25" s="37"/>
      <c r="P25" s="195"/>
      <c r="Q25" s="222"/>
    </row>
    <row r="26" spans="1:40" x14ac:dyDescent="0.2">
      <c r="B26" s="97"/>
      <c r="C26" s="97"/>
      <c r="G26" s="85">
        <f ca="1">TODAY()</f>
        <v>44162</v>
      </c>
      <c r="H26" s="93">
        <f ca="1">AVERAGE(H2:H17)</f>
        <v>24.606249999999999</v>
      </c>
      <c r="I26" s="93"/>
      <c r="J26" s="93">
        <f>AVERAGE(J2:J17)</f>
        <v>4.125</v>
      </c>
      <c r="N26" s="87"/>
      <c r="Q26" s="222"/>
    </row>
    <row r="27" spans="1:40" x14ac:dyDescent="0.2">
      <c r="B27" s="97"/>
      <c r="H27" s="128">
        <f ca="1">MEDIAN(H2:H17)</f>
        <v>24.6</v>
      </c>
      <c r="J27" s="95">
        <f>MEDIAN(J2:J17)</f>
        <v>3</v>
      </c>
      <c r="N27" s="92"/>
      <c r="O27" s="87"/>
      <c r="P27" s="87"/>
      <c r="Q27" s="222"/>
    </row>
    <row r="28" spans="1:40" x14ac:dyDescent="0.2">
      <c r="B28" s="197" t="s">
        <v>1985</v>
      </c>
      <c r="G28" s="197"/>
      <c r="P28" s="137">
        <f>SUM(P2:P21)-P20</f>
        <v>129926860</v>
      </c>
    </row>
    <row r="29" spans="1:40" x14ac:dyDescent="0.2">
      <c r="B29" s="3" t="s">
        <v>1876</v>
      </c>
      <c r="C29" s="82">
        <v>16</v>
      </c>
      <c r="G29" s="3"/>
      <c r="P29" s="87">
        <f>SUM(P2:P21)</f>
        <v>130825170</v>
      </c>
    </row>
    <row r="30" spans="1:40" x14ac:dyDescent="0.2">
      <c r="B30" s="3" t="s">
        <v>2457</v>
      </c>
      <c r="C30" s="82">
        <v>1</v>
      </c>
      <c r="G30" s="3"/>
      <c r="P30" s="22"/>
    </row>
    <row r="31" spans="1:40" x14ac:dyDescent="0.2">
      <c r="B31" s="3" t="s">
        <v>2539</v>
      </c>
      <c r="C31" s="82">
        <v>2</v>
      </c>
      <c r="D31" s="85"/>
      <c r="G31" s="3"/>
      <c r="O31" s="82" t="s">
        <v>292</v>
      </c>
      <c r="P31" s="22" t="e">
        <f>#REF!</f>
        <v>#REF!</v>
      </c>
    </row>
    <row r="32" spans="1:40" x14ac:dyDescent="0.2">
      <c r="B32" s="3" t="s">
        <v>495</v>
      </c>
      <c r="C32" s="92">
        <f>9258000-P14-P17</f>
        <v>5258000</v>
      </c>
      <c r="D32" s="85" t="s">
        <v>2630</v>
      </c>
      <c r="G32" s="3"/>
      <c r="O32" s="92" t="s">
        <v>294</v>
      </c>
      <c r="P32" s="22" t="e">
        <f>#REF!</f>
        <v>#REF!</v>
      </c>
    </row>
    <row r="33" spans="2:16" x14ac:dyDescent="0.2">
      <c r="B33" s="3" t="s">
        <v>2492</v>
      </c>
      <c r="C33" s="92">
        <v>4185185</v>
      </c>
      <c r="D33" s="85">
        <v>44233</v>
      </c>
      <c r="G33" s="3"/>
      <c r="O33" s="92"/>
      <c r="P33" s="22"/>
    </row>
    <row r="34" spans="2:16" x14ac:dyDescent="0.2">
      <c r="B34" s="3" t="s">
        <v>293</v>
      </c>
      <c r="C34" s="92">
        <v>0</v>
      </c>
      <c r="D34" s="85"/>
      <c r="G34" s="3"/>
      <c r="H34" s="92"/>
      <c r="O34" s="92"/>
      <c r="P34" s="92"/>
    </row>
    <row r="35" spans="2:16" x14ac:dyDescent="0.2">
      <c r="B35" s="3" t="s">
        <v>295</v>
      </c>
      <c r="C35" s="92">
        <v>0</v>
      </c>
      <c r="D35" s="85"/>
      <c r="G35" s="3"/>
      <c r="H35" s="92"/>
      <c r="P35" s="92"/>
    </row>
    <row r="36" spans="2:16" x14ac:dyDescent="0.2">
      <c r="B36" s="97"/>
      <c r="C36" s="97"/>
      <c r="O36" s="92"/>
    </row>
    <row r="37" spans="2:16" x14ac:dyDescent="0.2">
      <c r="B37" s="196" t="s">
        <v>1875</v>
      </c>
      <c r="C37" s="97"/>
      <c r="O37" s="92"/>
    </row>
    <row r="38" spans="2:16" x14ac:dyDescent="0.2">
      <c r="B38" s="97" t="s">
        <v>296</v>
      </c>
      <c r="C38" s="94">
        <f>34/(34+39)</f>
        <v>0.46575342465753422</v>
      </c>
      <c r="D38" s="82" t="s">
        <v>769</v>
      </c>
    </row>
    <row r="39" spans="2:16" x14ac:dyDescent="0.2">
      <c r="B39" s="97" t="s">
        <v>298</v>
      </c>
      <c r="C39" s="86">
        <v>108.7</v>
      </c>
      <c r="D39" s="82" t="s">
        <v>2059</v>
      </c>
    </row>
    <row r="40" spans="2:16" x14ac:dyDescent="0.2">
      <c r="B40" s="97" t="s">
        <v>299</v>
      </c>
      <c r="C40" s="86">
        <v>109.7</v>
      </c>
      <c r="D40" s="82" t="s">
        <v>2057</v>
      </c>
    </row>
    <row r="41" spans="2:16" x14ac:dyDescent="0.2">
      <c r="B41" s="97" t="s">
        <v>300</v>
      </c>
      <c r="C41" s="86">
        <f>C39-C40</f>
        <v>-1</v>
      </c>
      <c r="D41" s="82" t="s">
        <v>1986</v>
      </c>
    </row>
    <row r="42" spans="2:16" x14ac:dyDescent="0.2">
      <c r="B42" s="97" t="s">
        <v>301</v>
      </c>
      <c r="C42" s="93">
        <v>103.31</v>
      </c>
      <c r="D42" s="82" t="s">
        <v>1978</v>
      </c>
      <c r="N42" s="87"/>
    </row>
    <row r="43" spans="2:16" x14ac:dyDescent="0.2">
      <c r="B43" s="97"/>
      <c r="C43" s="97"/>
      <c r="N43" s="92"/>
    </row>
    <row r="44" spans="2:16" x14ac:dyDescent="0.2">
      <c r="B44" s="98" t="s">
        <v>302</v>
      </c>
      <c r="C44" s="98"/>
    </row>
    <row r="45" spans="2:16" x14ac:dyDescent="0.2">
      <c r="B45" s="98" t="s">
        <v>2058</v>
      </c>
      <c r="C45" s="98"/>
    </row>
    <row r="46" spans="2:16" x14ac:dyDescent="0.2">
      <c r="B46" s="98" t="s">
        <v>1147</v>
      </c>
      <c r="C46" s="98"/>
    </row>
    <row r="47" spans="2:16" x14ac:dyDescent="0.2">
      <c r="B47" s="98" t="s">
        <v>1148</v>
      </c>
      <c r="C47" s="98"/>
    </row>
    <row r="48" spans="2:16" x14ac:dyDescent="0.2">
      <c r="B48" s="98" t="s">
        <v>1149</v>
      </c>
      <c r="C48" s="98"/>
    </row>
    <row r="49" spans="2:11" x14ac:dyDescent="0.2">
      <c r="B49" s="98" t="s">
        <v>1150</v>
      </c>
      <c r="C49" s="98"/>
    </row>
    <row r="50" spans="2:11" x14ac:dyDescent="0.2">
      <c r="B50" s="98" t="s">
        <v>1151</v>
      </c>
      <c r="C50" s="98"/>
    </row>
    <row r="51" spans="2:11" x14ac:dyDescent="0.2">
      <c r="B51" s="98" t="s">
        <v>1152</v>
      </c>
      <c r="C51" s="98"/>
    </row>
    <row r="52" spans="2:11" x14ac:dyDescent="0.2">
      <c r="B52" s="98"/>
      <c r="C52" s="98"/>
    </row>
    <row r="53" spans="2:11" x14ac:dyDescent="0.2">
      <c r="B53" s="98" t="s">
        <v>310</v>
      </c>
      <c r="C53" s="98"/>
    </row>
    <row r="54" spans="2:11" x14ac:dyDescent="0.2">
      <c r="B54" s="98" t="s">
        <v>1153</v>
      </c>
      <c r="C54" s="98"/>
    </row>
    <row r="55" spans="2:11" x14ac:dyDescent="0.2">
      <c r="B55" s="98" t="s">
        <v>1154</v>
      </c>
      <c r="C55" s="98"/>
    </row>
    <row r="56" spans="2:11" x14ac:dyDescent="0.2">
      <c r="B56" s="98"/>
      <c r="C56" s="98"/>
    </row>
    <row r="57" spans="2:11" x14ac:dyDescent="0.2">
      <c r="B57" s="203" t="s">
        <v>1989</v>
      </c>
      <c r="C57" s="99"/>
    </row>
    <row r="58" spans="2:11" x14ac:dyDescent="0.2">
      <c r="B58" s="39" t="s">
        <v>314</v>
      </c>
      <c r="C58" s="82">
        <v>34</v>
      </c>
      <c r="D58" s="82">
        <v>39</v>
      </c>
      <c r="E58" s="82" t="s">
        <v>769</v>
      </c>
      <c r="G58" s="82" t="s">
        <v>1146</v>
      </c>
      <c r="J58" s="111" t="s">
        <v>316</v>
      </c>
    </row>
    <row r="59" spans="2:11" x14ac:dyDescent="0.2">
      <c r="B59" s="39" t="s">
        <v>317</v>
      </c>
      <c r="C59" s="82">
        <v>33</v>
      </c>
      <c r="D59" s="82">
        <v>49</v>
      </c>
      <c r="E59" s="82" t="s">
        <v>770</v>
      </c>
      <c r="G59" s="82" t="s">
        <v>644</v>
      </c>
      <c r="I59" s="111"/>
      <c r="J59" s="111" t="s">
        <v>316</v>
      </c>
      <c r="K59" s="111"/>
    </row>
    <row r="60" spans="2:11" x14ac:dyDescent="0.2">
      <c r="B60" s="39" t="s">
        <v>319</v>
      </c>
      <c r="C60" s="82">
        <v>22</v>
      </c>
      <c r="D60" s="82">
        <v>60</v>
      </c>
      <c r="E60" s="82" t="s">
        <v>714</v>
      </c>
      <c r="G60" s="82" t="s">
        <v>1155</v>
      </c>
      <c r="I60" s="111"/>
      <c r="J60" s="111" t="s">
        <v>316</v>
      </c>
      <c r="K60" s="111"/>
    </row>
    <row r="61" spans="2:11" x14ac:dyDescent="0.2">
      <c r="B61" s="39" t="s">
        <v>322</v>
      </c>
      <c r="C61" s="82">
        <v>43</v>
      </c>
      <c r="D61" s="82">
        <v>39</v>
      </c>
      <c r="E61" s="82" t="s">
        <v>711</v>
      </c>
      <c r="G61" s="82" t="s">
        <v>1156</v>
      </c>
      <c r="J61" s="82" t="s">
        <v>1157</v>
      </c>
    </row>
    <row r="62" spans="2:11" x14ac:dyDescent="0.2">
      <c r="B62" s="39" t="s">
        <v>325</v>
      </c>
      <c r="C62" s="82">
        <v>42</v>
      </c>
      <c r="D62" s="82">
        <v>40</v>
      </c>
      <c r="E62" s="82" t="s">
        <v>711</v>
      </c>
      <c r="G62" s="82" t="s">
        <v>1158</v>
      </c>
      <c r="J62" s="82" t="s">
        <v>1096</v>
      </c>
    </row>
    <row r="63" spans="2:11" x14ac:dyDescent="0.2">
      <c r="B63" s="39" t="s">
        <v>328</v>
      </c>
      <c r="C63" s="82">
        <v>55</v>
      </c>
      <c r="D63" s="82">
        <v>27</v>
      </c>
      <c r="E63" s="82" t="s">
        <v>776</v>
      </c>
      <c r="G63" s="82" t="s">
        <v>1158</v>
      </c>
      <c r="J63" s="82" t="s">
        <v>1159</v>
      </c>
    </row>
    <row r="64" spans="2:11" x14ac:dyDescent="0.2">
      <c r="B64" s="39" t="s">
        <v>331</v>
      </c>
      <c r="C64" s="82">
        <v>50</v>
      </c>
      <c r="D64" s="82">
        <v>32</v>
      </c>
      <c r="E64" s="82" t="s">
        <v>711</v>
      </c>
      <c r="G64" s="82" t="s">
        <v>1158</v>
      </c>
      <c r="J64" s="82" t="s">
        <v>1160</v>
      </c>
    </row>
    <row r="65" spans="2:10" x14ac:dyDescent="0.2">
      <c r="B65" s="39" t="s">
        <v>334</v>
      </c>
      <c r="C65" s="82">
        <v>56</v>
      </c>
      <c r="D65" s="82">
        <v>26</v>
      </c>
      <c r="E65" s="82" t="s">
        <v>776</v>
      </c>
      <c r="G65" s="82" t="s">
        <v>464</v>
      </c>
      <c r="J65" s="82" t="s">
        <v>1161</v>
      </c>
    </row>
    <row r="66" spans="2:10" x14ac:dyDescent="0.2">
      <c r="B66" s="39" t="s">
        <v>338</v>
      </c>
      <c r="C66" s="82">
        <v>41</v>
      </c>
      <c r="D66" s="82">
        <v>25</v>
      </c>
      <c r="E66" s="82" t="s">
        <v>943</v>
      </c>
      <c r="G66" s="82" t="s">
        <v>464</v>
      </c>
      <c r="J66" s="82" t="s">
        <v>891</v>
      </c>
    </row>
    <row r="67" spans="2:10" x14ac:dyDescent="0.2">
      <c r="B67" s="39" t="s">
        <v>340</v>
      </c>
      <c r="C67" s="82">
        <v>46</v>
      </c>
      <c r="D67" s="82">
        <v>36</v>
      </c>
      <c r="E67" s="82" t="s">
        <v>720</v>
      </c>
      <c r="G67" s="82" t="s">
        <v>464</v>
      </c>
      <c r="J67" s="82" t="s">
        <v>1162</v>
      </c>
    </row>
    <row r="68" spans="2:10" x14ac:dyDescent="0.2">
      <c r="B68" s="82" t="s">
        <v>342</v>
      </c>
      <c r="C68" s="82">
        <f>SUM(C58:C67)</f>
        <v>422</v>
      </c>
      <c r="D68" s="82">
        <f>SUM(D58:D67)</f>
        <v>373</v>
      </c>
      <c r="E68" s="94">
        <f>C68/(C68+D68)</f>
        <v>0.53081761006289307</v>
      </c>
    </row>
  </sheetData>
  <phoneticPr fontId="23" type="noConversion"/>
  <pageMargins left="0.7" right="0.7" top="0.75" bottom="0.75" header="0.3" footer="0.3"/>
  <ignoredErrors>
    <ignoredError sqref="J26:J27" formulaRange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2C42-802D-B846-BA55-6302BEAF8511}">
  <dimension ref="A1:AU65"/>
  <sheetViews>
    <sheetView zoomScaleNormal="100" workbookViewId="0"/>
  </sheetViews>
  <sheetFormatPr baseColWidth="10" defaultColWidth="11" defaultRowHeight="16" x14ac:dyDescent="0.2"/>
  <cols>
    <col min="1" max="1" width="5.33203125" style="59" customWidth="1"/>
    <col min="2" max="2" width="20.1640625" style="59" customWidth="1"/>
    <col min="3" max="3" width="11.5" style="59" customWidth="1"/>
    <col min="4" max="4" width="11" style="59"/>
    <col min="5" max="5" width="11.1640625" style="59" customWidth="1"/>
    <col min="6" max="6" width="8.33203125" style="59" customWidth="1"/>
    <col min="7" max="7" width="10.6640625" style="59" customWidth="1"/>
    <col min="8" max="8" width="6" style="59" customWidth="1"/>
    <col min="9" max="9" width="18.5" style="59" customWidth="1"/>
    <col min="10" max="10" width="11" style="59" customWidth="1"/>
    <col min="11" max="11" width="12" style="59" customWidth="1"/>
    <col min="12" max="12" width="4.83203125" style="59" customWidth="1"/>
    <col min="13" max="13" width="33.33203125" style="59" customWidth="1"/>
    <col min="14" max="14" width="13.83203125" style="59" customWidth="1"/>
    <col min="15" max="15" width="86.5" style="59" bestFit="1" customWidth="1"/>
    <col min="16" max="16" width="13.6640625" style="59" customWidth="1"/>
    <col min="17" max="17" width="13.6640625" style="59" bestFit="1" customWidth="1"/>
    <col min="18" max="18" width="12.5" style="59" bestFit="1" customWidth="1"/>
    <col min="19" max="19" width="13.33203125" style="59" customWidth="1"/>
    <col min="20" max="20" width="12.6640625" style="59" customWidth="1"/>
    <col min="21" max="22" width="11.6640625" style="59" customWidth="1"/>
    <col min="23" max="23" width="93.1640625" style="59" customWidth="1"/>
    <col min="24" max="24" width="26.33203125" style="59" customWidth="1"/>
    <col min="25" max="25" width="10.1640625" style="59" customWidth="1"/>
    <col min="26" max="26" width="4.33203125" style="59" customWidth="1"/>
    <col min="27" max="27" width="7.83203125" style="59" customWidth="1"/>
    <col min="28" max="28" width="6" style="59" customWidth="1"/>
    <col min="29" max="29" width="5.83203125" style="59" customWidth="1"/>
    <col min="30" max="30" width="7.83203125" style="59" customWidth="1"/>
    <col min="31" max="31" width="5.33203125" style="59" customWidth="1"/>
    <col min="32" max="32" width="6.33203125" style="59" customWidth="1"/>
    <col min="33" max="33" width="6.5" style="59" customWidth="1"/>
    <col min="34" max="34" width="7.33203125" style="59" customWidth="1"/>
    <col min="35" max="36" width="5.1640625" style="59" customWidth="1"/>
    <col min="37" max="37" width="6.83203125" style="59" customWidth="1"/>
    <col min="38" max="38" width="6.5" style="59" customWidth="1"/>
    <col min="39" max="39" width="5.83203125" style="59" customWidth="1"/>
    <col min="40" max="40" width="5.6640625" style="59" customWidth="1"/>
    <col min="41" max="41" width="5.1640625" style="59" customWidth="1"/>
    <col min="42" max="16384" width="11" style="59"/>
  </cols>
  <sheetData>
    <row r="1" spans="1:47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2441</v>
      </c>
      <c r="W1" s="169" t="s">
        <v>2146</v>
      </c>
      <c r="X1" s="169" t="s">
        <v>2147</v>
      </c>
      <c r="Y1" s="169" t="s">
        <v>2127</v>
      </c>
      <c r="Z1" s="169" t="s">
        <v>2148</v>
      </c>
      <c r="AA1" s="169" t="s">
        <v>2149</v>
      </c>
      <c r="AB1" s="169" t="s">
        <v>2150</v>
      </c>
      <c r="AC1" s="169" t="s">
        <v>2151</v>
      </c>
      <c r="AD1" s="169" t="s">
        <v>2152</v>
      </c>
      <c r="AE1" s="169" t="s">
        <v>2153</v>
      </c>
      <c r="AF1" s="169" t="s">
        <v>2154</v>
      </c>
      <c r="AG1" s="169" t="s">
        <v>2155</v>
      </c>
      <c r="AH1" s="169" t="s">
        <v>2156</v>
      </c>
      <c r="AI1" s="169" t="s">
        <v>2157</v>
      </c>
      <c r="AJ1" s="169" t="s">
        <v>2158</v>
      </c>
      <c r="AK1" s="169" t="s">
        <v>2159</v>
      </c>
      <c r="AL1" s="169" t="s">
        <v>2160</v>
      </c>
      <c r="AM1" s="169" t="s">
        <v>2161</v>
      </c>
      <c r="AN1" s="169" t="s">
        <v>2162</v>
      </c>
      <c r="AO1" s="169" t="s">
        <v>2163</v>
      </c>
      <c r="AP1" s="3"/>
      <c r="AQ1" s="82"/>
    </row>
    <row r="2" spans="1:47" x14ac:dyDescent="0.2">
      <c r="A2" s="107">
        <v>22</v>
      </c>
      <c r="B2" s="3" t="s">
        <v>1163</v>
      </c>
      <c r="C2" s="3" t="s">
        <v>252</v>
      </c>
      <c r="D2" s="105">
        <v>67</v>
      </c>
      <c r="E2" s="105">
        <v>68</v>
      </c>
      <c r="F2" s="106">
        <v>230</v>
      </c>
      <c r="G2" s="4">
        <v>32765</v>
      </c>
      <c r="H2" s="110">
        <f t="shared" ref="H2:H17" ca="1" si="0">ROUNDDOWN(YEARFRAC($G$22,G2),1)</f>
        <v>31.2</v>
      </c>
      <c r="I2" s="3" t="s">
        <v>1164</v>
      </c>
      <c r="J2" s="3">
        <v>10</v>
      </c>
      <c r="K2" s="107">
        <v>2011</v>
      </c>
      <c r="L2" s="107">
        <v>30</v>
      </c>
      <c r="M2" s="3" t="s">
        <v>1165</v>
      </c>
      <c r="N2" s="3" t="s">
        <v>346</v>
      </c>
      <c r="O2" s="3" t="s">
        <v>1899</v>
      </c>
      <c r="P2" s="11">
        <v>34379100</v>
      </c>
      <c r="Q2" s="11">
        <v>36016200</v>
      </c>
      <c r="R2" s="47">
        <v>37653300</v>
      </c>
      <c r="S2" s="14">
        <v>48234375</v>
      </c>
      <c r="T2" s="3"/>
      <c r="U2" s="3"/>
      <c r="V2" s="3"/>
      <c r="W2" s="3" t="s">
        <v>347</v>
      </c>
      <c r="X2" s="3" t="s">
        <v>1166</v>
      </c>
      <c r="Y2" s="107">
        <v>3</v>
      </c>
      <c r="Z2" s="107">
        <v>54</v>
      </c>
      <c r="AA2" s="41">
        <f>36/54</f>
        <v>0.66666666666666663</v>
      </c>
      <c r="AB2" s="110">
        <v>113.4</v>
      </c>
      <c r="AC2" s="110">
        <v>108.5</v>
      </c>
      <c r="AD2" s="110">
        <f t="shared" ref="AD2:AD16" si="1">AB2-AC2</f>
        <v>4.9000000000000057</v>
      </c>
      <c r="AE2" s="110">
        <v>34.299999999999997</v>
      </c>
      <c r="AF2" s="110">
        <v>23.4</v>
      </c>
      <c r="AG2" s="41">
        <v>0.58299999999999996</v>
      </c>
      <c r="AH2" s="110">
        <v>25.2</v>
      </c>
      <c r="AI2" s="110">
        <v>6</v>
      </c>
      <c r="AJ2" s="110">
        <v>2.5</v>
      </c>
      <c r="AK2" s="41">
        <v>0.219</v>
      </c>
      <c r="AL2" s="110">
        <v>4</v>
      </c>
      <c r="AM2" s="110">
        <v>1.3</v>
      </c>
      <c r="AN2" s="110">
        <v>3.4</v>
      </c>
      <c r="AO2" s="110">
        <v>15.7</v>
      </c>
    </row>
    <row r="3" spans="1:47" x14ac:dyDescent="0.2">
      <c r="A3" s="107">
        <v>7</v>
      </c>
      <c r="B3" s="3" t="s">
        <v>89</v>
      </c>
      <c r="C3" s="3" t="s">
        <v>247</v>
      </c>
      <c r="D3" s="105">
        <v>63</v>
      </c>
      <c r="E3" s="105">
        <v>67</v>
      </c>
      <c r="F3" s="106">
        <v>190</v>
      </c>
      <c r="G3" s="4">
        <v>31538</v>
      </c>
      <c r="H3" s="110">
        <f t="shared" ca="1" si="0"/>
        <v>34.5</v>
      </c>
      <c r="I3" s="3" t="s">
        <v>1167</v>
      </c>
      <c r="J3" s="3">
        <v>13</v>
      </c>
      <c r="K3" s="107">
        <v>2008</v>
      </c>
      <c r="L3" s="107">
        <v>45</v>
      </c>
      <c r="M3" s="3" t="s">
        <v>1168</v>
      </c>
      <c r="N3" s="3" t="s">
        <v>1</v>
      </c>
      <c r="O3" s="3" t="s">
        <v>2433</v>
      </c>
      <c r="P3" s="16">
        <v>18000000</v>
      </c>
      <c r="Q3" s="58">
        <f>P3*1.08</f>
        <v>19440000</v>
      </c>
      <c r="R3" s="51">
        <f>Q3*1.5</f>
        <v>29160000</v>
      </c>
      <c r="S3" s="12"/>
      <c r="T3" s="12"/>
      <c r="U3" s="3"/>
      <c r="V3" s="3"/>
      <c r="W3" s="3"/>
      <c r="X3" s="5" t="s">
        <v>284</v>
      </c>
      <c r="Y3" s="107">
        <v>1</v>
      </c>
      <c r="Z3" s="107">
        <v>54</v>
      </c>
      <c r="AA3" s="41">
        <f>34/54</f>
        <v>0.62962962962962965</v>
      </c>
      <c r="AB3" s="110">
        <v>111</v>
      </c>
      <c r="AC3" s="110">
        <v>108.7</v>
      </c>
      <c r="AD3" s="110">
        <f t="shared" si="1"/>
        <v>2.2999999999999972</v>
      </c>
      <c r="AE3" s="110">
        <v>28.4</v>
      </c>
      <c r="AF3" s="110">
        <v>15.9</v>
      </c>
      <c r="AG3" s="41">
        <v>0.57099999999999995</v>
      </c>
      <c r="AH3" s="110">
        <v>25.7</v>
      </c>
      <c r="AI3" s="110">
        <v>2</v>
      </c>
      <c r="AJ3" s="110">
        <v>1.1000000000000001</v>
      </c>
      <c r="AK3" s="41">
        <v>9.5000000000000001E-2</v>
      </c>
      <c r="AL3" s="110">
        <v>1.4</v>
      </c>
      <c r="AM3" s="110">
        <v>-1.9</v>
      </c>
      <c r="AN3" s="110">
        <v>0.6</v>
      </c>
      <c r="AO3" s="110">
        <v>11.1</v>
      </c>
    </row>
    <row r="4" spans="1:47" x14ac:dyDescent="0.2">
      <c r="A4" s="107">
        <v>28</v>
      </c>
      <c r="B4" s="3" t="s">
        <v>1144</v>
      </c>
      <c r="C4" s="3" t="s">
        <v>241</v>
      </c>
      <c r="D4" s="105">
        <v>66</v>
      </c>
      <c r="E4" s="105">
        <v>611</v>
      </c>
      <c r="F4" s="106">
        <v>215</v>
      </c>
      <c r="G4" s="4">
        <v>30709</v>
      </c>
      <c r="H4" s="110">
        <f t="shared" ca="1" si="0"/>
        <v>36.799999999999997</v>
      </c>
      <c r="I4" s="3" t="s">
        <v>511</v>
      </c>
      <c r="J4" s="3">
        <v>17</v>
      </c>
      <c r="K4" s="107">
        <v>2004</v>
      </c>
      <c r="L4" s="107">
        <v>9</v>
      </c>
      <c r="M4" s="3" t="s">
        <v>917</v>
      </c>
      <c r="N4" s="3" t="s">
        <v>1</v>
      </c>
      <c r="O4" s="3" t="s">
        <v>2068</v>
      </c>
      <c r="P4" s="11">
        <v>15000000</v>
      </c>
      <c r="Q4" s="48">
        <v>15000000</v>
      </c>
      <c r="R4" s="14">
        <f>Q4*1.5</f>
        <v>22500000</v>
      </c>
      <c r="S4" s="3"/>
      <c r="T4" s="3"/>
      <c r="U4" s="3"/>
      <c r="V4" s="3"/>
      <c r="W4" s="3" t="s">
        <v>1385</v>
      </c>
      <c r="X4" s="3" t="s">
        <v>1169</v>
      </c>
      <c r="Y4" s="107">
        <v>2</v>
      </c>
      <c r="Z4" s="107">
        <v>14</v>
      </c>
      <c r="AA4" s="41">
        <f>7/14</f>
        <v>0.5</v>
      </c>
      <c r="AB4" s="110">
        <v>103.3</v>
      </c>
      <c r="AC4" s="110">
        <v>106.4</v>
      </c>
      <c r="AD4" s="110">
        <f t="shared" si="1"/>
        <v>-3.1000000000000085</v>
      </c>
      <c r="AE4" s="110">
        <v>18.5</v>
      </c>
      <c r="AF4" s="110">
        <v>11</v>
      </c>
      <c r="AG4" s="41">
        <v>0.55900000000000005</v>
      </c>
      <c r="AH4" s="110">
        <v>12.2</v>
      </c>
      <c r="AI4" s="110">
        <v>0</v>
      </c>
      <c r="AJ4" s="110">
        <v>0.4</v>
      </c>
      <c r="AK4" s="41">
        <v>7.8E-2</v>
      </c>
      <c r="AL4" s="110">
        <v>-2.5</v>
      </c>
      <c r="AM4" s="110">
        <v>1.9</v>
      </c>
      <c r="AN4" s="110">
        <v>0.1</v>
      </c>
      <c r="AO4" s="110">
        <v>7.8</v>
      </c>
    </row>
    <row r="5" spans="1:47" x14ac:dyDescent="0.2">
      <c r="A5" s="107">
        <v>9</v>
      </c>
      <c r="B5" s="3" t="s">
        <v>91</v>
      </c>
      <c r="C5" s="3" t="s">
        <v>234</v>
      </c>
      <c r="D5" s="105">
        <v>611</v>
      </c>
      <c r="E5" s="105">
        <v>610</v>
      </c>
      <c r="F5" s="106">
        <v>240</v>
      </c>
      <c r="G5" s="4">
        <v>33347</v>
      </c>
      <c r="H5" s="110">
        <f t="shared" ca="1" si="0"/>
        <v>29.6</v>
      </c>
      <c r="I5" s="3" t="s">
        <v>973</v>
      </c>
      <c r="J5" s="3">
        <v>8</v>
      </c>
      <c r="K5" s="107">
        <v>2013</v>
      </c>
      <c r="L5" s="107">
        <v>13</v>
      </c>
      <c r="M5" s="3" t="s">
        <v>2545</v>
      </c>
      <c r="N5" s="3" t="s">
        <v>279</v>
      </c>
      <c r="O5" s="3" t="s">
        <v>2230</v>
      </c>
      <c r="P5" s="16">
        <v>13598243</v>
      </c>
      <c r="Q5" s="14">
        <f>P5*1.5</f>
        <v>20397364.5</v>
      </c>
      <c r="R5" s="3"/>
      <c r="S5" s="27"/>
      <c r="T5" s="3"/>
      <c r="U5" s="3"/>
      <c r="V5" s="3"/>
      <c r="W5" s="3" t="s">
        <v>2544</v>
      </c>
      <c r="X5" s="5" t="s">
        <v>238</v>
      </c>
      <c r="Y5" s="107">
        <v>5</v>
      </c>
      <c r="Z5" s="107">
        <v>59</v>
      </c>
      <c r="AA5" s="41">
        <f>38/59</f>
        <v>0.64406779661016944</v>
      </c>
      <c r="AB5" s="110">
        <v>111.6</v>
      </c>
      <c r="AC5" s="110">
        <v>108.7</v>
      </c>
      <c r="AD5" s="110">
        <f t="shared" si="1"/>
        <v>2.8999999999999915</v>
      </c>
      <c r="AE5" s="110">
        <v>18.5</v>
      </c>
      <c r="AF5" s="110">
        <v>14.7</v>
      </c>
      <c r="AG5" s="41">
        <v>0.64</v>
      </c>
      <c r="AH5" s="110">
        <v>16.899999999999999</v>
      </c>
      <c r="AI5" s="110">
        <v>1.7</v>
      </c>
      <c r="AJ5" s="110">
        <v>1.5</v>
      </c>
      <c r="AK5" s="41">
        <v>0.14000000000000001</v>
      </c>
      <c r="AL5" s="110">
        <v>0.1</v>
      </c>
      <c r="AM5" s="110">
        <v>1</v>
      </c>
      <c r="AN5" s="110">
        <v>0.8</v>
      </c>
      <c r="AO5" s="110">
        <v>10.3</v>
      </c>
    </row>
    <row r="6" spans="1:47" x14ac:dyDescent="0.2">
      <c r="A6" s="107">
        <v>0</v>
      </c>
      <c r="B6" s="3" t="s">
        <v>92</v>
      </c>
      <c r="C6" s="3" t="s">
        <v>234</v>
      </c>
      <c r="D6" s="105">
        <v>70</v>
      </c>
      <c r="E6" s="105">
        <v>73</v>
      </c>
      <c r="F6" s="106">
        <v>260</v>
      </c>
      <c r="G6" s="4">
        <v>33661</v>
      </c>
      <c r="H6" s="110">
        <f t="shared" ca="1" si="0"/>
        <v>28.7</v>
      </c>
      <c r="I6" s="3" t="s">
        <v>1171</v>
      </c>
      <c r="J6" s="3">
        <v>9</v>
      </c>
      <c r="K6" s="107">
        <v>2012</v>
      </c>
      <c r="L6" s="107">
        <v>11</v>
      </c>
      <c r="M6" s="3" t="s">
        <v>1172</v>
      </c>
      <c r="N6" s="3" t="s">
        <v>1</v>
      </c>
      <c r="O6" s="3" t="s">
        <v>2434</v>
      </c>
      <c r="P6" s="11">
        <v>9400000</v>
      </c>
      <c r="Q6" s="48">
        <f>P6*1.08</f>
        <v>10152000</v>
      </c>
      <c r="R6" s="14">
        <f>Q6*1.9</f>
        <v>19288800</v>
      </c>
      <c r="S6" s="3"/>
      <c r="T6" s="3"/>
      <c r="U6" s="3"/>
      <c r="V6" s="3"/>
      <c r="W6" s="3"/>
      <c r="X6" s="5" t="s">
        <v>238</v>
      </c>
      <c r="Y6" s="107">
        <v>5</v>
      </c>
      <c r="Z6" s="107">
        <v>49</v>
      </c>
      <c r="AA6" s="41">
        <f>34/49</f>
        <v>0.69387755102040816</v>
      </c>
      <c r="AB6" s="110">
        <v>111.1</v>
      </c>
      <c r="AC6" s="110">
        <v>105.5</v>
      </c>
      <c r="AD6" s="110">
        <f t="shared" si="1"/>
        <v>5.5999999999999943</v>
      </c>
      <c r="AE6" s="110">
        <v>20.100000000000001</v>
      </c>
      <c r="AF6" s="110">
        <v>11.1</v>
      </c>
      <c r="AG6" s="41">
        <v>0.64</v>
      </c>
      <c r="AH6" s="110">
        <v>12</v>
      </c>
      <c r="AI6" s="110">
        <v>1</v>
      </c>
      <c r="AJ6" s="110">
        <v>1.1000000000000001</v>
      </c>
      <c r="AK6" s="41">
        <v>0.104</v>
      </c>
      <c r="AL6" s="110">
        <v>-1</v>
      </c>
      <c r="AM6" s="110">
        <v>0.4</v>
      </c>
      <c r="AN6" s="110">
        <v>0.3</v>
      </c>
      <c r="AO6" s="110">
        <v>8.6999999999999993</v>
      </c>
    </row>
    <row r="7" spans="1:47" x14ac:dyDescent="0.2">
      <c r="A7" s="3"/>
      <c r="B7" s="3" t="s">
        <v>79</v>
      </c>
      <c r="C7" s="3" t="s">
        <v>230</v>
      </c>
      <c r="D7" s="105">
        <v>63</v>
      </c>
      <c r="E7" s="105">
        <v>67</v>
      </c>
      <c r="F7" s="106">
        <v>180</v>
      </c>
      <c r="G7" s="4">
        <v>33203</v>
      </c>
      <c r="H7" s="110">
        <f t="shared" ca="1" si="0"/>
        <v>30</v>
      </c>
      <c r="I7" s="3" t="s">
        <v>406</v>
      </c>
      <c r="J7" s="3">
        <v>12</v>
      </c>
      <c r="K7" s="109">
        <v>2010</v>
      </c>
      <c r="L7" s="109">
        <v>19</v>
      </c>
      <c r="M7" s="3" t="s">
        <v>2636</v>
      </c>
      <c r="N7" s="3" t="s">
        <v>495</v>
      </c>
      <c r="O7" s="3" t="s">
        <v>2512</v>
      </c>
      <c r="P7" s="11">
        <f>9258000-P10</f>
        <v>5635000</v>
      </c>
      <c r="Q7" s="48">
        <f>P7*1.05</f>
        <v>5916750</v>
      </c>
      <c r="R7" s="14">
        <f>Q7*1.3</f>
        <v>7691775</v>
      </c>
      <c r="S7" s="237"/>
      <c r="T7" s="237"/>
      <c r="U7"/>
      <c r="V7"/>
      <c r="W7"/>
      <c r="X7" t="s">
        <v>1066</v>
      </c>
      <c r="Y7" s="69">
        <v>2</v>
      </c>
      <c r="Z7" s="69">
        <v>49</v>
      </c>
      <c r="AA7" s="65">
        <f>36/49</f>
        <v>0.73469387755102045</v>
      </c>
      <c r="AB7" s="119">
        <v>111.3</v>
      </c>
      <c r="AC7" s="119">
        <v>104</v>
      </c>
      <c r="AD7" s="119">
        <f t="shared" si="1"/>
        <v>7.2999999999999972</v>
      </c>
      <c r="AE7" s="119">
        <v>24.2</v>
      </c>
      <c r="AF7" s="119">
        <v>8.9</v>
      </c>
      <c r="AG7" s="65">
        <v>0.53700000000000003</v>
      </c>
      <c r="AH7" s="119">
        <v>15.7</v>
      </c>
      <c r="AI7" s="119">
        <v>0.2</v>
      </c>
      <c r="AJ7" s="119">
        <v>1.4</v>
      </c>
      <c r="AK7" s="65">
        <v>6.6000000000000003E-2</v>
      </c>
      <c r="AL7" s="119">
        <v>-2.9</v>
      </c>
      <c r="AM7" s="119">
        <v>0.5</v>
      </c>
      <c r="AN7" s="119">
        <v>-0.1</v>
      </c>
      <c r="AO7" s="119">
        <v>5.5</v>
      </c>
      <c r="AP7"/>
      <c r="AQ7"/>
    </row>
    <row r="8" spans="1:47" x14ac:dyDescent="0.2">
      <c r="A8" s="107">
        <v>13</v>
      </c>
      <c r="B8" s="3" t="s">
        <v>1177</v>
      </c>
      <c r="C8" s="3" t="s">
        <v>234</v>
      </c>
      <c r="D8" s="105">
        <v>69</v>
      </c>
      <c r="E8" s="105">
        <v>73</v>
      </c>
      <c r="F8" s="106">
        <v>255</v>
      </c>
      <c r="G8" s="4">
        <v>35629</v>
      </c>
      <c r="H8" s="110">
        <f t="shared" ca="1" si="0"/>
        <v>23.3</v>
      </c>
      <c r="I8" s="3" t="s">
        <v>266</v>
      </c>
      <c r="J8" s="3">
        <v>4</v>
      </c>
      <c r="K8" s="107">
        <v>2017</v>
      </c>
      <c r="L8" s="107">
        <v>14</v>
      </c>
      <c r="M8" s="3" t="s">
        <v>1178</v>
      </c>
      <c r="N8" s="3" t="s">
        <v>244</v>
      </c>
      <c r="O8" s="3" t="s">
        <v>2665</v>
      </c>
      <c r="P8" s="11">
        <v>5115492</v>
      </c>
      <c r="Q8" s="57">
        <f>(109140000*1.03)*0.25</f>
        <v>28103550</v>
      </c>
      <c r="R8" s="57">
        <f>Q8+($Q$8*0.08)</f>
        <v>30351834</v>
      </c>
      <c r="S8" s="57">
        <f t="shared" ref="S8:U8" si="2">R8+($Q$8*0.08)</f>
        <v>32600118</v>
      </c>
      <c r="T8" s="57">
        <f t="shared" si="2"/>
        <v>34848402</v>
      </c>
      <c r="U8" s="57">
        <f t="shared" si="2"/>
        <v>37096686</v>
      </c>
      <c r="V8" s="51"/>
      <c r="W8" s="3" t="s">
        <v>2447</v>
      </c>
      <c r="X8" s="3" t="s">
        <v>1179</v>
      </c>
      <c r="Y8" s="107">
        <v>4</v>
      </c>
      <c r="Z8" s="107">
        <v>65</v>
      </c>
      <c r="AA8" s="41">
        <f>41/65</f>
        <v>0.63076923076923075</v>
      </c>
      <c r="AB8" s="110">
        <v>112.3</v>
      </c>
      <c r="AC8" s="110">
        <v>107.7</v>
      </c>
      <c r="AD8" s="110">
        <f t="shared" si="1"/>
        <v>4.5999999999999943</v>
      </c>
      <c r="AE8" s="110">
        <v>34.4</v>
      </c>
      <c r="AF8" s="110">
        <v>20.6</v>
      </c>
      <c r="AG8" s="41">
        <v>0.60599999999999998</v>
      </c>
      <c r="AH8" s="110">
        <v>20.8</v>
      </c>
      <c r="AI8" s="110">
        <v>4.5999999999999996</v>
      </c>
      <c r="AJ8" s="110">
        <v>3.6</v>
      </c>
      <c r="AK8" s="41">
        <v>0.17499999999999999</v>
      </c>
      <c r="AL8" s="110">
        <v>1.6</v>
      </c>
      <c r="AM8" s="110">
        <v>2.1</v>
      </c>
      <c r="AN8" s="110">
        <v>3.2</v>
      </c>
      <c r="AO8" s="110">
        <v>14.9</v>
      </c>
    </row>
    <row r="9" spans="1:47" ht="17" x14ac:dyDescent="0.2">
      <c r="A9" s="107">
        <v>14</v>
      </c>
      <c r="B9" s="3" t="s">
        <v>1174</v>
      </c>
      <c r="C9" s="3" t="s">
        <v>252</v>
      </c>
      <c r="D9" s="105">
        <v>65</v>
      </c>
      <c r="E9" s="105">
        <v>63</v>
      </c>
      <c r="F9" s="106">
        <v>195</v>
      </c>
      <c r="G9" s="4">
        <v>36545</v>
      </c>
      <c r="H9" s="110">
        <f t="shared" ca="1" si="0"/>
        <v>20.8</v>
      </c>
      <c r="I9" s="3" t="s">
        <v>266</v>
      </c>
      <c r="J9" s="3">
        <v>2</v>
      </c>
      <c r="K9" s="107">
        <v>2019</v>
      </c>
      <c r="L9" s="107">
        <v>13</v>
      </c>
      <c r="M9" s="3" t="s">
        <v>1175</v>
      </c>
      <c r="N9" s="3" t="s">
        <v>244</v>
      </c>
      <c r="O9" s="11" t="s">
        <v>1901</v>
      </c>
      <c r="P9" s="11">
        <v>3822240</v>
      </c>
      <c r="Q9" s="50">
        <v>4004280</v>
      </c>
      <c r="R9" s="50">
        <v>5722116</v>
      </c>
      <c r="S9" s="49">
        <f>R9*3</f>
        <v>17166348</v>
      </c>
      <c r="T9" s="3"/>
      <c r="U9" s="125"/>
      <c r="V9" s="125"/>
      <c r="W9" s="3"/>
      <c r="X9" s="3" t="s">
        <v>1176</v>
      </c>
      <c r="Y9" s="107">
        <v>2</v>
      </c>
      <c r="Z9" s="107">
        <v>47</v>
      </c>
      <c r="AA9" s="41">
        <f>31/47</f>
        <v>0.65957446808510634</v>
      </c>
      <c r="AB9" s="110">
        <v>106.9</v>
      </c>
      <c r="AC9" s="110">
        <v>108.6</v>
      </c>
      <c r="AD9" s="110">
        <f t="shared" si="1"/>
        <v>-1.6999999999999886</v>
      </c>
      <c r="AE9" s="110">
        <v>27.2</v>
      </c>
      <c r="AF9" s="110">
        <v>11.4</v>
      </c>
      <c r="AG9" s="41">
        <v>0.53400000000000003</v>
      </c>
      <c r="AH9" s="110">
        <v>22</v>
      </c>
      <c r="AI9" s="110">
        <v>-0.3</v>
      </c>
      <c r="AJ9" s="110">
        <v>1.1000000000000001</v>
      </c>
      <c r="AK9" s="41">
        <v>3.3000000000000002E-2</v>
      </c>
      <c r="AL9" s="110">
        <v>-1</v>
      </c>
      <c r="AM9" s="110">
        <v>-1.3</v>
      </c>
      <c r="AN9" s="110">
        <v>-0.1</v>
      </c>
      <c r="AO9" s="110">
        <v>9.1999999999999993</v>
      </c>
    </row>
    <row r="10" spans="1:47" x14ac:dyDescent="0.2">
      <c r="A10" s="3"/>
      <c r="B10" s="3" t="s">
        <v>119</v>
      </c>
      <c r="C10" s="3" t="s">
        <v>252</v>
      </c>
      <c r="D10" s="105">
        <v>67</v>
      </c>
      <c r="E10" s="105">
        <v>72</v>
      </c>
      <c r="F10" s="106">
        <v>220</v>
      </c>
      <c r="G10" s="4">
        <v>34100</v>
      </c>
      <c r="H10" s="110">
        <f t="shared" ca="1" si="0"/>
        <v>27.5</v>
      </c>
      <c r="I10" s="3" t="s">
        <v>988</v>
      </c>
      <c r="J10" s="3">
        <v>9</v>
      </c>
      <c r="K10" s="3">
        <v>2012</v>
      </c>
      <c r="L10" s="59">
        <v>15</v>
      </c>
      <c r="M10" s="3" t="s">
        <v>2635</v>
      </c>
      <c r="N10" s="3" t="s">
        <v>495</v>
      </c>
      <c r="O10" s="11" t="s">
        <v>2437</v>
      </c>
      <c r="P10" s="16">
        <f>3623000</f>
        <v>3623000</v>
      </c>
      <c r="Q10" s="14">
        <f>P10*1.2</f>
        <v>4347600</v>
      </c>
      <c r="R10" s="3"/>
      <c r="S10" s="26"/>
      <c r="T10"/>
      <c r="U10"/>
      <c r="V10"/>
      <c r="W10"/>
      <c r="X10" t="s">
        <v>1342</v>
      </c>
      <c r="Y10" s="69">
        <v>3</v>
      </c>
      <c r="Z10" s="69">
        <v>12</v>
      </c>
      <c r="AA10" s="65">
        <f>4/12</f>
        <v>0.33333333333333331</v>
      </c>
      <c r="AB10" s="119">
        <v>111.1</v>
      </c>
      <c r="AC10" s="119">
        <v>117.2</v>
      </c>
      <c r="AD10" s="119">
        <f t="shared" si="1"/>
        <v>-6.1000000000000085</v>
      </c>
      <c r="AE10" s="119">
        <v>23.8</v>
      </c>
      <c r="AF10" s="119">
        <v>10.1</v>
      </c>
      <c r="AG10" s="65">
        <v>0.53600000000000003</v>
      </c>
      <c r="AH10" s="119">
        <v>12.4</v>
      </c>
      <c r="AI10" s="119">
        <v>0.3</v>
      </c>
      <c r="AJ10" s="119">
        <v>0.2</v>
      </c>
      <c r="AK10" s="65">
        <v>6.9000000000000006E-2</v>
      </c>
      <c r="AL10" s="119">
        <v>-3.1</v>
      </c>
      <c r="AM10" s="119">
        <v>-0.3</v>
      </c>
      <c r="AN10" s="119">
        <v>-0.1</v>
      </c>
      <c r="AO10" s="119">
        <v>5.4</v>
      </c>
      <c r="AP10"/>
      <c r="AQ10"/>
      <c r="AR10"/>
      <c r="AS10"/>
      <c r="AT10"/>
      <c r="AU10"/>
    </row>
    <row r="11" spans="1:47" x14ac:dyDescent="0.2">
      <c r="A11" s="3"/>
      <c r="B11" s="3" t="s">
        <v>2298</v>
      </c>
      <c r="C11" s="3" t="s">
        <v>234</v>
      </c>
      <c r="D11" s="105">
        <v>69</v>
      </c>
      <c r="E11" s="105">
        <v>72</v>
      </c>
      <c r="F11" s="106">
        <v>225</v>
      </c>
      <c r="G11" s="4">
        <v>36422</v>
      </c>
      <c r="H11" s="110">
        <f t="shared" ca="1" si="0"/>
        <v>21.1</v>
      </c>
      <c r="I11" s="3" t="s">
        <v>223</v>
      </c>
      <c r="J11" s="3">
        <v>1</v>
      </c>
      <c r="K11" s="3">
        <v>2020</v>
      </c>
      <c r="L11" s="3">
        <v>20</v>
      </c>
      <c r="M11" s="3" t="s">
        <v>2297</v>
      </c>
      <c r="N11" s="3" t="s">
        <v>244</v>
      </c>
      <c r="O11" s="3" t="s">
        <v>2293</v>
      </c>
      <c r="P11" s="11">
        <v>2582160</v>
      </c>
      <c r="Q11" s="11">
        <v>2711280</v>
      </c>
      <c r="R11" s="50">
        <v>2840160</v>
      </c>
      <c r="S11" s="50">
        <f>R11*1.542</f>
        <v>4379526.72</v>
      </c>
      <c r="T11" s="49">
        <f>S11*3</f>
        <v>13138580.16</v>
      </c>
      <c r="U11" s="3"/>
      <c r="V11" s="3"/>
      <c r="W11" s="3"/>
      <c r="X11" s="3"/>
      <c r="Y11" s="107"/>
      <c r="Z11" s="107"/>
      <c r="AA11" s="41"/>
      <c r="AB11" s="110"/>
      <c r="AC11" s="110"/>
      <c r="AD11" s="110"/>
      <c r="AE11" s="110"/>
      <c r="AF11" s="110"/>
      <c r="AG11" s="41"/>
      <c r="AH11" s="110"/>
      <c r="AI11" s="110"/>
      <c r="AJ11" s="110"/>
      <c r="AK11" s="41"/>
      <c r="AL11" s="110"/>
      <c r="AM11" s="110"/>
      <c r="AN11" s="110"/>
      <c r="AO11" s="110"/>
    </row>
    <row r="12" spans="1:47" x14ac:dyDescent="0.2">
      <c r="A12" s="107">
        <v>55</v>
      </c>
      <c r="B12" s="3" t="s">
        <v>96</v>
      </c>
      <c r="C12" s="3" t="s">
        <v>241</v>
      </c>
      <c r="D12" s="105">
        <v>67</v>
      </c>
      <c r="E12" s="105"/>
      <c r="F12" s="106">
        <v>215</v>
      </c>
      <c r="G12" s="4">
        <v>34446</v>
      </c>
      <c r="H12" s="110">
        <f t="shared" ca="1" si="0"/>
        <v>26.5</v>
      </c>
      <c r="I12" s="3" t="s">
        <v>425</v>
      </c>
      <c r="J12" s="3">
        <v>3</v>
      </c>
      <c r="K12" s="107">
        <v>2018</v>
      </c>
      <c r="L12" s="107"/>
      <c r="M12" s="3" t="s">
        <v>1068</v>
      </c>
      <c r="N12" s="3" t="s">
        <v>495</v>
      </c>
      <c r="O12" s="159" t="s">
        <v>1183</v>
      </c>
      <c r="P12" s="16">
        <v>1663861</v>
      </c>
      <c r="Q12" s="49">
        <v>2122822</v>
      </c>
      <c r="R12" s="12"/>
      <c r="S12" s="12"/>
      <c r="T12" s="12"/>
      <c r="U12" s="3"/>
      <c r="V12" s="3"/>
      <c r="W12" s="3"/>
      <c r="X12" s="3" t="s">
        <v>1184</v>
      </c>
      <c r="Y12" s="107">
        <v>3</v>
      </c>
      <c r="Z12" s="107">
        <v>65</v>
      </c>
      <c r="AA12" s="41">
        <f>41/65</f>
        <v>0.63076923076923075</v>
      </c>
      <c r="AB12" s="110">
        <v>113.9</v>
      </c>
      <c r="AC12" s="110">
        <v>106.2</v>
      </c>
      <c r="AD12" s="110">
        <f t="shared" si="1"/>
        <v>7.7000000000000028</v>
      </c>
      <c r="AE12" s="110">
        <v>30</v>
      </c>
      <c r="AF12" s="110">
        <v>12.8</v>
      </c>
      <c r="AG12" s="41">
        <v>0.67800000000000005</v>
      </c>
      <c r="AH12" s="110">
        <v>15.8</v>
      </c>
      <c r="AI12" s="110">
        <v>3.2</v>
      </c>
      <c r="AJ12" s="110">
        <v>1.5</v>
      </c>
      <c r="AK12" s="41">
        <v>0.11600000000000001</v>
      </c>
      <c r="AL12" s="110">
        <v>1.2</v>
      </c>
      <c r="AM12" s="110">
        <v>-0.9</v>
      </c>
      <c r="AN12" s="110">
        <v>1.1000000000000001</v>
      </c>
      <c r="AO12" s="110">
        <v>7.9</v>
      </c>
    </row>
    <row r="13" spans="1:47" x14ac:dyDescent="0.2">
      <c r="A13" s="107">
        <v>25</v>
      </c>
      <c r="B13" s="3" t="s">
        <v>97</v>
      </c>
      <c r="C13" s="3" t="s">
        <v>230</v>
      </c>
      <c r="D13" s="105">
        <v>62</v>
      </c>
      <c r="E13" s="105">
        <v>67</v>
      </c>
      <c r="F13" s="106">
        <v>190</v>
      </c>
      <c r="G13" s="4">
        <v>34914</v>
      </c>
      <c r="H13" s="110">
        <f t="shared" ca="1" si="0"/>
        <v>25.3</v>
      </c>
      <c r="I13" s="3" t="s">
        <v>1185</v>
      </c>
      <c r="J13" s="3">
        <v>2</v>
      </c>
      <c r="K13" s="107">
        <v>2018</v>
      </c>
      <c r="L13" s="107"/>
      <c r="M13" s="3" t="s">
        <v>1186</v>
      </c>
      <c r="N13" s="3" t="s">
        <v>495</v>
      </c>
      <c r="O13" s="159" t="s">
        <v>1183</v>
      </c>
      <c r="P13" s="15">
        <v>1663861</v>
      </c>
      <c r="Q13" s="49">
        <v>2122822</v>
      </c>
      <c r="R13" s="12"/>
      <c r="S13" s="12"/>
      <c r="T13" s="12"/>
      <c r="U13" s="3"/>
      <c r="V13" s="3"/>
      <c r="W13" s="3"/>
      <c r="X13" s="3" t="s">
        <v>1187</v>
      </c>
      <c r="Y13" s="107">
        <v>1</v>
      </c>
      <c r="Z13" s="107">
        <v>62</v>
      </c>
      <c r="AA13" s="41">
        <f>40/62</f>
        <v>0.64516129032258063</v>
      </c>
      <c r="AB13" s="110">
        <v>111.2</v>
      </c>
      <c r="AC13" s="110">
        <v>108.9</v>
      </c>
      <c r="AD13" s="110">
        <f t="shared" si="1"/>
        <v>2.2999999999999972</v>
      </c>
      <c r="AE13" s="110">
        <v>29.8</v>
      </c>
      <c r="AF13" s="110">
        <v>13.5</v>
      </c>
      <c r="AG13" s="41">
        <v>0.54500000000000004</v>
      </c>
      <c r="AH13" s="110">
        <v>23.7</v>
      </c>
      <c r="AI13" s="110">
        <v>1</v>
      </c>
      <c r="AJ13" s="110">
        <v>1.4</v>
      </c>
      <c r="AK13" s="41">
        <v>6.4000000000000001E-2</v>
      </c>
      <c r="AL13" s="110">
        <v>-0.7</v>
      </c>
      <c r="AM13" s="110">
        <v>-1.3</v>
      </c>
      <c r="AN13" s="110">
        <v>0</v>
      </c>
      <c r="AO13" s="110">
        <v>8.9</v>
      </c>
    </row>
    <row r="14" spans="1:47" x14ac:dyDescent="0.2">
      <c r="A14" s="107">
        <v>40</v>
      </c>
      <c r="B14" s="3" t="s">
        <v>95</v>
      </c>
      <c r="C14" s="3" t="s">
        <v>234</v>
      </c>
      <c r="D14" s="105">
        <v>68</v>
      </c>
      <c r="E14" s="105">
        <v>611</v>
      </c>
      <c r="F14" s="106">
        <v>235</v>
      </c>
      <c r="G14" s="4">
        <v>29381</v>
      </c>
      <c r="H14" s="110">
        <f t="shared" ca="1" si="0"/>
        <v>40.4</v>
      </c>
      <c r="I14" s="3" t="s">
        <v>1181</v>
      </c>
      <c r="J14" s="3">
        <v>18</v>
      </c>
      <c r="K14" s="107">
        <v>2002</v>
      </c>
      <c r="L14" s="107"/>
      <c r="M14" s="3" t="s">
        <v>1182</v>
      </c>
      <c r="N14" s="3" t="s">
        <v>276</v>
      </c>
      <c r="O14" s="3" t="s">
        <v>2438</v>
      </c>
      <c r="P14" s="16">
        <v>1620564</v>
      </c>
      <c r="Q14" s="14">
        <v>1669181</v>
      </c>
      <c r="R14" s="3"/>
      <c r="S14" s="3"/>
      <c r="T14" s="3"/>
      <c r="U14" s="3"/>
      <c r="V14" s="3"/>
      <c r="W14" s="3"/>
      <c r="X14" s="3" t="s">
        <v>258</v>
      </c>
      <c r="Y14" s="107">
        <v>4</v>
      </c>
      <c r="Z14" s="107">
        <v>3</v>
      </c>
      <c r="AA14" s="41">
        <f>3/3</f>
        <v>1</v>
      </c>
      <c r="AB14" s="110">
        <v>83.3</v>
      </c>
      <c r="AC14" s="110">
        <v>114</v>
      </c>
      <c r="AD14" s="110">
        <f t="shared" si="1"/>
        <v>-30.700000000000003</v>
      </c>
      <c r="AE14" s="110">
        <v>6.9</v>
      </c>
      <c r="AF14" s="110">
        <v>3</v>
      </c>
      <c r="AG14" s="41">
        <v>0.32200000000000001</v>
      </c>
      <c r="AH14" s="110">
        <v>16.3</v>
      </c>
      <c r="AI14" s="110">
        <v>0</v>
      </c>
      <c r="AJ14" s="110">
        <v>0</v>
      </c>
      <c r="AK14" s="41">
        <v>-3.2000000000000001E-2</v>
      </c>
      <c r="AL14" s="110">
        <v>-9.6999999999999993</v>
      </c>
      <c r="AM14" s="110">
        <v>-3</v>
      </c>
      <c r="AN14" s="110">
        <v>-0.1</v>
      </c>
      <c r="AO14" s="110">
        <v>7.7</v>
      </c>
    </row>
    <row r="15" spans="1:47" x14ac:dyDescent="0.2">
      <c r="A15" s="107">
        <v>4</v>
      </c>
      <c r="B15" s="3" t="s">
        <v>1188</v>
      </c>
      <c r="C15" s="3" t="s">
        <v>241</v>
      </c>
      <c r="D15" s="105">
        <v>68</v>
      </c>
      <c r="E15" s="105">
        <v>72</v>
      </c>
      <c r="F15" s="106">
        <v>215</v>
      </c>
      <c r="G15" s="4">
        <v>36278</v>
      </c>
      <c r="H15" s="110">
        <f t="shared" ca="1" si="0"/>
        <v>21.5</v>
      </c>
      <c r="I15" s="3" t="s">
        <v>672</v>
      </c>
      <c r="J15" s="3">
        <v>2</v>
      </c>
      <c r="K15" s="107">
        <v>2019</v>
      </c>
      <c r="L15" s="107">
        <v>32</v>
      </c>
      <c r="M15" s="3" t="s">
        <v>1189</v>
      </c>
      <c r="N15" s="3" t="s">
        <v>495</v>
      </c>
      <c r="O15" s="3" t="s">
        <v>750</v>
      </c>
      <c r="P15" s="11">
        <v>1517981</v>
      </c>
      <c r="Q15" s="11">
        <v>1782621</v>
      </c>
      <c r="R15" s="49">
        <v>2228276</v>
      </c>
      <c r="S15" s="12"/>
      <c r="T15" s="12"/>
      <c r="U15" s="3"/>
      <c r="V15" s="3"/>
      <c r="W15" s="3"/>
      <c r="X15" s="3" t="s">
        <v>1190</v>
      </c>
      <c r="Y15" s="107">
        <v>4</v>
      </c>
      <c r="Z15" s="107">
        <v>5</v>
      </c>
      <c r="AA15" s="41">
        <f>2/5</f>
        <v>0.4</v>
      </c>
      <c r="AB15" s="110">
        <v>86.3</v>
      </c>
      <c r="AC15" s="110">
        <v>118</v>
      </c>
      <c r="AD15" s="110">
        <f t="shared" si="1"/>
        <v>-31.700000000000003</v>
      </c>
      <c r="AE15" s="110">
        <v>5.2</v>
      </c>
      <c r="AF15" s="110">
        <v>13.7</v>
      </c>
      <c r="AG15" s="41">
        <v>0.59499999999999997</v>
      </c>
      <c r="AH15" s="110">
        <v>11.7</v>
      </c>
      <c r="AI15" s="110">
        <v>0</v>
      </c>
      <c r="AJ15" s="110">
        <v>0</v>
      </c>
      <c r="AK15" s="41">
        <v>0.11899999999999999</v>
      </c>
      <c r="AL15" s="110">
        <v>-1.2</v>
      </c>
      <c r="AM15" s="110">
        <v>4</v>
      </c>
      <c r="AN15" s="110">
        <v>0</v>
      </c>
      <c r="AO15" s="110">
        <v>10.3</v>
      </c>
    </row>
    <row r="16" spans="1:47" x14ac:dyDescent="0.2">
      <c r="A16" s="107">
        <v>30</v>
      </c>
      <c r="B16" s="3" t="s">
        <v>1191</v>
      </c>
      <c r="C16" s="3" t="s">
        <v>234</v>
      </c>
      <c r="D16" s="105">
        <v>68</v>
      </c>
      <c r="E16" s="105">
        <v>611</v>
      </c>
      <c r="F16" s="106">
        <v>234</v>
      </c>
      <c r="G16" s="4">
        <v>35327</v>
      </c>
      <c r="H16" s="110">
        <f t="shared" ca="1" si="0"/>
        <v>24.1</v>
      </c>
      <c r="I16" s="3" t="s">
        <v>759</v>
      </c>
      <c r="J16" s="3">
        <v>2</v>
      </c>
      <c r="K16" s="107">
        <v>2019</v>
      </c>
      <c r="L16" s="107"/>
      <c r="M16" s="3" t="s">
        <v>1192</v>
      </c>
      <c r="N16" s="3" t="s">
        <v>495</v>
      </c>
      <c r="O16" s="3" t="s">
        <v>1962</v>
      </c>
      <c r="P16" s="11">
        <v>1517981</v>
      </c>
      <c r="Q16" s="48">
        <v>1782621</v>
      </c>
      <c r="R16" s="68">
        <v>2228276</v>
      </c>
      <c r="S16" s="80"/>
      <c r="T16" s="12"/>
      <c r="U16" s="3"/>
      <c r="V16" s="3"/>
      <c r="W16" s="3"/>
      <c r="X16" s="3" t="s">
        <v>1193</v>
      </c>
      <c r="Y16" s="107">
        <v>4</v>
      </c>
      <c r="Z16" s="107">
        <v>41</v>
      </c>
      <c r="AA16" s="41">
        <f>27/41</f>
        <v>0.65853658536585369</v>
      </c>
      <c r="AB16" s="110">
        <v>105.7</v>
      </c>
      <c r="AC16" s="110">
        <v>109.1</v>
      </c>
      <c r="AD16" s="110">
        <f t="shared" si="1"/>
        <v>-3.3999999999999915</v>
      </c>
      <c r="AE16" s="110">
        <v>7.5</v>
      </c>
      <c r="AF16" s="110">
        <v>17.2</v>
      </c>
      <c r="AG16" s="41">
        <v>0.66300000000000003</v>
      </c>
      <c r="AH16" s="110">
        <v>17.5</v>
      </c>
      <c r="AI16" s="110">
        <v>0.7</v>
      </c>
      <c r="AJ16" s="110">
        <v>0.5</v>
      </c>
      <c r="AK16" s="41">
        <v>0.17799999999999999</v>
      </c>
      <c r="AL16" s="110">
        <v>-3.4</v>
      </c>
      <c r="AM16" s="110">
        <v>0.9</v>
      </c>
      <c r="AN16" s="110">
        <v>0</v>
      </c>
      <c r="AO16" s="110">
        <v>8</v>
      </c>
    </row>
    <row r="17" spans="1:41" x14ac:dyDescent="0.2">
      <c r="A17" s="107">
        <v>2</v>
      </c>
      <c r="B17" s="3" t="s">
        <v>1194</v>
      </c>
      <c r="C17" s="3" t="s">
        <v>230</v>
      </c>
      <c r="D17" s="105">
        <v>63</v>
      </c>
      <c r="E17" s="105"/>
      <c r="F17" s="106">
        <v>200</v>
      </c>
      <c r="G17" s="4">
        <v>35230</v>
      </c>
      <c r="H17" s="110">
        <f t="shared" ca="1" si="0"/>
        <v>24.4</v>
      </c>
      <c r="I17" s="3" t="s">
        <v>1195</v>
      </c>
      <c r="J17" s="3">
        <v>2</v>
      </c>
      <c r="K17" s="107">
        <v>2018</v>
      </c>
      <c r="L17" s="107"/>
      <c r="M17" s="4" t="s">
        <v>1196</v>
      </c>
      <c r="N17" s="3" t="s">
        <v>288</v>
      </c>
      <c r="O17" s="3" t="s">
        <v>2516</v>
      </c>
      <c r="P17" s="57" t="s">
        <v>288</v>
      </c>
      <c r="Q17" s="52"/>
      <c r="R17" s="12"/>
      <c r="S17" s="12"/>
      <c r="T17" s="12"/>
      <c r="U17" s="3"/>
      <c r="V17" s="3"/>
      <c r="W17" s="3"/>
      <c r="X17" s="3"/>
      <c r="Y17" s="107"/>
      <c r="Z17" s="107"/>
      <c r="AA17" s="41"/>
      <c r="AB17" s="110"/>
      <c r="AC17" s="110"/>
      <c r="AD17" s="110"/>
      <c r="AE17" s="110"/>
      <c r="AF17" s="110"/>
      <c r="AG17" s="41"/>
      <c r="AH17" s="110"/>
      <c r="AI17" s="110"/>
      <c r="AJ17" s="110"/>
      <c r="AK17" s="41"/>
      <c r="AL17" s="110"/>
      <c r="AM17" s="110"/>
      <c r="AN17" s="110"/>
      <c r="AO17" s="110"/>
    </row>
    <row r="18" spans="1:41" x14ac:dyDescent="0.2">
      <c r="A18" s="3"/>
      <c r="B18" s="3" t="s">
        <v>290</v>
      </c>
      <c r="C18" s="3"/>
      <c r="D18" s="105"/>
      <c r="E18" s="105"/>
      <c r="F18" s="106"/>
      <c r="G18" s="3"/>
      <c r="H18" s="110"/>
      <c r="I18" s="3"/>
      <c r="J18" s="3"/>
      <c r="K18" s="3"/>
      <c r="L18" s="3"/>
      <c r="M18" s="3"/>
      <c r="N18" s="3"/>
      <c r="O18" s="3"/>
      <c r="P18" s="11">
        <f>5214583+350087</f>
        <v>5564670</v>
      </c>
      <c r="Q18" s="11">
        <f>5214583</f>
        <v>5214583</v>
      </c>
      <c r="R18" s="11"/>
      <c r="S18" s="11"/>
      <c r="T18" s="12"/>
      <c r="U18" s="3"/>
      <c r="V18" s="3"/>
      <c r="W18" s="3"/>
      <c r="X18" s="3"/>
      <c r="Y18" s="107"/>
      <c r="Z18" s="107"/>
      <c r="AA18" s="41"/>
      <c r="AB18" s="110"/>
      <c r="AC18" s="110"/>
      <c r="AD18" s="110"/>
      <c r="AE18" s="110"/>
      <c r="AF18" s="110"/>
      <c r="AG18" s="41"/>
      <c r="AH18" s="110"/>
      <c r="AI18" s="110"/>
      <c r="AJ18" s="110"/>
      <c r="AK18" s="41"/>
      <c r="AL18" s="110"/>
      <c r="AM18" s="110"/>
      <c r="AN18" s="110"/>
      <c r="AO18" s="110"/>
    </row>
    <row r="19" spans="1:41" x14ac:dyDescent="0.2">
      <c r="A19" s="3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1"/>
      <c r="Q19" s="11"/>
      <c r="R19" s="16"/>
      <c r="S19" s="16"/>
      <c r="T19" s="16"/>
      <c r="U19" s="3"/>
      <c r="V19" s="3"/>
      <c r="W19" s="3"/>
      <c r="X19" s="3"/>
      <c r="Y19" s="107"/>
      <c r="Z19" s="107"/>
      <c r="AA19" s="41"/>
      <c r="AB19" s="110"/>
      <c r="AC19" s="110"/>
      <c r="AD19" s="110"/>
      <c r="AE19" s="110"/>
      <c r="AF19" s="110"/>
      <c r="AG19" s="41"/>
      <c r="AH19" s="110"/>
      <c r="AI19" s="110"/>
      <c r="AJ19" s="110"/>
      <c r="AK19" s="41"/>
      <c r="AL19" s="110"/>
      <c r="AM19" s="110"/>
      <c r="AN19" s="110"/>
      <c r="AO19" s="110"/>
    </row>
    <row r="20" spans="1:41" x14ac:dyDescent="0.2">
      <c r="A20" s="107">
        <v>17</v>
      </c>
      <c r="B20" s="3" t="s">
        <v>1197</v>
      </c>
      <c r="C20" s="3" t="s">
        <v>234</v>
      </c>
      <c r="D20" s="105">
        <v>610</v>
      </c>
      <c r="E20" s="105">
        <v>76</v>
      </c>
      <c r="F20" s="106">
        <v>216</v>
      </c>
      <c r="G20" s="4">
        <v>35359</v>
      </c>
      <c r="H20" s="110">
        <f ca="1">ROUNDDOWN(YEARFRAC($G$22,G20),1)</f>
        <v>24.1</v>
      </c>
      <c r="I20" s="3" t="s">
        <v>369</v>
      </c>
      <c r="J20" s="3">
        <v>1</v>
      </c>
      <c r="K20" s="107">
        <v>2019</v>
      </c>
      <c r="L20" s="107"/>
      <c r="M20" s="3" t="s">
        <v>367</v>
      </c>
      <c r="N20" s="3"/>
      <c r="O20" s="3"/>
      <c r="P20" s="68"/>
      <c r="Q20" s="12"/>
      <c r="R20" s="12"/>
      <c r="S20" s="12"/>
      <c r="T20" s="12"/>
      <c r="U20" s="3"/>
      <c r="V20" s="3"/>
      <c r="W20" s="3"/>
      <c r="X20" s="3"/>
      <c r="Y20" s="107"/>
      <c r="Z20" s="107"/>
      <c r="AA20" s="41"/>
      <c r="AB20" s="110"/>
      <c r="AC20" s="110"/>
      <c r="AD20" s="110"/>
      <c r="AE20" s="110"/>
      <c r="AF20" s="110"/>
      <c r="AG20" s="41"/>
      <c r="AH20" s="110"/>
      <c r="AI20" s="110"/>
      <c r="AJ20" s="110"/>
      <c r="AK20" s="41"/>
      <c r="AL20" s="110"/>
      <c r="AM20" s="110"/>
      <c r="AN20" s="110"/>
      <c r="AO20" s="110"/>
    </row>
    <row r="21" spans="1:41" x14ac:dyDescent="0.2">
      <c r="A21" s="3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6"/>
      <c r="S21" s="16"/>
      <c r="T21" s="16"/>
      <c r="U21" s="3"/>
      <c r="V21" s="3"/>
      <c r="W21" s="3"/>
      <c r="X21" s="3"/>
      <c r="Y21" s="107"/>
      <c r="Z21" s="107"/>
      <c r="AA21" s="41"/>
      <c r="AB21" s="110"/>
      <c r="AC21" s="110"/>
      <c r="AD21" s="110"/>
      <c r="AE21" s="110"/>
      <c r="AF21" s="110"/>
      <c r="AG21" s="41"/>
      <c r="AH21" s="110"/>
      <c r="AI21" s="110"/>
      <c r="AJ21" s="110"/>
      <c r="AK21" s="41"/>
      <c r="AL21" s="110"/>
      <c r="AM21" s="110"/>
      <c r="AN21" s="110"/>
      <c r="AO21" s="110"/>
    </row>
    <row r="22" spans="1:41" x14ac:dyDescent="0.2">
      <c r="A22" s="3"/>
      <c r="B22" s="3"/>
      <c r="C22" s="3"/>
      <c r="D22" s="3"/>
      <c r="E22" s="3"/>
      <c r="F22" s="3"/>
      <c r="G22" s="4">
        <f ca="1">TODAY()</f>
        <v>44162</v>
      </c>
      <c r="H22" s="36">
        <f ca="1">AVERAGE(H2:H16)</f>
        <v>28.086666666666666</v>
      </c>
      <c r="I22" s="3"/>
      <c r="J22" s="36">
        <f>AVERAGE(J2:J16)</f>
        <v>7.4666666666666668</v>
      </c>
      <c r="K22" s="3"/>
      <c r="L22" s="3"/>
      <c r="M22" s="3"/>
      <c r="N22" s="3"/>
      <c r="O22" s="3"/>
      <c r="P22" s="80"/>
      <c r="Q22" s="11"/>
      <c r="R22" s="53"/>
      <c r="S22" s="53"/>
      <c r="T22" s="53"/>
      <c r="U22" s="3"/>
      <c r="V22" s="3"/>
      <c r="W22" s="3"/>
      <c r="X22" s="3"/>
      <c r="Y22" s="107"/>
      <c r="Z22" s="107"/>
      <c r="AA22" s="41"/>
      <c r="AB22" s="110"/>
      <c r="AC22" s="110"/>
      <c r="AD22" s="110"/>
      <c r="AE22" s="110"/>
      <c r="AF22" s="110"/>
      <c r="AG22" s="41"/>
      <c r="AH22" s="110"/>
      <c r="AI22" s="110"/>
      <c r="AJ22" s="110"/>
      <c r="AK22" s="41"/>
      <c r="AL22" s="110"/>
      <c r="AM22" s="110"/>
      <c r="AN22" s="110"/>
      <c r="AO22" s="110"/>
    </row>
    <row r="23" spans="1:41" x14ac:dyDescent="0.2">
      <c r="H23" s="63">
        <f ca="1">MEDIAN(H2:H16)</f>
        <v>27.5</v>
      </c>
      <c r="J23" s="69">
        <f>MEDIAN(J2:J16)</f>
        <v>8</v>
      </c>
      <c r="P23" s="64"/>
      <c r="Z23" s="69"/>
      <c r="AA23" s="65"/>
      <c r="AB23" s="119"/>
      <c r="AC23" s="119"/>
      <c r="AD23" s="119"/>
      <c r="AE23" s="119"/>
      <c r="AF23" s="119"/>
      <c r="AG23" s="65"/>
      <c r="AH23" s="119"/>
      <c r="AI23" s="119"/>
      <c r="AJ23" s="119"/>
      <c r="AK23" s="65"/>
      <c r="AL23" s="119"/>
      <c r="AM23" s="119"/>
      <c r="AN23" s="119"/>
      <c r="AO23" s="119"/>
    </row>
    <row r="24" spans="1:41" x14ac:dyDescent="0.2">
      <c r="B24" s="197" t="s">
        <v>1985</v>
      </c>
      <c r="P24" s="156">
        <f>SUM(P2:P18)-P13+25000</f>
        <v>123065292</v>
      </c>
      <c r="Q24" s="64" t="s">
        <v>2537</v>
      </c>
      <c r="R24" s="64"/>
      <c r="S24" s="120"/>
      <c r="Z24" s="69"/>
      <c r="AA24" s="65"/>
      <c r="AB24" s="119"/>
      <c r="AC24" s="119"/>
      <c r="AD24" s="119"/>
      <c r="AE24" s="119"/>
      <c r="AF24" s="119"/>
      <c r="AG24" s="65"/>
      <c r="AH24" s="119"/>
      <c r="AI24" s="119"/>
      <c r="AJ24" s="119"/>
      <c r="AK24" s="65"/>
      <c r="AL24" s="119"/>
      <c r="AM24" s="119"/>
      <c r="AN24" s="119"/>
      <c r="AO24" s="119"/>
    </row>
    <row r="25" spans="1:41" x14ac:dyDescent="0.2">
      <c r="B25" s="3" t="s">
        <v>1876</v>
      </c>
      <c r="C25" s="59">
        <v>14</v>
      </c>
      <c r="I25" s="197"/>
      <c r="P25" s="121">
        <f>SUM(P2:P18)</f>
        <v>124704153</v>
      </c>
      <c r="Q25" s="59" t="s">
        <v>2538</v>
      </c>
      <c r="R25" s="64"/>
      <c r="Z25" s="69"/>
      <c r="AA25" s="65"/>
      <c r="AB25" s="119"/>
      <c r="AC25" s="119"/>
      <c r="AD25" s="119"/>
      <c r="AE25" s="119"/>
      <c r="AF25" s="119"/>
      <c r="AG25" s="65"/>
      <c r="AH25" s="119"/>
      <c r="AI25" s="119"/>
      <c r="AJ25" s="119"/>
      <c r="AK25" s="65"/>
      <c r="AL25" s="119"/>
      <c r="AM25" s="119"/>
      <c r="AN25" s="119"/>
      <c r="AO25" s="119"/>
    </row>
    <row r="26" spans="1:41" x14ac:dyDescent="0.2">
      <c r="B26" s="3" t="s">
        <v>2457</v>
      </c>
      <c r="C26" s="59">
        <v>1</v>
      </c>
      <c r="I26" s="3"/>
      <c r="P26" s="121"/>
      <c r="Q26" s="64"/>
      <c r="R26" s="64"/>
      <c r="AB26" s="119"/>
      <c r="AC26" s="119"/>
      <c r="AD26" s="119"/>
      <c r="AE26" s="119"/>
      <c r="AF26" s="119"/>
      <c r="AG26" s="65"/>
      <c r="AH26" s="119"/>
      <c r="AI26" s="119"/>
      <c r="AJ26" s="119"/>
      <c r="AL26" s="119"/>
      <c r="AM26" s="119"/>
      <c r="AN26" s="119"/>
      <c r="AO26" s="119"/>
    </row>
    <row r="27" spans="1:41" x14ac:dyDescent="0.2">
      <c r="B27" s="3" t="s">
        <v>2539</v>
      </c>
      <c r="C27" s="59">
        <v>1</v>
      </c>
      <c r="I27" s="3"/>
      <c r="O27" s="82" t="s">
        <v>292</v>
      </c>
      <c r="P27" s="22" t="e">
        <f>#REF!</f>
        <v>#REF!</v>
      </c>
      <c r="R27" s="64"/>
      <c r="AB27" s="119"/>
      <c r="AC27" s="119"/>
      <c r="AD27" s="119"/>
      <c r="AE27" s="119"/>
      <c r="AF27" s="119"/>
      <c r="AH27" s="119"/>
      <c r="AI27" s="119"/>
      <c r="AJ27" s="119"/>
      <c r="AL27" s="119"/>
      <c r="AM27" s="119"/>
      <c r="AN27" s="119"/>
      <c r="AO27" s="119"/>
    </row>
    <row r="28" spans="1:41" x14ac:dyDescent="0.2">
      <c r="B28" s="3" t="s">
        <v>495</v>
      </c>
      <c r="C28" s="64">
        <f>9258000-P7-P10</f>
        <v>0</v>
      </c>
      <c r="D28" s="59" t="s">
        <v>2540</v>
      </c>
      <c r="I28" s="3"/>
      <c r="O28" s="92" t="s">
        <v>294</v>
      </c>
      <c r="P28" s="22" t="e">
        <f>#REF!</f>
        <v>#REF!</v>
      </c>
      <c r="AB28" s="119"/>
      <c r="AC28" s="119"/>
      <c r="AD28" s="119"/>
      <c r="AE28" s="119"/>
      <c r="AF28" s="119"/>
      <c r="AH28" s="119"/>
      <c r="AI28" s="119"/>
      <c r="AJ28" s="119"/>
      <c r="AL28" s="119"/>
      <c r="AM28" s="119"/>
      <c r="AN28" s="119"/>
      <c r="AO28" s="119"/>
    </row>
    <row r="29" spans="1:41" x14ac:dyDescent="0.2">
      <c r="B29" s="3" t="s">
        <v>514</v>
      </c>
      <c r="C29" s="64">
        <f>3623000</f>
        <v>3623000</v>
      </c>
      <c r="D29" s="62"/>
      <c r="I29" s="3"/>
      <c r="O29" s="92" t="s">
        <v>2541</v>
      </c>
      <c r="P29" s="22">
        <v>138928000</v>
      </c>
      <c r="Q29" s="218">
        <f>P29-P25</f>
        <v>14223847</v>
      </c>
      <c r="R29" s="59" t="s">
        <v>2546</v>
      </c>
      <c r="AB29" s="119"/>
      <c r="AC29" s="119"/>
      <c r="AD29" s="119"/>
      <c r="AE29" s="119"/>
      <c r="AF29" s="119"/>
      <c r="AH29" s="119"/>
      <c r="AI29" s="119"/>
      <c r="AJ29" s="119"/>
      <c r="AL29" s="119"/>
      <c r="AM29" s="119"/>
      <c r="AN29" s="119"/>
      <c r="AO29" s="119"/>
    </row>
    <row r="30" spans="1:41" x14ac:dyDescent="0.2">
      <c r="B30" s="3" t="s">
        <v>2536</v>
      </c>
      <c r="C30" s="64">
        <v>7533867</v>
      </c>
      <c r="D30" s="249">
        <v>44233</v>
      </c>
      <c r="E30" s="59" t="s">
        <v>2543</v>
      </c>
      <c r="I30" s="3"/>
      <c r="O30" s="82"/>
      <c r="P30" s="22"/>
      <c r="AB30" s="119"/>
      <c r="AC30" s="119"/>
      <c r="AD30" s="119"/>
      <c r="AE30" s="119"/>
      <c r="AF30" s="119"/>
      <c r="AH30" s="119"/>
      <c r="AI30" s="119"/>
      <c r="AJ30" s="119"/>
      <c r="AL30" s="119"/>
      <c r="AM30" s="119"/>
      <c r="AN30" s="119"/>
      <c r="AO30" s="119"/>
    </row>
    <row r="31" spans="1:41" x14ac:dyDescent="0.2">
      <c r="B31" s="3" t="s">
        <v>293</v>
      </c>
      <c r="C31" s="60">
        <v>0</v>
      </c>
      <c r="D31" s="62"/>
      <c r="I31" s="3"/>
      <c r="J31" s="60"/>
      <c r="O31" s="92"/>
      <c r="P31" s="22"/>
      <c r="AB31" s="119"/>
      <c r="AC31" s="119"/>
      <c r="AD31" s="119"/>
      <c r="AE31" s="119"/>
      <c r="AF31" s="119"/>
      <c r="AL31" s="119"/>
      <c r="AM31" s="119"/>
      <c r="AN31" s="119"/>
      <c r="AO31" s="119"/>
    </row>
    <row r="32" spans="1:41" x14ac:dyDescent="0.2">
      <c r="B32" s="3" t="s">
        <v>295</v>
      </c>
      <c r="C32" s="60">
        <v>0</v>
      </c>
      <c r="I32" s="3"/>
      <c r="J32" s="60"/>
      <c r="O32" s="92"/>
      <c r="P32" s="22"/>
      <c r="AB32" s="119"/>
      <c r="AC32" s="119"/>
      <c r="AD32" s="119"/>
      <c r="AE32" s="119"/>
      <c r="AF32" s="119"/>
      <c r="AL32" s="119"/>
      <c r="AM32" s="119"/>
      <c r="AN32" s="119"/>
      <c r="AO32" s="119"/>
    </row>
    <row r="33" spans="2:41" x14ac:dyDescent="0.2">
      <c r="B33" s="3"/>
      <c r="C33" s="60"/>
      <c r="I33" s="3"/>
      <c r="J33" s="60"/>
      <c r="AL33" s="69"/>
      <c r="AM33" s="69"/>
      <c r="AN33" s="69"/>
      <c r="AO33" s="69"/>
    </row>
    <row r="34" spans="2:41" x14ac:dyDescent="0.2">
      <c r="B34" s="71" t="s">
        <v>1875</v>
      </c>
      <c r="AL34" s="69"/>
      <c r="AM34" s="69"/>
      <c r="AN34" s="69"/>
      <c r="AO34" s="69"/>
    </row>
    <row r="35" spans="2:41" x14ac:dyDescent="0.2">
      <c r="B35" s="3" t="s">
        <v>296</v>
      </c>
      <c r="C35" s="65">
        <f>44/(44+29)</f>
        <v>0.60273972602739723</v>
      </c>
      <c r="D35" s="59" t="s">
        <v>323</v>
      </c>
      <c r="AL35" s="69"/>
      <c r="AM35" s="69"/>
      <c r="AN35" s="69"/>
      <c r="AO35" s="69"/>
    </row>
    <row r="36" spans="2:41" x14ac:dyDescent="0.2">
      <c r="B36" s="3" t="s">
        <v>298</v>
      </c>
      <c r="C36" s="119">
        <v>111.9</v>
      </c>
      <c r="D36" s="59" t="s">
        <v>1980</v>
      </c>
    </row>
    <row r="37" spans="2:41" x14ac:dyDescent="0.2">
      <c r="B37" s="3" t="s">
        <v>299</v>
      </c>
      <c r="C37" s="119">
        <v>109.3</v>
      </c>
      <c r="D37" s="59" t="s">
        <v>2067</v>
      </c>
    </row>
    <row r="38" spans="2:41" x14ac:dyDescent="0.2">
      <c r="B38" s="3" t="s">
        <v>300</v>
      </c>
      <c r="C38" s="119">
        <f>C36-C37</f>
        <v>2.6000000000000085</v>
      </c>
      <c r="D38" s="59" t="s">
        <v>1980</v>
      </c>
    </row>
    <row r="39" spans="2:41" x14ac:dyDescent="0.2">
      <c r="B39" s="3" t="s">
        <v>301</v>
      </c>
      <c r="C39" s="63">
        <v>98.7</v>
      </c>
      <c r="D39" s="59" t="s">
        <v>1957</v>
      </c>
    </row>
    <row r="40" spans="2:41" x14ac:dyDescent="0.2">
      <c r="B40" s="3"/>
    </row>
    <row r="41" spans="2:41" x14ac:dyDescent="0.2">
      <c r="B41" s="3" t="s">
        <v>302</v>
      </c>
    </row>
    <row r="42" spans="2:41" x14ac:dyDescent="0.2">
      <c r="B42" s="3" t="s">
        <v>1199</v>
      </c>
    </row>
    <row r="43" spans="2:41" x14ac:dyDescent="0.2">
      <c r="B43" s="12"/>
    </row>
    <row r="44" spans="2:41" x14ac:dyDescent="0.2">
      <c r="B44" s="3" t="s">
        <v>310</v>
      </c>
    </row>
    <row r="45" spans="2:41" x14ac:dyDescent="0.2">
      <c r="B45" s="3" t="s">
        <v>1200</v>
      </c>
    </row>
    <row r="46" spans="2:41" x14ac:dyDescent="0.2">
      <c r="B46" s="3" t="s">
        <v>1201</v>
      </c>
    </row>
    <row r="47" spans="2:41" x14ac:dyDescent="0.2">
      <c r="B47" s="3" t="s">
        <v>1202</v>
      </c>
    </row>
    <row r="48" spans="2:41" x14ac:dyDescent="0.2">
      <c r="B48" s="3" t="s">
        <v>1203</v>
      </c>
    </row>
    <row r="49" spans="2:9" x14ac:dyDescent="0.2">
      <c r="B49" s="3" t="s">
        <v>1204</v>
      </c>
    </row>
    <row r="50" spans="2:9" x14ac:dyDescent="0.2">
      <c r="B50" s="3" t="s">
        <v>1205</v>
      </c>
    </row>
    <row r="51" spans="2:9" x14ac:dyDescent="0.2">
      <c r="B51" s="3" t="s">
        <v>1206</v>
      </c>
    </row>
    <row r="52" spans="2:9" x14ac:dyDescent="0.2">
      <c r="B52" s="3" t="s">
        <v>1207</v>
      </c>
    </row>
    <row r="53" spans="2:9" x14ac:dyDescent="0.2">
      <c r="B53" s="3"/>
    </row>
    <row r="54" spans="2:9" x14ac:dyDescent="0.2">
      <c r="B54" s="71" t="s">
        <v>1989</v>
      </c>
    </row>
    <row r="55" spans="2:9" x14ac:dyDescent="0.2">
      <c r="B55" s="39" t="s">
        <v>314</v>
      </c>
      <c r="C55" s="82">
        <v>44</v>
      </c>
      <c r="D55" s="82">
        <v>29</v>
      </c>
      <c r="E55" s="82" t="s">
        <v>323</v>
      </c>
      <c r="G55" s="82" t="s">
        <v>1198</v>
      </c>
      <c r="I55" s="59" t="s">
        <v>2542</v>
      </c>
    </row>
    <row r="56" spans="2:9" x14ac:dyDescent="0.2">
      <c r="B56" s="39" t="s">
        <v>317</v>
      </c>
      <c r="C56" s="82">
        <v>39</v>
      </c>
      <c r="D56" s="82">
        <v>43</v>
      </c>
      <c r="E56" s="82" t="s">
        <v>520</v>
      </c>
      <c r="G56" s="82" t="s">
        <v>1198</v>
      </c>
      <c r="I56" s="145" t="s">
        <v>316</v>
      </c>
    </row>
    <row r="57" spans="2:9" x14ac:dyDescent="0.2">
      <c r="B57" s="39" t="s">
        <v>319</v>
      </c>
      <c r="C57" s="82">
        <v>44</v>
      </c>
      <c r="D57" s="82">
        <v>38</v>
      </c>
      <c r="E57" s="82" t="s">
        <v>335</v>
      </c>
      <c r="G57" s="82" t="s">
        <v>1198</v>
      </c>
      <c r="I57" s="59" t="s">
        <v>462</v>
      </c>
    </row>
    <row r="58" spans="2:9" x14ac:dyDescent="0.2">
      <c r="B58" s="39" t="s">
        <v>322</v>
      </c>
      <c r="C58" s="82">
        <v>41</v>
      </c>
      <c r="D58" s="82">
        <v>41</v>
      </c>
      <c r="E58" s="82" t="s">
        <v>521</v>
      </c>
      <c r="G58" s="82" t="s">
        <v>1198</v>
      </c>
      <c r="I58" s="145" t="s">
        <v>316</v>
      </c>
    </row>
    <row r="59" spans="2:9" x14ac:dyDescent="0.2">
      <c r="B59" s="39" t="s">
        <v>325</v>
      </c>
      <c r="C59" s="82">
        <v>48</v>
      </c>
      <c r="D59" s="82">
        <v>34</v>
      </c>
      <c r="E59" s="82" t="s">
        <v>393</v>
      </c>
      <c r="G59" s="82" t="s">
        <v>1198</v>
      </c>
      <c r="I59" s="59" t="s">
        <v>1208</v>
      </c>
    </row>
    <row r="60" spans="2:9" x14ac:dyDescent="0.2">
      <c r="B60" s="39" t="s">
        <v>328</v>
      </c>
      <c r="C60" s="82">
        <v>37</v>
      </c>
      <c r="D60" s="82">
        <v>45</v>
      </c>
      <c r="E60" s="82" t="s">
        <v>520</v>
      </c>
      <c r="G60" s="82" t="s">
        <v>1198</v>
      </c>
      <c r="I60" s="145" t="s">
        <v>316</v>
      </c>
    </row>
    <row r="61" spans="2:9" x14ac:dyDescent="0.2">
      <c r="B61" s="39" t="s">
        <v>331</v>
      </c>
      <c r="C61" s="82">
        <v>54</v>
      </c>
      <c r="D61" s="82">
        <v>28</v>
      </c>
      <c r="E61" s="82" t="s">
        <v>396</v>
      </c>
      <c r="G61" s="82" t="s">
        <v>1198</v>
      </c>
      <c r="I61" s="59" t="s">
        <v>1209</v>
      </c>
    </row>
    <row r="62" spans="2:9" x14ac:dyDescent="0.2">
      <c r="B62" s="39" t="s">
        <v>334</v>
      </c>
      <c r="C62" s="82">
        <v>66</v>
      </c>
      <c r="D62" s="82">
        <v>16</v>
      </c>
      <c r="E62" s="82" t="s">
        <v>329</v>
      </c>
      <c r="G62" s="82" t="s">
        <v>1198</v>
      </c>
      <c r="I62" s="59" t="s">
        <v>1210</v>
      </c>
    </row>
    <row r="63" spans="2:9" x14ac:dyDescent="0.2">
      <c r="B63" s="39" t="s">
        <v>338</v>
      </c>
      <c r="C63" s="82">
        <v>46</v>
      </c>
      <c r="D63" s="82">
        <v>20</v>
      </c>
      <c r="E63" s="82" t="s">
        <v>396</v>
      </c>
      <c r="G63" s="82" t="s">
        <v>1198</v>
      </c>
      <c r="I63" s="59" t="s">
        <v>1211</v>
      </c>
    </row>
    <row r="64" spans="2:9" x14ac:dyDescent="0.2">
      <c r="B64" s="39" t="s">
        <v>340</v>
      </c>
      <c r="C64" s="82">
        <v>58</v>
      </c>
      <c r="D64" s="82">
        <v>24</v>
      </c>
      <c r="E64" s="82" t="s">
        <v>396</v>
      </c>
      <c r="G64" s="82" t="s">
        <v>1198</v>
      </c>
      <c r="I64" s="59" t="s">
        <v>1212</v>
      </c>
    </row>
    <row r="65" spans="2:5" x14ac:dyDescent="0.2">
      <c r="B65" s="59" t="s">
        <v>342</v>
      </c>
      <c r="C65" s="59">
        <f>SUM(C55:C64)</f>
        <v>477</v>
      </c>
      <c r="D65" s="59">
        <f>SUM(D55:D64)</f>
        <v>318</v>
      </c>
      <c r="E65" s="65">
        <f>C65/(C65+D65)</f>
        <v>0.6</v>
      </c>
    </row>
  </sheetData>
  <hyperlinks>
    <hyperlink ref="B55" r:id="rId1" xr:uid="{5015C104-4A9D-8C49-8ADE-6431BB8DC8F3}"/>
    <hyperlink ref="B56" r:id="rId2" xr:uid="{F52D6E62-E8DB-C146-8B32-608296E486A8}"/>
    <hyperlink ref="B57" r:id="rId3" xr:uid="{31BE7FB1-8DF8-DB48-8B18-0A8DDC16595A}"/>
    <hyperlink ref="B58" r:id="rId4" xr:uid="{480AA527-CC08-434C-9E80-F73AAEB05D37}"/>
    <hyperlink ref="B59" r:id="rId5" xr:uid="{78349E48-BC97-3847-AC23-CFE6B07843BD}"/>
    <hyperlink ref="B60" r:id="rId6" xr:uid="{0504B447-04D3-604B-8A8D-BB77BDB81AB9}"/>
    <hyperlink ref="B61" r:id="rId7" xr:uid="{BFD00662-BBB5-0E49-A330-79A4C4DF8B24}"/>
    <hyperlink ref="B62" r:id="rId8" xr:uid="{8A821D45-9648-CF4D-A8B7-B159B55DF587}"/>
    <hyperlink ref="B63" r:id="rId9" xr:uid="{84E217A4-CF6A-F143-9AD5-4C9696B0F3E1}"/>
    <hyperlink ref="B64" r:id="rId10" xr:uid="{099BF02E-3AC3-F44C-9469-EB6ED838575E}"/>
  </hyperlinks>
  <pageMargins left="0.7" right="0.7" top="0.75" bottom="0.75" header="0.3" footer="0.3"/>
  <ignoredErrors>
    <ignoredError sqref="J22:J23" formulaRange="1"/>
  </ignoredErrors>
  <legacy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9153-EB2A-074D-ACDD-7C9462B7062F}">
  <dimension ref="A1:AP68"/>
  <sheetViews>
    <sheetView zoomScaleNormal="100" workbookViewId="0"/>
  </sheetViews>
  <sheetFormatPr baseColWidth="10" defaultColWidth="10.83203125" defaultRowHeight="16" x14ac:dyDescent="0.2"/>
  <cols>
    <col min="1" max="1" width="5.5" style="70" customWidth="1"/>
    <col min="2" max="2" width="22.5" style="70" customWidth="1"/>
    <col min="3" max="3" width="11" style="70" customWidth="1"/>
    <col min="4" max="4" width="7.1640625" style="70" customWidth="1"/>
    <col min="5" max="5" width="10.33203125" style="70" customWidth="1"/>
    <col min="6" max="6" width="8" style="70" customWidth="1"/>
    <col min="7" max="7" width="10" style="70" customWidth="1"/>
    <col min="8" max="8" width="5.83203125" style="70" customWidth="1"/>
    <col min="9" max="9" width="25.5" style="70" customWidth="1"/>
    <col min="10" max="10" width="11.1640625" style="70" customWidth="1"/>
    <col min="11" max="11" width="12" style="70" customWidth="1"/>
    <col min="12" max="12" width="5.33203125" style="70" customWidth="1"/>
    <col min="13" max="13" width="26" style="70" bestFit="1" customWidth="1"/>
    <col min="14" max="14" width="16" style="70" customWidth="1"/>
    <col min="15" max="15" width="48.5" style="70" customWidth="1"/>
    <col min="16" max="16" width="14" style="70" customWidth="1"/>
    <col min="17" max="20" width="12.33203125" style="70" bestFit="1" customWidth="1"/>
    <col min="21" max="21" width="13.5" style="70" customWidth="1"/>
    <col min="22" max="22" width="29.83203125" style="70" customWidth="1"/>
    <col min="23" max="23" width="25.6640625" style="70" customWidth="1"/>
    <col min="24" max="24" width="10" style="70" customWidth="1"/>
    <col min="25" max="25" width="3.33203125" style="70" customWidth="1"/>
    <col min="26" max="26" width="8.1640625" style="70" customWidth="1"/>
    <col min="27" max="27" width="5.83203125" style="70" customWidth="1"/>
    <col min="28" max="28" width="5.5" style="70" customWidth="1"/>
    <col min="29" max="29" width="7.5" style="70" customWidth="1"/>
    <col min="30" max="30" width="5.1640625" style="70" customWidth="1"/>
    <col min="31" max="31" width="4.83203125" style="70" customWidth="1"/>
    <col min="32" max="32" width="6" style="70" customWidth="1"/>
    <col min="33" max="33" width="7.5" style="70" customWidth="1"/>
    <col min="34" max="35" width="5.1640625" style="70" customWidth="1"/>
    <col min="36" max="36" width="6.83203125" style="70" customWidth="1"/>
    <col min="37" max="37" width="5.83203125" style="70" customWidth="1"/>
    <col min="38" max="38" width="6.33203125" style="70" customWidth="1"/>
    <col min="39" max="39" width="5.83203125" style="70" customWidth="1"/>
    <col min="40" max="40" width="5.1640625" style="70" customWidth="1"/>
    <col min="41" max="16384" width="10.83203125" style="70"/>
  </cols>
  <sheetData>
    <row r="1" spans="1:42" x14ac:dyDescent="0.2">
      <c r="A1" s="169" t="s">
        <v>2213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82"/>
    </row>
    <row r="2" spans="1:42" x14ac:dyDescent="0.2">
      <c r="A2" s="3">
        <v>22</v>
      </c>
      <c r="B2" s="3" t="s">
        <v>1213</v>
      </c>
      <c r="C2" s="70" t="s">
        <v>241</v>
      </c>
      <c r="D2" s="223">
        <v>67</v>
      </c>
      <c r="E2" s="223">
        <v>611</v>
      </c>
      <c r="F2" s="224">
        <v>222</v>
      </c>
      <c r="G2" s="4">
        <v>33462</v>
      </c>
      <c r="H2" s="162">
        <f t="shared" ref="H2:H18" ca="1" si="0">ROUNDDOWN(YEARFRAC($G$25,G2),1)</f>
        <v>29.2</v>
      </c>
      <c r="I2" s="70" t="s">
        <v>373</v>
      </c>
      <c r="J2" s="3">
        <v>9</v>
      </c>
      <c r="K2" s="107">
        <v>2012</v>
      </c>
      <c r="L2" s="107">
        <v>39</v>
      </c>
      <c r="M2" s="3" t="s">
        <v>1214</v>
      </c>
      <c r="N2" s="3" t="s">
        <v>1</v>
      </c>
      <c r="O2" s="70" t="s">
        <v>2089</v>
      </c>
      <c r="P2" s="72">
        <v>33051724</v>
      </c>
      <c r="Q2" s="72">
        <v>35500000</v>
      </c>
      <c r="R2" s="72">
        <v>37948276</v>
      </c>
      <c r="S2" s="47">
        <v>40396552</v>
      </c>
      <c r="T2" s="14">
        <v>50646400</v>
      </c>
      <c r="W2" s="70" t="s">
        <v>2215</v>
      </c>
      <c r="X2" s="101">
        <v>3</v>
      </c>
      <c r="Y2" s="101">
        <v>55</v>
      </c>
      <c r="Z2" s="163">
        <f>44/55</f>
        <v>0.8</v>
      </c>
      <c r="AA2" s="162">
        <v>113.4</v>
      </c>
      <c r="AB2" s="162">
        <v>99.6</v>
      </c>
      <c r="AC2" s="162">
        <f t="shared" ref="AC2:AC11" si="1">AA2-AB2</f>
        <v>13.800000000000011</v>
      </c>
      <c r="AD2" s="162">
        <v>30.1</v>
      </c>
      <c r="AE2" s="162">
        <v>21.4</v>
      </c>
      <c r="AF2" s="163">
        <v>0.61899999999999999</v>
      </c>
      <c r="AG2" s="162">
        <v>26.2</v>
      </c>
      <c r="AH2" s="162">
        <v>4.3</v>
      </c>
      <c r="AI2" s="162">
        <v>3.1</v>
      </c>
      <c r="AJ2" s="163">
        <v>0.214</v>
      </c>
      <c r="AK2" s="162">
        <v>3.4</v>
      </c>
      <c r="AL2" s="162">
        <v>0.9</v>
      </c>
      <c r="AM2" s="162">
        <v>2.7</v>
      </c>
      <c r="AN2" s="162">
        <v>15.5</v>
      </c>
    </row>
    <row r="3" spans="1:42" x14ac:dyDescent="0.2">
      <c r="A3" s="3">
        <v>34</v>
      </c>
      <c r="B3" s="3" t="s">
        <v>1215</v>
      </c>
      <c r="C3" s="70" t="s">
        <v>234</v>
      </c>
      <c r="D3" s="223">
        <v>611</v>
      </c>
      <c r="E3" s="223">
        <v>73</v>
      </c>
      <c r="F3" s="224">
        <v>242</v>
      </c>
      <c r="G3" s="4">
        <v>34674</v>
      </c>
      <c r="H3" s="162">
        <f t="shared" ca="1" si="0"/>
        <v>25.9</v>
      </c>
      <c r="I3" s="70" t="s">
        <v>1216</v>
      </c>
      <c r="J3" s="3">
        <v>8</v>
      </c>
      <c r="K3" s="107">
        <v>2013</v>
      </c>
      <c r="L3" s="107">
        <v>15</v>
      </c>
      <c r="M3" s="3" t="s">
        <v>1217</v>
      </c>
      <c r="N3" s="3" t="s">
        <v>1</v>
      </c>
      <c r="O3" s="70" t="s">
        <v>1884</v>
      </c>
      <c r="P3" s="11">
        <v>27528088</v>
      </c>
      <c r="Q3" s="14">
        <v>37500000</v>
      </c>
      <c r="R3" s="3"/>
      <c r="S3" s="3"/>
      <c r="T3" s="3"/>
      <c r="W3" s="70" t="s">
        <v>2216</v>
      </c>
      <c r="X3" s="101">
        <v>4</v>
      </c>
      <c r="Y3" s="101">
        <v>57</v>
      </c>
      <c r="Z3" s="163">
        <f>48/57</f>
        <v>0.84210526315789469</v>
      </c>
      <c r="AA3" s="162">
        <v>112.6</v>
      </c>
      <c r="AB3" s="162">
        <v>96.5</v>
      </c>
      <c r="AC3" s="162">
        <f t="shared" si="1"/>
        <v>16.099999999999994</v>
      </c>
      <c r="AD3" s="162">
        <v>30.9</v>
      </c>
      <c r="AE3" s="162">
        <v>31.6</v>
      </c>
      <c r="AF3" s="163">
        <v>0.60799999999999998</v>
      </c>
      <c r="AG3" s="162">
        <v>37.4</v>
      </c>
      <c r="AH3" s="162">
        <v>5.6</v>
      </c>
      <c r="AI3" s="162">
        <v>4.8</v>
      </c>
      <c r="AJ3" s="163">
        <v>0.28199999999999997</v>
      </c>
      <c r="AK3" s="162">
        <v>7.4</v>
      </c>
      <c r="AL3" s="162">
        <v>4.0999999999999996</v>
      </c>
      <c r="AM3" s="162">
        <v>6</v>
      </c>
      <c r="AN3" s="162">
        <v>23.9</v>
      </c>
    </row>
    <row r="4" spans="1:42" x14ac:dyDescent="0.2">
      <c r="A4" s="3"/>
      <c r="B4" s="3" t="s">
        <v>207</v>
      </c>
      <c r="C4" s="2" t="s">
        <v>230</v>
      </c>
      <c r="D4" s="105">
        <v>63</v>
      </c>
      <c r="E4" s="105">
        <v>67</v>
      </c>
      <c r="F4" s="106">
        <v>205</v>
      </c>
      <c r="G4" s="4">
        <v>33036</v>
      </c>
      <c r="H4" s="162">
        <f t="shared" ca="1" si="0"/>
        <v>30.4</v>
      </c>
      <c r="I4" s="155" t="s">
        <v>534</v>
      </c>
      <c r="J4" s="107">
        <v>12</v>
      </c>
      <c r="K4" s="107">
        <v>2009</v>
      </c>
      <c r="L4" s="107">
        <v>17</v>
      </c>
      <c r="M4" s="2" t="s">
        <v>2188</v>
      </c>
      <c r="N4" s="2" t="s">
        <v>2196</v>
      </c>
      <c r="O4" s="155" t="s">
        <v>2189</v>
      </c>
      <c r="P4" s="11">
        <v>25876111</v>
      </c>
      <c r="Q4" s="47">
        <v>27120000</v>
      </c>
      <c r="R4" s="14">
        <f>Q4*1.5</f>
        <v>40680000</v>
      </c>
      <c r="S4" s="3"/>
      <c r="T4" s="3"/>
      <c r="U4" s="155"/>
      <c r="V4" s="155" t="s">
        <v>1296</v>
      </c>
      <c r="W4" s="155" t="s">
        <v>2217</v>
      </c>
      <c r="X4" s="107">
        <v>2</v>
      </c>
      <c r="Y4" s="107">
        <v>55</v>
      </c>
      <c r="Z4" s="41">
        <f>24/55</f>
        <v>0.43636363636363634</v>
      </c>
      <c r="AA4" s="110">
        <v>110.5</v>
      </c>
      <c r="AB4" s="110">
        <v>109.9</v>
      </c>
      <c r="AC4" s="110">
        <f t="shared" si="1"/>
        <v>0.59999999999999432</v>
      </c>
      <c r="AD4" s="110">
        <v>34.9</v>
      </c>
      <c r="AE4" s="110">
        <v>17.5</v>
      </c>
      <c r="AF4" s="41">
        <v>0.53500000000000003</v>
      </c>
      <c r="AG4" s="110">
        <v>24.7</v>
      </c>
      <c r="AH4" s="110">
        <v>2.1</v>
      </c>
      <c r="AI4" s="110">
        <v>1.8</v>
      </c>
      <c r="AJ4" s="41">
        <v>9.9000000000000005E-2</v>
      </c>
      <c r="AK4" s="110">
        <v>1.9</v>
      </c>
      <c r="AL4" s="110">
        <v>0.3</v>
      </c>
      <c r="AM4" s="110">
        <v>2.1</v>
      </c>
      <c r="AN4" s="110">
        <v>11.7</v>
      </c>
      <c r="AO4" s="155"/>
      <c r="AP4" s="155"/>
    </row>
    <row r="5" spans="1:42" x14ac:dyDescent="0.2">
      <c r="A5" s="3">
        <v>11</v>
      </c>
      <c r="B5" s="3" t="s">
        <v>1219</v>
      </c>
      <c r="C5" s="70" t="s">
        <v>234</v>
      </c>
      <c r="D5" s="223">
        <v>70</v>
      </c>
      <c r="E5" s="223">
        <v>76</v>
      </c>
      <c r="F5" s="224">
        <v>282</v>
      </c>
      <c r="G5" s="4">
        <v>32234</v>
      </c>
      <c r="H5" s="162">
        <f t="shared" ca="1" si="0"/>
        <v>32.6</v>
      </c>
      <c r="I5" s="70" t="s">
        <v>672</v>
      </c>
      <c r="J5" s="3">
        <v>13</v>
      </c>
      <c r="K5" s="107">
        <v>2008</v>
      </c>
      <c r="L5" s="107">
        <v>10</v>
      </c>
      <c r="M5" s="3" t="s">
        <v>1220</v>
      </c>
      <c r="N5" s="3" t="s">
        <v>279</v>
      </c>
      <c r="O5" s="70" t="s">
        <v>2091</v>
      </c>
      <c r="P5" s="11">
        <v>12697675</v>
      </c>
      <c r="Q5" s="11">
        <v>13302325</v>
      </c>
      <c r="R5" s="11">
        <v>13906976</v>
      </c>
      <c r="S5" s="14">
        <f>R5*1.5</f>
        <v>20860464</v>
      </c>
      <c r="T5" s="3"/>
      <c r="W5" s="96" t="s">
        <v>238</v>
      </c>
      <c r="X5" s="101">
        <v>5</v>
      </c>
      <c r="Y5" s="101">
        <v>61</v>
      </c>
      <c r="Z5" s="163">
        <f>50/61</f>
        <v>0.81967213114754101</v>
      </c>
      <c r="AA5" s="162">
        <v>111.9</v>
      </c>
      <c r="AB5" s="162">
        <v>99.5</v>
      </c>
      <c r="AC5" s="162">
        <f t="shared" si="1"/>
        <v>12.400000000000006</v>
      </c>
      <c r="AD5" s="162">
        <v>26.6</v>
      </c>
      <c r="AE5" s="162">
        <v>14</v>
      </c>
      <c r="AF5" s="163">
        <v>0.53700000000000003</v>
      </c>
      <c r="AG5" s="162">
        <v>17.5</v>
      </c>
      <c r="AH5" s="162">
        <v>0.8</v>
      </c>
      <c r="AI5" s="162">
        <v>3.9</v>
      </c>
      <c r="AJ5" s="163">
        <v>0.13700000000000001</v>
      </c>
      <c r="AK5" s="162">
        <v>-1.1000000000000001</v>
      </c>
      <c r="AL5" s="162">
        <v>2.8</v>
      </c>
      <c r="AM5" s="162">
        <v>1.5</v>
      </c>
      <c r="AN5" s="162">
        <v>8.1999999999999993</v>
      </c>
    </row>
    <row r="6" spans="1:42" x14ac:dyDescent="0.2">
      <c r="A6" s="3"/>
      <c r="B6" s="3" t="s">
        <v>134</v>
      </c>
      <c r="C6" s="2" t="s">
        <v>247</v>
      </c>
      <c r="D6" s="142">
        <v>511</v>
      </c>
      <c r="E6" s="142">
        <v>64</v>
      </c>
      <c r="F6" s="143">
        <v>183</v>
      </c>
      <c r="G6" s="4">
        <v>32091</v>
      </c>
      <c r="H6" s="110">
        <f t="shared" ca="1" si="0"/>
        <v>33</v>
      </c>
      <c r="I6" s="3" t="s">
        <v>406</v>
      </c>
      <c r="J6" s="3">
        <v>13</v>
      </c>
      <c r="K6" s="3">
        <v>2008</v>
      </c>
      <c r="L6" s="3">
        <v>9</v>
      </c>
      <c r="M6" s="3" t="s">
        <v>2503</v>
      </c>
      <c r="N6" s="3" t="s">
        <v>495</v>
      </c>
      <c r="O6" s="3" t="s">
        <v>2507</v>
      </c>
      <c r="P6" s="16">
        <v>6777777</v>
      </c>
      <c r="Q6" s="22">
        <v>7000000</v>
      </c>
      <c r="R6" s="56">
        <v>7333333</v>
      </c>
      <c r="S6" s="14">
        <f>R6*1.9</f>
        <v>13933332.699999999</v>
      </c>
      <c r="T6" s="3"/>
      <c r="U6" s="3"/>
      <c r="V6" s="3"/>
      <c r="W6" s="5" t="s">
        <v>284</v>
      </c>
      <c r="X6" s="107">
        <v>1</v>
      </c>
      <c r="Y6" s="69">
        <v>49</v>
      </c>
      <c r="Z6" s="65">
        <f>25/49</f>
        <v>0.51020408163265307</v>
      </c>
      <c r="AA6" s="119">
        <v>106.1</v>
      </c>
      <c r="AB6" s="119">
        <v>104.1</v>
      </c>
      <c r="AC6" s="119">
        <f t="shared" si="1"/>
        <v>2</v>
      </c>
      <c r="AD6" s="119">
        <v>24.8</v>
      </c>
      <c r="AE6" s="119">
        <v>14.2</v>
      </c>
      <c r="AF6" s="65">
        <v>0.54800000000000004</v>
      </c>
      <c r="AG6" s="119">
        <v>19.100000000000001</v>
      </c>
      <c r="AH6" s="119">
        <v>1.8</v>
      </c>
      <c r="AI6" s="119">
        <v>0.8</v>
      </c>
      <c r="AJ6" s="65">
        <v>0.10100000000000001</v>
      </c>
      <c r="AK6" s="119">
        <v>-0.3</v>
      </c>
      <c r="AL6" s="119">
        <v>-1</v>
      </c>
      <c r="AM6" s="119">
        <v>0.2</v>
      </c>
      <c r="AN6" s="119">
        <v>10.5</v>
      </c>
      <c r="AO6"/>
    </row>
    <row r="7" spans="1:42" x14ac:dyDescent="0.2">
      <c r="A7" s="3"/>
      <c r="B7" s="3" t="s">
        <v>1225</v>
      </c>
      <c r="C7" s="59" t="s">
        <v>234</v>
      </c>
      <c r="D7" s="142">
        <v>610</v>
      </c>
      <c r="E7" s="142">
        <v>73</v>
      </c>
      <c r="F7" s="143">
        <v>231</v>
      </c>
      <c r="G7" s="4">
        <v>35114</v>
      </c>
      <c r="H7" s="119">
        <f t="shared" ca="1" si="0"/>
        <v>24.7</v>
      </c>
      <c r="I7" s="59" t="s">
        <v>425</v>
      </c>
      <c r="J7" s="3">
        <v>4</v>
      </c>
      <c r="K7" s="107">
        <v>2017</v>
      </c>
      <c r="L7" s="107">
        <v>17</v>
      </c>
      <c r="M7" s="3" t="s">
        <v>2235</v>
      </c>
      <c r="N7" s="3" t="s">
        <v>2234</v>
      </c>
      <c r="O7" s="59" t="s">
        <v>2043</v>
      </c>
      <c r="P7" s="11">
        <v>4548280</v>
      </c>
      <c r="Q7" s="49">
        <f>P7*3</f>
        <v>13644840</v>
      </c>
      <c r="R7" s="12"/>
      <c r="S7" s="12"/>
      <c r="T7" s="12"/>
      <c r="U7" s="59"/>
      <c r="V7" s="59"/>
      <c r="W7" s="96" t="s">
        <v>1226</v>
      </c>
      <c r="X7" s="69">
        <v>4</v>
      </c>
      <c r="Y7" s="69">
        <v>31</v>
      </c>
      <c r="Z7" s="65">
        <f>27/31</f>
        <v>0.87096774193548387</v>
      </c>
      <c r="AA7" s="119">
        <v>96.6</v>
      </c>
      <c r="AB7" s="119">
        <v>103.1</v>
      </c>
      <c r="AC7" s="119">
        <f t="shared" si="1"/>
        <v>-6.5</v>
      </c>
      <c r="AD7" s="119">
        <v>9</v>
      </c>
      <c r="AE7" s="119">
        <v>8.4</v>
      </c>
      <c r="AF7" s="65">
        <v>0.47599999999999998</v>
      </c>
      <c r="AG7" s="119">
        <v>17.7</v>
      </c>
      <c r="AH7" s="119">
        <v>-0.2</v>
      </c>
      <c r="AI7" s="119">
        <v>0.5</v>
      </c>
      <c r="AJ7" s="65">
        <v>5.5E-2</v>
      </c>
      <c r="AK7" s="119">
        <v>-3.9</v>
      </c>
      <c r="AL7" s="119">
        <v>0.3</v>
      </c>
      <c r="AM7" s="119">
        <v>-0.1</v>
      </c>
      <c r="AN7" s="119">
        <v>7.6</v>
      </c>
      <c r="AO7" s="59"/>
      <c r="AP7" s="59"/>
    </row>
    <row r="8" spans="1:42" x14ac:dyDescent="0.2">
      <c r="A8" s="3">
        <v>24</v>
      </c>
      <c r="B8" s="3" t="s">
        <v>101</v>
      </c>
      <c r="C8" s="70" t="s">
        <v>252</v>
      </c>
      <c r="D8" s="223">
        <v>65</v>
      </c>
      <c r="E8" s="223">
        <v>69</v>
      </c>
      <c r="F8" s="224">
        <v>209</v>
      </c>
      <c r="G8" s="4">
        <v>33975</v>
      </c>
      <c r="H8" s="162">
        <f t="shared" ca="1" si="0"/>
        <v>27.8</v>
      </c>
      <c r="I8" s="70" t="s">
        <v>1229</v>
      </c>
      <c r="J8" s="3">
        <v>6</v>
      </c>
      <c r="K8" s="107">
        <v>2015</v>
      </c>
      <c r="L8" s="107">
        <v>41</v>
      </c>
      <c r="M8" s="3" t="s">
        <v>1230</v>
      </c>
      <c r="N8" s="3" t="s">
        <v>5</v>
      </c>
      <c r="O8" s="70" t="s">
        <v>2489</v>
      </c>
      <c r="P8" s="16">
        <v>4938272</v>
      </c>
      <c r="Q8" s="16">
        <v>5333334</v>
      </c>
      <c r="R8" s="47">
        <v>5728393</v>
      </c>
      <c r="S8" s="14">
        <f>R8*1.9</f>
        <v>10883946.699999999</v>
      </c>
      <c r="T8" s="54"/>
      <c r="V8" s="70" t="s">
        <v>2496</v>
      </c>
      <c r="W8" s="70" t="s">
        <v>2219</v>
      </c>
      <c r="X8" s="101">
        <v>2</v>
      </c>
      <c r="Y8" s="101">
        <v>61</v>
      </c>
      <c r="Z8" s="163">
        <f>51/61</f>
        <v>0.83606557377049184</v>
      </c>
      <c r="AA8" s="162">
        <v>107.5</v>
      </c>
      <c r="AB8" s="162">
        <v>103.2</v>
      </c>
      <c r="AC8" s="162">
        <f t="shared" si="1"/>
        <v>4.2999999999999972</v>
      </c>
      <c r="AD8" s="162">
        <v>18.3</v>
      </c>
      <c r="AE8" s="162">
        <v>11.2</v>
      </c>
      <c r="AF8" s="163">
        <v>0.55800000000000005</v>
      </c>
      <c r="AG8" s="162">
        <v>11.9</v>
      </c>
      <c r="AH8" s="162">
        <v>0.9</v>
      </c>
      <c r="AI8" s="162">
        <v>2.1</v>
      </c>
      <c r="AJ8" s="163">
        <v>0.13</v>
      </c>
      <c r="AK8" s="162">
        <v>-1.1000000000000001</v>
      </c>
      <c r="AL8" s="162">
        <v>1.6</v>
      </c>
      <c r="AM8" s="162">
        <v>0.7</v>
      </c>
      <c r="AN8" s="162">
        <v>8.9</v>
      </c>
      <c r="AP8" s="59"/>
    </row>
    <row r="9" spans="1:42" x14ac:dyDescent="0.2">
      <c r="A9" s="3"/>
      <c r="B9" s="3" t="s">
        <v>118</v>
      </c>
      <c r="C9" s="3" t="s">
        <v>234</v>
      </c>
      <c r="D9" s="105">
        <v>610</v>
      </c>
      <c r="E9" s="105">
        <v>72</v>
      </c>
      <c r="F9" s="106">
        <v>250</v>
      </c>
      <c r="G9" s="4">
        <v>34740</v>
      </c>
      <c r="H9" s="110">
        <f t="shared" ca="1" si="0"/>
        <v>25.7</v>
      </c>
      <c r="I9" s="3" t="s">
        <v>572</v>
      </c>
      <c r="J9" s="3">
        <v>6</v>
      </c>
      <c r="K9" s="3">
        <v>2015</v>
      </c>
      <c r="L9" s="59">
        <v>22</v>
      </c>
      <c r="M9" s="3" t="s">
        <v>2687</v>
      </c>
      <c r="N9" s="3" t="s">
        <v>514</v>
      </c>
      <c r="O9" s="11" t="s">
        <v>2508</v>
      </c>
      <c r="P9" s="16">
        <f>3623000</f>
        <v>3623000</v>
      </c>
      <c r="Q9" s="47">
        <f>P9*1.05</f>
        <v>3804150</v>
      </c>
      <c r="R9" s="14">
        <f>Q9*1.3</f>
        <v>4945395</v>
      </c>
      <c r="S9" s="3"/>
      <c r="T9"/>
      <c r="U9"/>
      <c r="V9"/>
      <c r="W9" t="s">
        <v>1340</v>
      </c>
      <c r="X9" s="69">
        <v>5</v>
      </c>
      <c r="Y9" s="69">
        <v>66</v>
      </c>
      <c r="Z9" s="65">
        <f>21/66</f>
        <v>0.31818181818181818</v>
      </c>
      <c r="AA9" s="119">
        <v>102.3</v>
      </c>
      <c r="AB9" s="119">
        <v>110.2</v>
      </c>
      <c r="AC9" s="119">
        <f t="shared" si="1"/>
        <v>-7.9000000000000057</v>
      </c>
      <c r="AD9" s="119">
        <v>21.1</v>
      </c>
      <c r="AE9" s="119">
        <v>14.6</v>
      </c>
      <c r="AF9" s="65">
        <v>0.53</v>
      </c>
      <c r="AG9" s="119">
        <v>21.4</v>
      </c>
      <c r="AH9" s="119">
        <v>0.9</v>
      </c>
      <c r="AI9" s="119">
        <v>1</v>
      </c>
      <c r="AJ9" s="65">
        <v>6.4000000000000001E-2</v>
      </c>
      <c r="AK9" s="119">
        <v>0.1</v>
      </c>
      <c r="AL9" s="119">
        <v>-1.1000000000000001</v>
      </c>
      <c r="AM9" s="119">
        <v>0.3</v>
      </c>
      <c r="AN9" s="119">
        <v>10.8</v>
      </c>
      <c r="AO9"/>
      <c r="AP9"/>
    </row>
    <row r="10" spans="1:42" x14ac:dyDescent="0.2">
      <c r="A10" s="3"/>
      <c r="B10" s="3" t="s">
        <v>1227</v>
      </c>
      <c r="C10" s="59" t="s">
        <v>230</v>
      </c>
      <c r="D10" s="142">
        <v>64</v>
      </c>
      <c r="E10" s="142">
        <v>66</v>
      </c>
      <c r="F10" s="143">
        <v>203</v>
      </c>
      <c r="G10" s="4">
        <v>35461</v>
      </c>
      <c r="H10" s="119">
        <f t="shared" ca="1" si="0"/>
        <v>23.8</v>
      </c>
      <c r="I10" s="59" t="s">
        <v>559</v>
      </c>
      <c r="J10" s="3">
        <v>3</v>
      </c>
      <c r="K10" s="107">
        <v>2018</v>
      </c>
      <c r="L10" s="107">
        <v>17</v>
      </c>
      <c r="M10" s="3" t="s">
        <v>2236</v>
      </c>
      <c r="N10" s="3" t="s">
        <v>244</v>
      </c>
      <c r="O10" s="81" t="s">
        <v>2092</v>
      </c>
      <c r="P10" s="11">
        <v>3044160</v>
      </c>
      <c r="Q10" s="50">
        <v>4675830</v>
      </c>
      <c r="R10" s="49">
        <v>14027490</v>
      </c>
      <c r="S10" s="12"/>
      <c r="T10" s="12"/>
      <c r="U10" s="59"/>
      <c r="V10" s="59"/>
      <c r="W10" s="82" t="s">
        <v>1228</v>
      </c>
      <c r="X10" s="69">
        <v>2</v>
      </c>
      <c r="Y10" s="69">
        <v>59</v>
      </c>
      <c r="Z10" s="65">
        <f>51/59</f>
        <v>0.86440677966101698</v>
      </c>
      <c r="AA10" s="119">
        <v>112.5</v>
      </c>
      <c r="AB10" s="119">
        <v>98.5</v>
      </c>
      <c r="AC10" s="119">
        <f t="shared" si="1"/>
        <v>14</v>
      </c>
      <c r="AD10" s="119">
        <v>23.1</v>
      </c>
      <c r="AE10" s="119">
        <v>15</v>
      </c>
      <c r="AF10" s="65">
        <v>0.56999999999999995</v>
      </c>
      <c r="AG10" s="119">
        <v>16.899999999999999</v>
      </c>
      <c r="AH10" s="119">
        <v>1.4</v>
      </c>
      <c r="AI10" s="119">
        <v>3.1</v>
      </c>
      <c r="AJ10" s="65">
        <v>0.158</v>
      </c>
      <c r="AK10" s="119">
        <v>-0.6</v>
      </c>
      <c r="AL10" s="119">
        <v>2.7</v>
      </c>
      <c r="AM10" s="119">
        <v>1.4</v>
      </c>
      <c r="AN10" s="119">
        <v>10.9</v>
      </c>
      <c r="AO10" s="59"/>
      <c r="AP10" s="59"/>
    </row>
    <row r="11" spans="1:42" x14ac:dyDescent="0.2">
      <c r="A11" s="3"/>
      <c r="B11" s="3" t="s">
        <v>166</v>
      </c>
      <c r="C11" s="3" t="s">
        <v>252</v>
      </c>
      <c r="D11" s="105">
        <v>62</v>
      </c>
      <c r="E11" s="105">
        <v>65</v>
      </c>
      <c r="F11" s="106">
        <v>205</v>
      </c>
      <c r="G11" s="4">
        <v>34173</v>
      </c>
      <c r="H11" s="110">
        <f t="shared" ca="1" si="0"/>
        <v>27.3</v>
      </c>
      <c r="I11" s="3" t="s">
        <v>489</v>
      </c>
      <c r="J11" s="3">
        <v>5</v>
      </c>
      <c r="K11" s="3">
        <v>2016</v>
      </c>
      <c r="L11" s="3"/>
      <c r="M11" s="3" t="s">
        <v>2689</v>
      </c>
      <c r="N11" s="3" t="s">
        <v>495</v>
      </c>
      <c r="O11" s="3" t="s">
        <v>2445</v>
      </c>
      <c r="P11" s="60">
        <v>2337145</v>
      </c>
      <c r="Q11" s="252">
        <v>2454002</v>
      </c>
      <c r="R11" s="234"/>
      <c r="S11" s="3"/>
      <c r="T11" s="3"/>
      <c r="U11" s="3"/>
      <c r="W11" s="70" t="s">
        <v>1663</v>
      </c>
      <c r="X11" s="101">
        <v>2</v>
      </c>
      <c r="Y11" s="101">
        <v>63</v>
      </c>
      <c r="Z11" s="163">
        <f>27/63</f>
        <v>0.42857142857142855</v>
      </c>
      <c r="AA11" s="162">
        <v>108</v>
      </c>
      <c r="AB11" s="162">
        <v>114.8</v>
      </c>
      <c r="AC11" s="162">
        <f t="shared" si="1"/>
        <v>-6.7999999999999972</v>
      </c>
      <c r="AD11" s="162">
        <v>25.1</v>
      </c>
      <c r="AE11" s="162">
        <v>11.2</v>
      </c>
      <c r="AF11" s="163">
        <v>0.56999999999999995</v>
      </c>
      <c r="AG11" s="162">
        <v>18.600000000000001</v>
      </c>
      <c r="AH11" s="162">
        <v>1.2</v>
      </c>
      <c r="AI11" s="162">
        <v>0.2</v>
      </c>
      <c r="AJ11" s="163">
        <v>4.4999999999999998E-2</v>
      </c>
      <c r="AK11" s="162">
        <v>-0.6</v>
      </c>
      <c r="AL11" s="162">
        <v>-2.1</v>
      </c>
      <c r="AM11" s="162">
        <v>-0.3</v>
      </c>
      <c r="AN11" s="162">
        <v>6.4</v>
      </c>
      <c r="AO11"/>
      <c r="AP11" s="59"/>
    </row>
    <row r="12" spans="1:42" x14ac:dyDescent="0.2">
      <c r="A12" s="3">
        <v>43</v>
      </c>
      <c r="B12" s="3" t="s">
        <v>1232</v>
      </c>
      <c r="C12" s="70" t="s">
        <v>241</v>
      </c>
      <c r="D12" s="223">
        <v>66</v>
      </c>
      <c r="E12" s="223">
        <v>70</v>
      </c>
      <c r="F12" s="224">
        <v>219</v>
      </c>
      <c r="G12" s="4">
        <v>33802</v>
      </c>
      <c r="H12" s="162">
        <f t="shared" ca="1" si="0"/>
        <v>28.3</v>
      </c>
      <c r="I12" s="70" t="s">
        <v>1233</v>
      </c>
      <c r="J12" s="3">
        <v>3</v>
      </c>
      <c r="K12" s="107">
        <v>2014</v>
      </c>
      <c r="L12" s="107">
        <v>51</v>
      </c>
      <c r="M12" s="3" t="s">
        <v>1234</v>
      </c>
      <c r="N12" s="3" t="s">
        <v>276</v>
      </c>
      <c r="O12" s="70" t="s">
        <v>2093</v>
      </c>
      <c r="P12" s="11">
        <v>1701593</v>
      </c>
      <c r="Q12" s="49">
        <v>2126991</v>
      </c>
      <c r="R12" s="3"/>
      <c r="S12" s="3"/>
      <c r="T12" s="3"/>
      <c r="W12" s="70" t="s">
        <v>2218</v>
      </c>
      <c r="X12" s="101">
        <v>2</v>
      </c>
      <c r="Y12" s="101">
        <v>18</v>
      </c>
      <c r="Z12" s="163">
        <f>15/18</f>
        <v>0.83333333333333337</v>
      </c>
      <c r="AA12" s="162">
        <v>91.6</v>
      </c>
      <c r="AB12" s="162">
        <v>104.2</v>
      </c>
      <c r="AC12" s="162">
        <f t="shared" ref="AC12:AC13" si="2">AA12-AB12</f>
        <v>-12.600000000000009</v>
      </c>
      <c r="AD12" s="162">
        <v>5.2</v>
      </c>
      <c r="AE12" s="162">
        <v>14.2</v>
      </c>
      <c r="AF12" s="163">
        <v>0.52800000000000002</v>
      </c>
      <c r="AG12" s="162">
        <v>23.8</v>
      </c>
      <c r="AH12" s="162">
        <v>0</v>
      </c>
      <c r="AI12" s="162">
        <v>0.2</v>
      </c>
      <c r="AJ12" s="163">
        <v>8.3000000000000004E-2</v>
      </c>
      <c r="AK12" s="162">
        <v>-4</v>
      </c>
      <c r="AL12" s="162">
        <v>1.7</v>
      </c>
      <c r="AM12" s="162">
        <v>0</v>
      </c>
      <c r="AN12" s="162">
        <v>6.8</v>
      </c>
    </row>
    <row r="13" spans="1:42" x14ac:dyDescent="0.2">
      <c r="A13" s="3"/>
      <c r="B13" s="3" t="s">
        <v>40</v>
      </c>
      <c r="C13" s="3" t="s">
        <v>252</v>
      </c>
      <c r="D13" s="105">
        <v>67</v>
      </c>
      <c r="E13" s="105"/>
      <c r="F13" s="106">
        <v>221</v>
      </c>
      <c r="G13" s="4">
        <v>33226</v>
      </c>
      <c r="H13" s="110">
        <f t="shared" ca="1" si="0"/>
        <v>29.9</v>
      </c>
      <c r="I13" s="3" t="s">
        <v>743</v>
      </c>
      <c r="J13" s="3">
        <v>4</v>
      </c>
      <c r="K13" s="109">
        <v>2014</v>
      </c>
      <c r="L13" s="109"/>
      <c r="M13" s="3" t="s">
        <v>2436</v>
      </c>
      <c r="N13" s="3" t="s">
        <v>276</v>
      </c>
      <c r="O13" s="3" t="s">
        <v>2438</v>
      </c>
      <c r="P13" s="16">
        <v>1620564</v>
      </c>
      <c r="Q13" s="234"/>
      <c r="R13" s="12"/>
      <c r="S13" s="12"/>
      <c r="T13" s="12"/>
      <c r="U13" s="12"/>
      <c r="V13" s="3"/>
      <c r="W13" s="135" t="s">
        <v>745</v>
      </c>
      <c r="X13" s="69">
        <v>3</v>
      </c>
      <c r="Y13" s="69">
        <v>50</v>
      </c>
      <c r="Z13" s="65">
        <f>35/50</f>
        <v>0.7</v>
      </c>
      <c r="AA13" s="119">
        <v>105.7</v>
      </c>
      <c r="AB13" s="119">
        <v>111.1</v>
      </c>
      <c r="AC13" s="119">
        <f t="shared" si="2"/>
        <v>-5.3999999999999915</v>
      </c>
      <c r="AD13" s="119">
        <v>17.399999999999999</v>
      </c>
      <c r="AE13" s="119">
        <v>10.4</v>
      </c>
      <c r="AF13" s="65">
        <v>0.55900000000000005</v>
      </c>
      <c r="AG13" s="119">
        <v>12.2</v>
      </c>
      <c r="AH13" s="119">
        <v>0.8</v>
      </c>
      <c r="AI13" s="119">
        <v>0.9</v>
      </c>
      <c r="AJ13" s="65">
        <v>9.5000000000000001E-2</v>
      </c>
      <c r="AK13" s="119">
        <v>-2.4</v>
      </c>
      <c r="AL13" s="119">
        <v>0.1</v>
      </c>
      <c r="AM13" s="119">
        <v>-0.1</v>
      </c>
      <c r="AN13" s="119">
        <v>5.6</v>
      </c>
      <c r="AO13"/>
    </row>
    <row r="14" spans="1:42" x14ac:dyDescent="0.2">
      <c r="A14" s="3"/>
      <c r="B14" s="3" t="s">
        <v>2743</v>
      </c>
      <c r="C14" s="3"/>
      <c r="D14" s="105">
        <v>66</v>
      </c>
      <c r="E14" s="105">
        <v>68</v>
      </c>
      <c r="F14" s="106">
        <v>205</v>
      </c>
      <c r="G14" s="4">
        <v>34249</v>
      </c>
      <c r="H14" s="110">
        <f t="shared" ca="1" si="0"/>
        <v>27.1</v>
      </c>
      <c r="I14" s="3" t="s">
        <v>425</v>
      </c>
      <c r="J14" s="3">
        <v>6</v>
      </c>
      <c r="K14" s="109">
        <v>2014</v>
      </c>
      <c r="L14" s="109">
        <v>8</v>
      </c>
      <c r="M14" s="3" t="s">
        <v>2436</v>
      </c>
      <c r="N14" s="3" t="s">
        <v>276</v>
      </c>
      <c r="O14" s="3" t="s">
        <v>2438</v>
      </c>
      <c r="P14" s="16">
        <v>1620564</v>
      </c>
      <c r="Q14" s="234"/>
      <c r="R14" s="12"/>
      <c r="S14" s="12"/>
      <c r="T14" s="12"/>
      <c r="U14" s="12"/>
      <c r="V14" s="3"/>
      <c r="W14" s="135"/>
      <c r="X14" s="69"/>
      <c r="Y14" s="69"/>
      <c r="Z14" s="65"/>
      <c r="AA14" s="119"/>
      <c r="AB14" s="119"/>
      <c r="AC14" s="119"/>
      <c r="AD14" s="119"/>
      <c r="AE14" s="119"/>
      <c r="AF14" s="65"/>
      <c r="AG14" s="119"/>
      <c r="AH14" s="119"/>
      <c r="AI14" s="119"/>
      <c r="AJ14" s="65"/>
      <c r="AK14" s="119"/>
      <c r="AL14" s="119"/>
      <c r="AM14" s="119"/>
      <c r="AN14" s="119"/>
      <c r="AO14"/>
    </row>
    <row r="15" spans="1:42" x14ac:dyDescent="0.2">
      <c r="B15" s="3" t="s">
        <v>2351</v>
      </c>
      <c r="C15" s="70" t="s">
        <v>241</v>
      </c>
      <c r="D15" s="223">
        <v>67</v>
      </c>
      <c r="E15" s="223">
        <v>611</v>
      </c>
      <c r="F15" s="224">
        <v>225</v>
      </c>
      <c r="G15" s="4">
        <v>36047</v>
      </c>
      <c r="H15" s="162">
        <f t="shared" ca="1" si="0"/>
        <v>22.2</v>
      </c>
      <c r="I15" s="70" t="s">
        <v>474</v>
      </c>
      <c r="J15" s="70">
        <v>1</v>
      </c>
      <c r="K15" s="70">
        <v>2020</v>
      </c>
      <c r="L15" s="70">
        <v>45</v>
      </c>
      <c r="M15" s="70" t="s">
        <v>2352</v>
      </c>
      <c r="N15" s="70" t="s">
        <v>276</v>
      </c>
      <c r="O15" s="70" t="s">
        <v>2513</v>
      </c>
      <c r="P15" s="11">
        <v>898310</v>
      </c>
      <c r="Q15" s="16">
        <v>1517981</v>
      </c>
      <c r="R15" s="247"/>
      <c r="S15" s="11"/>
      <c r="T15" s="11"/>
      <c r="X15" s="101"/>
      <c r="Y15" s="101"/>
      <c r="Z15" s="163"/>
      <c r="AA15" s="162"/>
      <c r="AB15" s="162"/>
      <c r="AC15" s="162"/>
      <c r="AD15" s="162"/>
      <c r="AE15" s="162"/>
      <c r="AF15" s="163"/>
      <c r="AG15" s="162"/>
      <c r="AH15" s="162"/>
      <c r="AI15" s="162"/>
      <c r="AJ15" s="163"/>
      <c r="AK15" s="162"/>
      <c r="AL15" s="162"/>
      <c r="AM15" s="162"/>
      <c r="AN15" s="162"/>
    </row>
    <row r="16" spans="1:42" x14ac:dyDescent="0.2">
      <c r="B16" s="3" t="s">
        <v>2384</v>
      </c>
      <c r="C16" s="70" t="s">
        <v>252</v>
      </c>
      <c r="D16" s="223">
        <v>65</v>
      </c>
      <c r="F16" s="224">
        <v>205</v>
      </c>
      <c r="G16" s="4">
        <v>35200</v>
      </c>
      <c r="H16" s="162">
        <f t="shared" ca="1" si="0"/>
        <v>24.5</v>
      </c>
      <c r="I16" s="70" t="s">
        <v>2382</v>
      </c>
      <c r="J16" s="70">
        <v>1</v>
      </c>
      <c r="K16" s="70">
        <v>2020</v>
      </c>
      <c r="L16" s="70">
        <v>60</v>
      </c>
      <c r="M16" s="70" t="s">
        <v>2383</v>
      </c>
      <c r="N16" s="70" t="s">
        <v>276</v>
      </c>
      <c r="O16" s="70" t="s">
        <v>2513</v>
      </c>
      <c r="P16" s="11">
        <v>898310</v>
      </c>
      <c r="Q16" s="15">
        <v>1517981</v>
      </c>
      <c r="R16" s="247"/>
      <c r="S16" s="237"/>
      <c r="T16" s="237"/>
      <c r="X16" s="101"/>
      <c r="Y16" s="101"/>
      <c r="Z16" s="163"/>
      <c r="AA16" s="162"/>
      <c r="AB16" s="162"/>
      <c r="AC16" s="162"/>
      <c r="AD16" s="162"/>
      <c r="AE16" s="162"/>
      <c r="AF16" s="163"/>
      <c r="AG16" s="162"/>
      <c r="AH16" s="162"/>
      <c r="AI16" s="162"/>
      <c r="AJ16" s="163"/>
      <c r="AK16" s="162"/>
      <c r="AL16" s="162"/>
      <c r="AM16" s="162"/>
      <c r="AN16" s="162"/>
    </row>
    <row r="17" spans="1:41" x14ac:dyDescent="0.2">
      <c r="A17" s="107">
        <v>10</v>
      </c>
      <c r="B17" s="3" t="s">
        <v>1872</v>
      </c>
      <c r="C17" s="3" t="s">
        <v>247</v>
      </c>
      <c r="D17" s="105">
        <v>60</v>
      </c>
      <c r="E17" s="105">
        <v>66</v>
      </c>
      <c r="F17" s="106">
        <v>225</v>
      </c>
      <c r="G17" s="4">
        <v>35189</v>
      </c>
      <c r="H17" s="110">
        <f t="shared" ca="1" si="0"/>
        <v>24.5</v>
      </c>
      <c r="I17" s="3" t="s">
        <v>1873</v>
      </c>
      <c r="J17" s="3">
        <v>3</v>
      </c>
      <c r="K17" s="3">
        <v>2018</v>
      </c>
      <c r="L17" s="3"/>
      <c r="M17" s="3" t="s">
        <v>2688</v>
      </c>
      <c r="N17" s="3" t="s">
        <v>288</v>
      </c>
      <c r="O17" s="3" t="s">
        <v>2516</v>
      </c>
      <c r="P17" s="16" t="s">
        <v>288</v>
      </c>
      <c r="Q17" s="34"/>
      <c r="R17" s="3"/>
      <c r="S17" s="3"/>
      <c r="T17" s="27"/>
      <c r="U17" s="3"/>
      <c r="V17" s="3"/>
      <c r="W17" s="3"/>
      <c r="X17" s="107"/>
      <c r="Y17" s="107"/>
      <c r="Z17" s="41"/>
      <c r="AA17" s="110"/>
      <c r="AB17" s="110"/>
      <c r="AC17" s="110"/>
      <c r="AD17" s="110"/>
      <c r="AE17" s="110"/>
      <c r="AF17" s="41"/>
      <c r="AG17" s="110"/>
      <c r="AH17" s="110"/>
      <c r="AI17" s="110"/>
      <c r="AJ17" s="41"/>
      <c r="AK17" s="110"/>
      <c r="AL17" s="110"/>
      <c r="AM17" s="110"/>
      <c r="AN17" s="110"/>
      <c r="AO17" s="3"/>
    </row>
    <row r="18" spans="1:41" x14ac:dyDescent="0.2">
      <c r="A18" s="107"/>
      <c r="B18" s="3" t="s">
        <v>2564</v>
      </c>
      <c r="C18" s="3" t="s">
        <v>234</v>
      </c>
      <c r="D18" s="105">
        <v>69</v>
      </c>
      <c r="E18" s="105">
        <v>73</v>
      </c>
      <c r="F18" s="106">
        <v>224</v>
      </c>
      <c r="G18" s="4">
        <v>35451</v>
      </c>
      <c r="H18" s="110">
        <f t="shared" ca="1" si="0"/>
        <v>23.8</v>
      </c>
      <c r="I18" s="3" t="s">
        <v>242</v>
      </c>
      <c r="J18" s="3">
        <v>1</v>
      </c>
      <c r="K18" s="3">
        <v>2020</v>
      </c>
      <c r="L18" s="3"/>
      <c r="M18" s="3" t="s">
        <v>2660</v>
      </c>
      <c r="N18" s="3" t="s">
        <v>288</v>
      </c>
      <c r="O18" s="3" t="s">
        <v>2516</v>
      </c>
      <c r="P18" s="16" t="s">
        <v>288</v>
      </c>
      <c r="Q18" s="34"/>
      <c r="R18" s="3"/>
      <c r="S18" s="3"/>
      <c r="T18" s="27"/>
      <c r="U18" s="3"/>
      <c r="V18" s="3"/>
      <c r="W18" s="3"/>
      <c r="X18" s="107"/>
      <c r="Y18" s="107"/>
      <c r="Z18" s="41"/>
      <c r="AA18" s="110"/>
      <c r="AB18" s="110"/>
      <c r="AC18" s="110"/>
      <c r="AD18" s="110"/>
      <c r="AE18" s="110"/>
      <c r="AF18" s="41"/>
      <c r="AG18" s="110"/>
      <c r="AH18" s="110"/>
      <c r="AI18" s="110"/>
      <c r="AJ18" s="41"/>
      <c r="AK18" s="110"/>
      <c r="AL18" s="110"/>
      <c r="AM18" s="110"/>
      <c r="AN18" s="110"/>
      <c r="AO18" s="3"/>
    </row>
    <row r="19" spans="1:41" x14ac:dyDescent="0.2">
      <c r="B19" s="3" t="s">
        <v>290</v>
      </c>
      <c r="D19" s="223"/>
      <c r="E19" s="223"/>
      <c r="F19" s="224"/>
      <c r="G19" s="3"/>
      <c r="H19" s="162"/>
      <c r="P19" s="11">
        <f>3169348+1865546</f>
        <v>5034894</v>
      </c>
      <c r="Q19" s="11">
        <f>3169348+1865546</f>
        <v>5034894</v>
      </c>
      <c r="R19" s="11"/>
      <c r="S19" s="11"/>
      <c r="T19" s="11"/>
      <c r="X19" s="101"/>
      <c r="Y19" s="101"/>
      <c r="Z19" s="163"/>
      <c r="AA19" s="162"/>
      <c r="AB19" s="162"/>
      <c r="AC19" s="162"/>
      <c r="AD19" s="162"/>
      <c r="AE19" s="162"/>
      <c r="AF19" s="163"/>
      <c r="AG19" s="162"/>
      <c r="AH19" s="162"/>
      <c r="AI19" s="162"/>
      <c r="AJ19" s="163"/>
      <c r="AK19" s="162"/>
      <c r="AL19" s="162"/>
      <c r="AM19" s="162"/>
      <c r="AN19" s="162"/>
    </row>
    <row r="20" spans="1:41" x14ac:dyDescent="0.2">
      <c r="B20" s="5"/>
      <c r="G20" s="3"/>
      <c r="P20" s="11"/>
      <c r="Q20" s="16"/>
      <c r="R20" s="16"/>
      <c r="S20" s="16"/>
      <c r="T20" s="16"/>
      <c r="X20" s="101"/>
      <c r="Y20" s="101"/>
      <c r="Z20" s="163"/>
      <c r="AF20" s="163"/>
      <c r="AJ20" s="163"/>
    </row>
    <row r="21" spans="1:41" x14ac:dyDescent="0.2">
      <c r="A21" s="3"/>
      <c r="B21" s="3" t="s">
        <v>98</v>
      </c>
      <c r="C21" s="59" t="s">
        <v>234</v>
      </c>
      <c r="D21" s="142">
        <v>69</v>
      </c>
      <c r="E21" s="142">
        <v>71</v>
      </c>
      <c r="F21" s="143">
        <v>235</v>
      </c>
      <c r="G21" s="4">
        <v>31912</v>
      </c>
      <c r="H21" s="119">
        <f ca="1">ROUNDDOWN(YEARFRAC($G$25,G21),1)</f>
        <v>33.5</v>
      </c>
      <c r="I21" s="59" t="s">
        <v>434</v>
      </c>
      <c r="J21" s="3">
        <v>13</v>
      </c>
      <c r="K21" s="107">
        <v>2005</v>
      </c>
      <c r="L21" s="107">
        <v>36</v>
      </c>
      <c r="M21" s="3" t="s">
        <v>2237</v>
      </c>
      <c r="N21" s="3"/>
      <c r="O21" s="202"/>
      <c r="P21" s="14">
        <f>7000000*1.3</f>
        <v>9100000</v>
      </c>
      <c r="Q21" s="16"/>
      <c r="R21" s="12"/>
      <c r="S21" s="237"/>
      <c r="T21" s="237"/>
      <c r="U21" s="237"/>
      <c r="V21" s="59"/>
      <c r="W21" s="59" t="s">
        <v>1224</v>
      </c>
      <c r="X21" s="69">
        <v>4</v>
      </c>
      <c r="Y21" s="69">
        <v>56</v>
      </c>
      <c r="Z21" s="65">
        <f>45/56</f>
        <v>0.8035714285714286</v>
      </c>
      <c r="AA21" s="119">
        <v>111.2</v>
      </c>
      <c r="AB21" s="119">
        <v>104.3</v>
      </c>
      <c r="AC21" s="119">
        <f t="shared" ref="AC21" si="3">AA21-AB21</f>
        <v>6.9000000000000057</v>
      </c>
      <c r="AD21" s="119">
        <v>16</v>
      </c>
      <c r="AE21" s="119">
        <v>15.2</v>
      </c>
      <c r="AF21" s="65">
        <v>0.59099999999999997</v>
      </c>
      <c r="AG21" s="119">
        <v>16.399999999999999</v>
      </c>
      <c r="AH21" s="119">
        <v>1.5</v>
      </c>
      <c r="AI21" s="119">
        <v>1.9</v>
      </c>
      <c r="AJ21" s="65">
        <v>0.18</v>
      </c>
      <c r="AK21" s="119">
        <v>-0.2</v>
      </c>
      <c r="AL21" s="119">
        <v>0.8</v>
      </c>
      <c r="AM21" s="119">
        <v>0.6</v>
      </c>
      <c r="AN21" s="119">
        <v>10.6</v>
      </c>
      <c r="AO21" s="59"/>
    </row>
    <row r="22" spans="1:41" x14ac:dyDescent="0.2">
      <c r="A22" s="3">
        <v>26</v>
      </c>
      <c r="B22" s="3" t="s">
        <v>102</v>
      </c>
      <c r="C22" s="70" t="s">
        <v>252</v>
      </c>
      <c r="D22" s="223">
        <v>67</v>
      </c>
      <c r="E22" s="223">
        <v>69</v>
      </c>
      <c r="F22" s="224">
        <v>212</v>
      </c>
      <c r="G22" s="4">
        <v>29662</v>
      </c>
      <c r="H22" s="162">
        <f ca="1">ROUNDDOWN(YEARFRAC($G$25,G22),1)</f>
        <v>39.6</v>
      </c>
      <c r="I22" s="70" t="s">
        <v>807</v>
      </c>
      <c r="J22" s="3">
        <v>18</v>
      </c>
      <c r="K22" s="107">
        <v>2003</v>
      </c>
      <c r="L22" s="107">
        <v>51</v>
      </c>
      <c r="M22" s="3" t="s">
        <v>1231</v>
      </c>
      <c r="N22" s="3"/>
      <c r="P22" s="14">
        <v>1620564</v>
      </c>
      <c r="Q22" s="54"/>
      <c r="R22" s="54"/>
      <c r="S22" s="54"/>
      <c r="T22" s="54"/>
      <c r="W22" s="70" t="s">
        <v>2222</v>
      </c>
      <c r="X22" s="101">
        <v>3</v>
      </c>
      <c r="Y22" s="101">
        <v>50</v>
      </c>
      <c r="Z22" s="163">
        <f>40/50</f>
        <v>0.8</v>
      </c>
      <c r="AA22" s="162">
        <v>110.7</v>
      </c>
      <c r="AB22" s="162">
        <v>102.7</v>
      </c>
      <c r="AC22" s="162">
        <f t="shared" ref="AC22:AC23" si="4">AA22-AB22</f>
        <v>8</v>
      </c>
      <c r="AD22" s="162">
        <v>16.7</v>
      </c>
      <c r="AE22" s="162">
        <v>11.2</v>
      </c>
      <c r="AF22" s="163">
        <v>0.61299999999999999</v>
      </c>
      <c r="AG22" s="162">
        <v>15.7</v>
      </c>
      <c r="AH22" s="162">
        <v>0.8</v>
      </c>
      <c r="AI22" s="162">
        <v>1.4</v>
      </c>
      <c r="AJ22" s="163">
        <v>0.125</v>
      </c>
      <c r="AK22" s="162">
        <v>-0.5</v>
      </c>
      <c r="AL22" s="162">
        <v>0.7</v>
      </c>
      <c r="AM22" s="162">
        <v>0.5</v>
      </c>
      <c r="AN22" s="162">
        <v>7.3</v>
      </c>
    </row>
    <row r="23" spans="1:41" x14ac:dyDescent="0.2">
      <c r="A23" s="3">
        <v>15</v>
      </c>
      <c r="B23" s="3" t="s">
        <v>1235</v>
      </c>
      <c r="C23" s="70" t="s">
        <v>247</v>
      </c>
      <c r="D23" s="223">
        <v>511</v>
      </c>
      <c r="E23" s="223">
        <v>63</v>
      </c>
      <c r="F23" s="224">
        <v>190</v>
      </c>
      <c r="G23" s="4">
        <v>34427</v>
      </c>
      <c r="H23" s="162">
        <f ca="1">ROUNDDOWN(YEARFRAC($G$25,G23),1)</f>
        <v>26.6</v>
      </c>
      <c r="I23" s="70" t="s">
        <v>498</v>
      </c>
      <c r="J23" s="3">
        <v>4</v>
      </c>
      <c r="K23" s="107">
        <v>2017</v>
      </c>
      <c r="L23" s="107">
        <v>34</v>
      </c>
      <c r="M23" s="3" t="s">
        <v>1236</v>
      </c>
      <c r="N23" s="3"/>
      <c r="P23" s="14"/>
      <c r="Q23" s="54"/>
      <c r="R23" s="54"/>
      <c r="S23" s="54"/>
      <c r="T23" s="54"/>
      <c r="W23" s="70" t="s">
        <v>284</v>
      </c>
      <c r="X23" s="101">
        <v>1</v>
      </c>
      <c r="Y23" s="101">
        <v>6</v>
      </c>
      <c r="Z23" s="163">
        <f>5/6</f>
        <v>0.83333333333333337</v>
      </c>
      <c r="AA23" s="162">
        <v>88</v>
      </c>
      <c r="AB23" s="162">
        <v>97.4</v>
      </c>
      <c r="AC23" s="162">
        <f t="shared" si="4"/>
        <v>-9.4000000000000057</v>
      </c>
      <c r="AD23" s="162">
        <v>8.8000000000000007</v>
      </c>
      <c r="AE23" s="162">
        <v>4.2</v>
      </c>
      <c r="AF23" s="163">
        <v>0.33700000000000002</v>
      </c>
      <c r="AG23" s="162">
        <v>20.8</v>
      </c>
      <c r="AH23" s="162">
        <v>-0.2</v>
      </c>
      <c r="AI23" s="162">
        <v>0.1</v>
      </c>
      <c r="AJ23" s="163">
        <v>-0.06</v>
      </c>
      <c r="AK23" s="162">
        <v>-7.5</v>
      </c>
      <c r="AL23" s="162">
        <v>-0.9</v>
      </c>
      <c r="AM23" s="162">
        <v>-0.1</v>
      </c>
      <c r="AN23" s="162">
        <v>3.9</v>
      </c>
    </row>
    <row r="24" spans="1:41" x14ac:dyDescent="0.2">
      <c r="B24" s="5"/>
      <c r="G24" s="3"/>
      <c r="P24" s="11"/>
      <c r="Q24" s="11"/>
      <c r="R24" s="16"/>
      <c r="S24" s="16"/>
      <c r="T24" s="16"/>
      <c r="X24" s="101"/>
      <c r="Y24" s="101"/>
      <c r="Z24" s="163"/>
      <c r="AF24" s="163"/>
      <c r="AJ24" s="163"/>
    </row>
    <row r="25" spans="1:41" x14ac:dyDescent="0.2">
      <c r="G25" s="4">
        <f ca="1">TODAY()</f>
        <v>44162</v>
      </c>
      <c r="H25" s="172">
        <f ca="1">AVERAGE(H2:H12)</f>
        <v>28.063636363636363</v>
      </c>
      <c r="J25" s="172">
        <f>AVERAGE(J2:J12)</f>
        <v>7.4545454545454541</v>
      </c>
      <c r="P25" s="11"/>
      <c r="Q25" s="11"/>
      <c r="R25" s="3"/>
      <c r="S25" s="3"/>
      <c r="T25" s="3"/>
      <c r="X25" s="101"/>
      <c r="Y25" s="101"/>
      <c r="Z25" s="163"/>
      <c r="AF25" s="163"/>
      <c r="AJ25" s="163"/>
    </row>
    <row r="26" spans="1:41" x14ac:dyDescent="0.2">
      <c r="H26" s="172">
        <f ca="1">MEDIAN(H2:H12)</f>
        <v>27.8</v>
      </c>
      <c r="J26" s="101">
        <f>MEDIAN(J2:J12)</f>
        <v>6</v>
      </c>
      <c r="P26" s="11"/>
      <c r="Q26" s="3"/>
      <c r="R26" s="3"/>
      <c r="S26" s="3"/>
      <c r="T26" s="3"/>
      <c r="X26" s="101"/>
      <c r="Y26" s="101"/>
      <c r="Z26" s="163"/>
      <c r="AF26" s="163"/>
      <c r="AJ26" s="163"/>
    </row>
    <row r="27" spans="1:41" x14ac:dyDescent="0.2">
      <c r="B27" s="197" t="s">
        <v>1985</v>
      </c>
      <c r="P27" s="121">
        <f>SUM(P2:P19)</f>
        <v>136196467</v>
      </c>
      <c r="R27" s="60"/>
      <c r="S27" s="60"/>
      <c r="X27" s="101"/>
      <c r="Y27" s="101"/>
      <c r="Z27" s="163"/>
      <c r="AF27" s="163"/>
      <c r="AJ27" s="163"/>
    </row>
    <row r="28" spans="1:41" x14ac:dyDescent="0.2">
      <c r="B28" s="3" t="s">
        <v>1876</v>
      </c>
      <c r="C28" s="70">
        <v>14</v>
      </c>
      <c r="I28" s="197"/>
      <c r="P28" s="156"/>
      <c r="Z28" s="163"/>
      <c r="AJ28" s="163"/>
    </row>
    <row r="29" spans="1:41" x14ac:dyDescent="0.2">
      <c r="B29" s="3" t="s">
        <v>2565</v>
      </c>
      <c r="C29" s="70">
        <v>0</v>
      </c>
      <c r="I29" s="3"/>
      <c r="O29" s="70" t="s">
        <v>292</v>
      </c>
      <c r="P29" s="22" t="e">
        <f>#REF!</f>
        <v>#REF!</v>
      </c>
      <c r="AJ29" s="163"/>
    </row>
    <row r="30" spans="1:41" x14ac:dyDescent="0.2">
      <c r="B30" s="3" t="s">
        <v>2539</v>
      </c>
      <c r="C30" s="70">
        <v>2</v>
      </c>
      <c r="G30" s="3"/>
      <c r="I30" s="3"/>
      <c r="O30" s="70" t="s">
        <v>294</v>
      </c>
      <c r="P30" s="22" t="e">
        <f>#REF!</f>
        <v>#REF!</v>
      </c>
      <c r="AJ30" s="163"/>
    </row>
    <row r="31" spans="1:41" x14ac:dyDescent="0.2">
      <c r="B31" s="3" t="s">
        <v>495</v>
      </c>
      <c r="C31" s="156">
        <f>9258000-P6-P11</f>
        <v>143078</v>
      </c>
      <c r="D31" s="70" t="s">
        <v>2742</v>
      </c>
      <c r="G31" s="3"/>
      <c r="I31" s="3"/>
      <c r="O31" s="70" t="s">
        <v>2566</v>
      </c>
      <c r="P31" s="22">
        <v>138928000</v>
      </c>
      <c r="Q31" s="218">
        <f>P31-P27</f>
        <v>2731533</v>
      </c>
      <c r="R31" s="70" t="s">
        <v>2575</v>
      </c>
    </row>
    <row r="32" spans="1:41" x14ac:dyDescent="0.2">
      <c r="B32" s="3" t="s">
        <v>514</v>
      </c>
      <c r="C32" s="248">
        <f>3623000-P9</f>
        <v>0</v>
      </c>
      <c r="D32" s="70" t="s">
        <v>118</v>
      </c>
      <c r="G32" s="3"/>
      <c r="I32" s="3"/>
      <c r="P32" s="22"/>
      <c r="R32" s="70" t="s">
        <v>2746</v>
      </c>
    </row>
    <row r="33" spans="2:18" x14ac:dyDescent="0.2">
      <c r="B33" s="3" t="s">
        <v>293</v>
      </c>
      <c r="C33" s="46">
        <v>0</v>
      </c>
      <c r="G33" s="3"/>
      <c r="I33" s="3"/>
      <c r="J33" s="46"/>
      <c r="P33" s="175"/>
      <c r="R33" s="70" t="s">
        <v>2747</v>
      </c>
    </row>
    <row r="34" spans="2:18" x14ac:dyDescent="0.2">
      <c r="B34" s="3" t="s">
        <v>295</v>
      </c>
      <c r="C34" s="46">
        <v>0</v>
      </c>
      <c r="G34" s="3"/>
      <c r="I34" s="3"/>
      <c r="J34" s="46"/>
      <c r="P34" s="175"/>
    </row>
    <row r="35" spans="2:18" x14ac:dyDescent="0.2">
      <c r="B35" s="97"/>
      <c r="G35" s="3"/>
      <c r="I35" s="3"/>
      <c r="J35" s="46"/>
    </row>
    <row r="36" spans="2:18" x14ac:dyDescent="0.2">
      <c r="B36" s="196" t="s">
        <v>1875</v>
      </c>
      <c r="I36" s="97"/>
    </row>
    <row r="37" spans="2:18" x14ac:dyDescent="0.2">
      <c r="B37" s="97" t="s">
        <v>296</v>
      </c>
      <c r="C37" s="163">
        <f>56/(56+17)</f>
        <v>0.76712328767123283</v>
      </c>
      <c r="D37" s="70" t="s">
        <v>329</v>
      </c>
      <c r="I37" s="196"/>
    </row>
    <row r="38" spans="2:18" x14ac:dyDescent="0.2">
      <c r="B38" s="97" t="s">
        <v>298</v>
      </c>
      <c r="C38" s="70">
        <v>111.9</v>
      </c>
      <c r="D38" s="70" t="s">
        <v>2027</v>
      </c>
      <c r="I38" s="97"/>
    </row>
    <row r="39" spans="2:18" x14ac:dyDescent="0.2">
      <c r="B39" s="97" t="s">
        <v>299</v>
      </c>
      <c r="C39" s="70">
        <v>102.5</v>
      </c>
      <c r="D39" s="70" t="s">
        <v>1977</v>
      </c>
      <c r="I39" s="97"/>
    </row>
    <row r="40" spans="2:18" x14ac:dyDescent="0.2">
      <c r="B40" s="97" t="s">
        <v>300</v>
      </c>
      <c r="C40" s="70">
        <f>C38-C39</f>
        <v>9.4000000000000057</v>
      </c>
      <c r="D40" s="70" t="s">
        <v>1977</v>
      </c>
      <c r="I40" s="97"/>
    </row>
    <row r="41" spans="2:18" x14ac:dyDescent="0.2">
      <c r="B41" s="97" t="s">
        <v>301</v>
      </c>
      <c r="C41" s="70">
        <v>105.51</v>
      </c>
      <c r="D41" s="70" t="s">
        <v>1977</v>
      </c>
      <c r="I41" s="97"/>
    </row>
    <row r="42" spans="2:18" x14ac:dyDescent="0.2">
      <c r="B42" s="97"/>
      <c r="I42" s="97"/>
      <c r="O42" s="175"/>
    </row>
    <row r="43" spans="2:18" x14ac:dyDescent="0.2">
      <c r="B43" s="97" t="s">
        <v>302</v>
      </c>
      <c r="I43" s="97"/>
    </row>
    <row r="44" spans="2:18" x14ac:dyDescent="0.2">
      <c r="B44" s="3" t="s">
        <v>1240</v>
      </c>
    </row>
    <row r="45" spans="2:18" x14ac:dyDescent="0.2">
      <c r="B45" s="3" t="s">
        <v>1241</v>
      </c>
    </row>
    <row r="46" spans="2:18" x14ac:dyDescent="0.2">
      <c r="B46" s="3"/>
    </row>
    <row r="47" spans="2:18" x14ac:dyDescent="0.2">
      <c r="B47" s="3" t="s">
        <v>310</v>
      </c>
    </row>
    <row r="48" spans="2:18" x14ac:dyDescent="0.2">
      <c r="B48" s="3" t="s">
        <v>1242</v>
      </c>
    </row>
    <row r="49" spans="2:10" x14ac:dyDescent="0.2">
      <c r="B49" s="3" t="s">
        <v>2202</v>
      </c>
    </row>
    <row r="50" spans="2:10" x14ac:dyDescent="0.2">
      <c r="B50" s="3" t="s">
        <v>2203</v>
      </c>
    </row>
    <row r="51" spans="2:10" x14ac:dyDescent="0.2">
      <c r="B51" s="3" t="s">
        <v>2204</v>
      </c>
    </row>
    <row r="52" spans="2:10" x14ac:dyDescent="0.2">
      <c r="B52" s="3" t="s">
        <v>2618</v>
      </c>
    </row>
    <row r="53" spans="2:10" x14ac:dyDescent="0.2">
      <c r="B53" s="3" t="s">
        <v>2205</v>
      </c>
    </row>
    <row r="54" spans="2:10" x14ac:dyDescent="0.2">
      <c r="B54" s="3" t="s">
        <v>2223</v>
      </c>
    </row>
    <row r="55" spans="2:10" x14ac:dyDescent="0.2">
      <c r="B55" s="3" t="s">
        <v>2206</v>
      </c>
    </row>
    <row r="56" spans="2:10" x14ac:dyDescent="0.2">
      <c r="B56" s="3"/>
    </row>
    <row r="57" spans="2:10" x14ac:dyDescent="0.2">
      <c r="B57" s="71" t="s">
        <v>2088</v>
      </c>
    </row>
    <row r="58" spans="2:10" x14ac:dyDescent="0.2">
      <c r="B58" s="225" t="s">
        <v>314</v>
      </c>
      <c r="C58" s="70">
        <v>56</v>
      </c>
      <c r="D58" s="70">
        <v>17</v>
      </c>
      <c r="E58" s="70" t="s">
        <v>329</v>
      </c>
      <c r="G58" s="70" t="s">
        <v>1239</v>
      </c>
      <c r="J58" s="70" t="s">
        <v>2197</v>
      </c>
    </row>
    <row r="59" spans="2:10" x14ac:dyDescent="0.2">
      <c r="B59" s="225" t="s">
        <v>317</v>
      </c>
      <c r="C59" s="70">
        <v>60</v>
      </c>
      <c r="D59" s="70">
        <v>22</v>
      </c>
      <c r="E59" s="70" t="s">
        <v>329</v>
      </c>
      <c r="G59" s="70" t="s">
        <v>1239</v>
      </c>
      <c r="J59" s="70" t="s">
        <v>1243</v>
      </c>
    </row>
    <row r="60" spans="2:10" x14ac:dyDescent="0.2">
      <c r="B60" s="225" t="s">
        <v>319</v>
      </c>
      <c r="C60" s="70">
        <v>44</v>
      </c>
      <c r="D60" s="70">
        <v>38</v>
      </c>
      <c r="E60" s="70" t="s">
        <v>400</v>
      </c>
      <c r="G60" s="70" t="s">
        <v>1244</v>
      </c>
      <c r="J60" s="70" t="s">
        <v>1245</v>
      </c>
    </row>
    <row r="61" spans="2:10" x14ac:dyDescent="0.2">
      <c r="B61" s="225" t="s">
        <v>322</v>
      </c>
      <c r="C61" s="70">
        <v>42</v>
      </c>
      <c r="D61" s="70">
        <v>40</v>
      </c>
      <c r="E61" s="70" t="s">
        <v>335</v>
      </c>
      <c r="G61" s="70" t="s">
        <v>465</v>
      </c>
      <c r="J61" s="70" t="s">
        <v>1246</v>
      </c>
    </row>
    <row r="62" spans="2:10" x14ac:dyDescent="0.2">
      <c r="B62" s="225" t="s">
        <v>325</v>
      </c>
      <c r="C62" s="70">
        <v>33</v>
      </c>
      <c r="D62" s="70">
        <v>49</v>
      </c>
      <c r="E62" s="70" t="s">
        <v>318</v>
      </c>
      <c r="G62" s="70" t="s">
        <v>465</v>
      </c>
      <c r="J62" s="226" t="s">
        <v>316</v>
      </c>
    </row>
    <row r="63" spans="2:10" x14ac:dyDescent="0.2">
      <c r="B63" s="225" t="s">
        <v>328</v>
      </c>
      <c r="C63" s="70">
        <v>41</v>
      </c>
      <c r="D63" s="70">
        <v>41</v>
      </c>
      <c r="E63" s="70" t="s">
        <v>335</v>
      </c>
      <c r="G63" s="70" t="s">
        <v>465</v>
      </c>
      <c r="J63" s="70" t="s">
        <v>1247</v>
      </c>
    </row>
    <row r="64" spans="2:10" x14ac:dyDescent="0.2">
      <c r="B64" s="225" t="s">
        <v>331</v>
      </c>
      <c r="C64" s="70">
        <v>15</v>
      </c>
      <c r="D64" s="70">
        <v>67</v>
      </c>
      <c r="E64" s="70" t="s">
        <v>320</v>
      </c>
      <c r="G64" s="70" t="s">
        <v>336</v>
      </c>
      <c r="J64" s="226" t="s">
        <v>316</v>
      </c>
    </row>
    <row r="65" spans="2:10" x14ac:dyDescent="0.2">
      <c r="B65" s="225" t="s">
        <v>334</v>
      </c>
      <c r="C65" s="70">
        <v>38</v>
      </c>
      <c r="D65" s="70">
        <v>44</v>
      </c>
      <c r="E65" s="70" t="s">
        <v>332</v>
      </c>
      <c r="G65" s="70" t="s">
        <v>1248</v>
      </c>
      <c r="J65" s="70" t="s">
        <v>525</v>
      </c>
    </row>
    <row r="66" spans="2:10" x14ac:dyDescent="0.2">
      <c r="B66" s="225" t="s">
        <v>338</v>
      </c>
      <c r="C66" s="70">
        <v>31</v>
      </c>
      <c r="D66" s="70">
        <v>35</v>
      </c>
      <c r="E66" s="70" t="s">
        <v>521</v>
      </c>
      <c r="G66" s="70" t="s">
        <v>1249</v>
      </c>
      <c r="J66" s="226" t="s">
        <v>316</v>
      </c>
    </row>
    <row r="67" spans="2:10" x14ac:dyDescent="0.2">
      <c r="B67" s="225" t="s">
        <v>340</v>
      </c>
      <c r="C67" s="70">
        <v>35</v>
      </c>
      <c r="D67" s="70">
        <v>47</v>
      </c>
      <c r="E67" s="70" t="s">
        <v>521</v>
      </c>
      <c r="G67" s="70" t="s">
        <v>1249</v>
      </c>
      <c r="J67" s="226" t="s">
        <v>316</v>
      </c>
    </row>
    <row r="68" spans="2:10" x14ac:dyDescent="0.2">
      <c r="B68" s="70" t="s">
        <v>342</v>
      </c>
      <c r="C68" s="70">
        <f>SUM(C58:C67)</f>
        <v>395</v>
      </c>
      <c r="D68" s="70">
        <f>SUM(D58:D67)</f>
        <v>400</v>
      </c>
      <c r="E68" s="163">
        <f>C68/(C68+D68)</f>
        <v>0.49685534591194969</v>
      </c>
    </row>
  </sheetData>
  <hyperlinks>
    <hyperlink ref="B58" r:id="rId1" xr:uid="{3CF0AFA3-74E3-644D-90D6-FBFCAB3F2329}"/>
    <hyperlink ref="B59" r:id="rId2" xr:uid="{66C5B698-9830-1C4F-B7CB-C1719E3603A1}"/>
    <hyperlink ref="B60" r:id="rId3" xr:uid="{E052AC5B-EA6A-0448-8044-1FA8BD24B3C0}"/>
    <hyperlink ref="B61" r:id="rId4" xr:uid="{3D95FCF4-EBA4-0247-946B-5E496F4EF891}"/>
    <hyperlink ref="B62" r:id="rId5" xr:uid="{4DC9B6CD-1774-6F4F-863C-850AA748A699}"/>
    <hyperlink ref="B63" r:id="rId6" xr:uid="{5CCB78E3-DA25-774C-B777-9D4A6A3BE7A6}"/>
    <hyperlink ref="B64" r:id="rId7" xr:uid="{6A548799-DC0C-C34E-B51C-FF757C2002FF}"/>
    <hyperlink ref="B65" r:id="rId8" xr:uid="{D660E22C-3541-B84A-8BE8-1146C65621B6}"/>
    <hyperlink ref="B66" r:id="rId9" xr:uid="{1FEF4C8F-6A22-9142-9C06-7E7FAE2F35FF}"/>
    <hyperlink ref="B67" r:id="rId10" xr:uid="{AD77AE40-3EC6-2842-B322-A7F745AA227C}"/>
  </hyperlinks>
  <pageMargins left="0.7" right="0.7" top="0.75" bottom="0.75" header="0.3" footer="0.3"/>
  <ignoredErrors>
    <ignoredError sqref="J25:J26" formulaRange="1"/>
  </ignoredErrors>
  <legacyDrawing r:id="rId1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9F11-F920-3449-A7C2-589089DA7092}">
  <dimension ref="A1:BO61"/>
  <sheetViews>
    <sheetView zoomScaleNormal="100" workbookViewId="0"/>
  </sheetViews>
  <sheetFormatPr baseColWidth="10" defaultColWidth="10.83203125" defaultRowHeight="16" x14ac:dyDescent="0.2"/>
  <cols>
    <col min="1" max="1" width="5.33203125" style="59" customWidth="1"/>
    <col min="2" max="2" width="18.6640625" style="59" customWidth="1"/>
    <col min="3" max="3" width="12.33203125" style="59" customWidth="1"/>
    <col min="4" max="4" width="7.6640625" style="59" customWidth="1"/>
    <col min="5" max="5" width="10.83203125" style="59"/>
    <col min="6" max="6" width="8.1640625" style="59" customWidth="1"/>
    <col min="7" max="7" width="11.1640625" style="59" customWidth="1"/>
    <col min="8" max="8" width="6.1640625" style="59" customWidth="1"/>
    <col min="9" max="9" width="26" style="59" customWidth="1"/>
    <col min="10" max="10" width="10.6640625" style="59" customWidth="1"/>
    <col min="11" max="11" width="12.1640625" style="59" customWidth="1"/>
    <col min="12" max="12" width="5" style="59" customWidth="1"/>
    <col min="13" max="13" width="26.1640625" style="59" bestFit="1" customWidth="1"/>
    <col min="14" max="14" width="21.33203125" style="59" customWidth="1"/>
    <col min="15" max="15" width="47.33203125" style="59" customWidth="1"/>
    <col min="16" max="16" width="14" style="59" customWidth="1"/>
    <col min="17" max="17" width="12.6640625" style="59" customWidth="1"/>
    <col min="18" max="18" width="13.33203125" style="59" customWidth="1"/>
    <col min="19" max="19" width="12.6640625" style="59" customWidth="1"/>
    <col min="20" max="20" width="14.33203125" style="59" customWidth="1"/>
    <col min="21" max="21" width="10.33203125" style="59" customWidth="1"/>
    <col min="22" max="22" width="18.83203125" style="59" customWidth="1"/>
    <col min="23" max="23" width="21.5" style="59" customWidth="1"/>
    <col min="24" max="24" width="9.83203125" style="59" customWidth="1"/>
    <col min="25" max="25" width="3.83203125" style="59" customWidth="1"/>
    <col min="26" max="26" width="7.83203125" style="59" customWidth="1"/>
    <col min="27" max="27" width="6.1640625" style="59" customWidth="1"/>
    <col min="28" max="28" width="5.6640625" style="59" customWidth="1"/>
    <col min="29" max="29" width="8" style="59" customWidth="1"/>
    <col min="30" max="30" width="5.1640625" style="59" customWidth="1"/>
    <col min="31" max="31" width="4.6640625" style="59" customWidth="1"/>
    <col min="32" max="32" width="5.83203125" style="59" customWidth="1"/>
    <col min="33" max="33" width="7.6640625" style="59" customWidth="1"/>
    <col min="34" max="34" width="5.5" style="59" customWidth="1"/>
    <col min="35" max="35" width="5.33203125" style="59" customWidth="1"/>
    <col min="36" max="36" width="6.83203125" style="59" customWidth="1"/>
    <col min="37" max="37" width="6.5" style="59" customWidth="1"/>
    <col min="38" max="38" width="6.1640625" style="59" customWidth="1"/>
    <col min="39" max="39" width="5.83203125" style="59" customWidth="1"/>
    <col min="40" max="40" width="4.83203125" style="59" customWidth="1"/>
    <col min="41" max="16384" width="10.83203125" style="59"/>
  </cols>
  <sheetData>
    <row r="1" spans="1:67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67" x14ac:dyDescent="0.2">
      <c r="A2" s="3">
        <v>32</v>
      </c>
      <c r="B2" s="3" t="s">
        <v>1250</v>
      </c>
      <c r="C2" s="3" t="s">
        <v>234</v>
      </c>
      <c r="D2" s="142">
        <v>611</v>
      </c>
      <c r="E2" s="142">
        <v>74</v>
      </c>
      <c r="F2" s="143">
        <v>248</v>
      </c>
      <c r="G2" s="4">
        <v>35018</v>
      </c>
      <c r="H2" s="119">
        <f t="shared" ref="H2:H16" ca="1" si="0">ROUNDDOWN(YEARFRAC($G$23,G2),1)</f>
        <v>25</v>
      </c>
      <c r="I2" s="59" t="s">
        <v>266</v>
      </c>
      <c r="J2" s="3">
        <v>6</v>
      </c>
      <c r="K2" s="107">
        <v>2015</v>
      </c>
      <c r="L2" s="107">
        <v>1</v>
      </c>
      <c r="M2" s="3" t="s">
        <v>1251</v>
      </c>
      <c r="N2" s="3" t="s">
        <v>1</v>
      </c>
      <c r="O2" s="59" t="s">
        <v>2069</v>
      </c>
      <c r="P2" s="11">
        <v>29467800</v>
      </c>
      <c r="Q2" s="11">
        <v>31650600</v>
      </c>
      <c r="R2" s="11">
        <v>33833400</v>
      </c>
      <c r="S2" s="11">
        <v>36016200</v>
      </c>
      <c r="T2" s="14">
        <v>43411200</v>
      </c>
      <c r="V2" s="59" t="s">
        <v>2095</v>
      </c>
      <c r="W2" s="96" t="s">
        <v>238</v>
      </c>
      <c r="X2" s="69">
        <v>5</v>
      </c>
      <c r="Y2" s="69">
        <v>35</v>
      </c>
      <c r="Z2" s="65">
        <f>10/35</f>
        <v>0.2857142857142857</v>
      </c>
      <c r="AA2" s="119">
        <v>113.9</v>
      </c>
      <c r="AB2" s="119">
        <v>115.4</v>
      </c>
      <c r="AC2" s="119">
        <f t="shared" ref="AC2:AC15" si="1">AA2-AB2</f>
        <v>-1.5</v>
      </c>
      <c r="AD2" s="119">
        <v>33.9</v>
      </c>
      <c r="AE2" s="119">
        <v>26.5</v>
      </c>
      <c r="AF2" s="65">
        <v>0.64200000000000002</v>
      </c>
      <c r="AG2" s="119">
        <v>28.8</v>
      </c>
      <c r="AH2" s="119">
        <v>3.8</v>
      </c>
      <c r="AI2" s="119">
        <v>1.3</v>
      </c>
      <c r="AJ2" s="65">
        <v>0.20499999999999999</v>
      </c>
      <c r="AK2" s="119">
        <v>7</v>
      </c>
      <c r="AL2" s="119">
        <v>0.8</v>
      </c>
      <c r="AM2" s="119">
        <v>2.9</v>
      </c>
      <c r="AN2" s="119">
        <v>16.8</v>
      </c>
    </row>
    <row r="3" spans="1:67" x14ac:dyDescent="0.2">
      <c r="A3" s="3">
        <v>0</v>
      </c>
      <c r="B3" s="3" t="s">
        <v>1252</v>
      </c>
      <c r="C3" s="3" t="s">
        <v>230</v>
      </c>
      <c r="D3" s="142">
        <v>64</v>
      </c>
      <c r="E3" s="142">
        <v>610</v>
      </c>
      <c r="F3" s="143">
        <v>193</v>
      </c>
      <c r="G3" s="4">
        <v>35118</v>
      </c>
      <c r="H3" s="119">
        <f t="shared" ca="1" si="0"/>
        <v>24.7</v>
      </c>
      <c r="I3" s="59" t="s">
        <v>749</v>
      </c>
      <c r="J3" s="3">
        <v>6</v>
      </c>
      <c r="K3" s="107">
        <v>2015</v>
      </c>
      <c r="L3" s="107">
        <v>2</v>
      </c>
      <c r="M3" s="3" t="s">
        <v>1253</v>
      </c>
      <c r="N3" s="3" t="s">
        <v>1254</v>
      </c>
      <c r="O3" s="59" t="s">
        <v>2070</v>
      </c>
      <c r="P3" s="11">
        <v>28649250</v>
      </c>
      <c r="Q3" s="11">
        <v>30013500</v>
      </c>
      <c r="R3" s="11">
        <v>31377750</v>
      </c>
      <c r="S3" s="14">
        <v>41343750</v>
      </c>
      <c r="W3" s="59" t="s">
        <v>1255</v>
      </c>
      <c r="X3" s="69">
        <v>1</v>
      </c>
      <c r="Y3" s="69">
        <v>12</v>
      </c>
      <c r="Z3" s="65">
        <f>3/12</f>
        <v>0.25</v>
      </c>
      <c r="AA3" s="119">
        <v>112.3</v>
      </c>
      <c r="AB3" s="119">
        <v>114.6</v>
      </c>
      <c r="AC3" s="119">
        <f t="shared" si="1"/>
        <v>-2.2999999999999972</v>
      </c>
      <c r="AD3" s="119">
        <v>32.6</v>
      </c>
      <c r="AE3" s="119">
        <v>17.600000000000001</v>
      </c>
      <c r="AF3" s="65">
        <v>0.55300000000000005</v>
      </c>
      <c r="AG3" s="119">
        <v>29.5</v>
      </c>
      <c r="AH3" s="119">
        <v>0.2</v>
      </c>
      <c r="AI3" s="119">
        <v>0.3</v>
      </c>
      <c r="AJ3" s="65">
        <v>6.4000000000000001E-2</v>
      </c>
      <c r="AK3" s="119">
        <v>1.8</v>
      </c>
      <c r="AL3" s="119">
        <v>-1.7</v>
      </c>
      <c r="AM3" s="119">
        <v>0.2</v>
      </c>
      <c r="AN3" s="119">
        <v>11.9</v>
      </c>
    </row>
    <row r="4" spans="1:67" x14ac:dyDescent="0.2">
      <c r="A4" s="3"/>
      <c r="B4" s="3" t="s">
        <v>1541</v>
      </c>
      <c r="C4" s="59" t="s">
        <v>247</v>
      </c>
      <c r="D4" s="142">
        <v>63</v>
      </c>
      <c r="E4" s="142">
        <v>69</v>
      </c>
      <c r="F4" s="143">
        <v>190</v>
      </c>
      <c r="G4" s="4">
        <v>33167</v>
      </c>
      <c r="H4" s="119">
        <f t="shared" ca="1" si="0"/>
        <v>30.1</v>
      </c>
      <c r="I4" s="59" t="s">
        <v>434</v>
      </c>
      <c r="J4" s="3">
        <v>10</v>
      </c>
      <c r="K4" s="59">
        <v>2009</v>
      </c>
      <c r="L4" s="59">
        <v>5</v>
      </c>
      <c r="M4" s="3" t="s">
        <v>2527</v>
      </c>
      <c r="N4" s="3" t="s">
        <v>2176</v>
      </c>
      <c r="O4" s="59" t="s">
        <v>2099</v>
      </c>
      <c r="P4" s="11">
        <v>17000000</v>
      </c>
      <c r="Q4" s="11">
        <v>17800000</v>
      </c>
      <c r="R4" s="14">
        <f>Q4*1.5</f>
        <v>26700000</v>
      </c>
      <c r="S4" s="12"/>
      <c r="T4" s="12"/>
      <c r="W4" s="59" t="s">
        <v>1542</v>
      </c>
      <c r="X4" s="69">
        <v>1</v>
      </c>
      <c r="Y4" s="69">
        <v>57</v>
      </c>
      <c r="Z4" s="65">
        <f>24/57</f>
        <v>0.42105263157894735</v>
      </c>
      <c r="AA4" s="119">
        <v>112</v>
      </c>
      <c r="AB4" s="119">
        <v>108.2</v>
      </c>
      <c r="AC4" s="119">
        <f t="shared" si="1"/>
        <v>3.7999999999999972</v>
      </c>
      <c r="AD4" s="119">
        <v>31.6</v>
      </c>
      <c r="AE4" s="119">
        <v>16.3</v>
      </c>
      <c r="AF4" s="65">
        <v>0.53100000000000003</v>
      </c>
      <c r="AG4" s="119">
        <v>20.2</v>
      </c>
      <c r="AH4" s="119">
        <v>2.4</v>
      </c>
      <c r="AI4" s="119">
        <v>1.7</v>
      </c>
      <c r="AJ4" s="65">
        <v>0.109</v>
      </c>
      <c r="AK4" s="119">
        <v>0.5</v>
      </c>
      <c r="AL4" s="119">
        <v>0.2</v>
      </c>
      <c r="AM4" s="119">
        <v>1.2</v>
      </c>
      <c r="AN4" s="119">
        <v>11.9</v>
      </c>
    </row>
    <row r="5" spans="1:67" x14ac:dyDescent="0.2">
      <c r="A5" s="3">
        <v>5</v>
      </c>
      <c r="B5" s="3" t="s">
        <v>107</v>
      </c>
      <c r="C5" s="3" t="s">
        <v>252</v>
      </c>
      <c r="D5" s="142">
        <v>64</v>
      </c>
      <c r="E5" s="142">
        <v>67</v>
      </c>
      <c r="F5" s="143">
        <v>187</v>
      </c>
      <c r="G5" s="4">
        <v>35395</v>
      </c>
      <c r="H5" s="119">
        <f t="shared" ca="1" si="0"/>
        <v>24</v>
      </c>
      <c r="I5" s="59" t="s">
        <v>494</v>
      </c>
      <c r="J5" s="3">
        <v>5</v>
      </c>
      <c r="K5" s="107">
        <v>2016</v>
      </c>
      <c r="L5" s="107">
        <v>19</v>
      </c>
      <c r="M5" s="3" t="s">
        <v>1267</v>
      </c>
      <c r="N5" s="3" t="s">
        <v>1</v>
      </c>
      <c r="O5" s="64" t="s">
        <v>2449</v>
      </c>
      <c r="P5" s="11">
        <v>13392857</v>
      </c>
      <c r="Q5" s="11">
        <v>14464286</v>
      </c>
      <c r="R5" s="11">
        <v>15535714</v>
      </c>
      <c r="S5" s="48">
        <v>16607143</v>
      </c>
      <c r="T5" s="14">
        <f>S5*1.5</f>
        <v>24910714.5</v>
      </c>
      <c r="W5" s="59" t="s">
        <v>1269</v>
      </c>
      <c r="X5" s="69">
        <v>2</v>
      </c>
      <c r="Y5" s="69">
        <v>14</v>
      </c>
      <c r="Z5" s="65">
        <f>4/14</f>
        <v>0.2857142857142857</v>
      </c>
      <c r="AA5" s="119">
        <v>111.6</v>
      </c>
      <c r="AB5" s="119">
        <v>119.4</v>
      </c>
      <c r="AC5" s="119">
        <f t="shared" si="1"/>
        <v>-7.8000000000000114</v>
      </c>
      <c r="AD5" s="119">
        <v>33.1</v>
      </c>
      <c r="AE5" s="119">
        <v>16.2</v>
      </c>
      <c r="AF5" s="65">
        <v>0.59099999999999997</v>
      </c>
      <c r="AG5" s="119">
        <v>23.7</v>
      </c>
      <c r="AH5" s="119">
        <v>0.6</v>
      </c>
      <c r="AI5" s="119">
        <v>0.2</v>
      </c>
      <c r="AJ5" s="65">
        <v>7.9000000000000001E-2</v>
      </c>
      <c r="AK5" s="119">
        <v>1.8</v>
      </c>
      <c r="AL5" s="119">
        <v>-2.4</v>
      </c>
      <c r="AM5" s="119">
        <v>0.2</v>
      </c>
      <c r="AN5" s="119">
        <v>10.1</v>
      </c>
    </row>
    <row r="6" spans="1:67" x14ac:dyDescent="0.2">
      <c r="B6" s="3" t="s">
        <v>2240</v>
      </c>
      <c r="C6" s="59" t="s">
        <v>230</v>
      </c>
      <c r="D6" s="142">
        <v>65</v>
      </c>
      <c r="E6" s="142">
        <v>69</v>
      </c>
      <c r="F6" s="143">
        <v>225</v>
      </c>
      <c r="G6" s="62">
        <v>37108</v>
      </c>
      <c r="H6" s="119">
        <f t="shared" ca="1" si="0"/>
        <v>19.3</v>
      </c>
      <c r="I6" s="59" t="s">
        <v>221</v>
      </c>
      <c r="J6" s="59">
        <v>1</v>
      </c>
      <c r="K6" s="59">
        <v>2020</v>
      </c>
      <c r="L6" s="59">
        <v>1</v>
      </c>
      <c r="M6" s="59" t="s">
        <v>2243</v>
      </c>
      <c r="N6" s="59" t="s">
        <v>244</v>
      </c>
      <c r="O6" s="59" t="s">
        <v>2244</v>
      </c>
      <c r="P6" s="11">
        <v>9757440</v>
      </c>
      <c r="Q6" s="11">
        <v>10245480</v>
      </c>
      <c r="R6" s="50">
        <v>10733400</v>
      </c>
      <c r="S6" s="50">
        <f>R6*1.261</f>
        <v>13534817.399999999</v>
      </c>
      <c r="T6" s="49">
        <f>S6*2.5</f>
        <v>33837043.5</v>
      </c>
      <c r="X6" s="69"/>
      <c r="Y6" s="69"/>
      <c r="Z6" s="65"/>
      <c r="AA6" s="119"/>
      <c r="AB6" s="119"/>
      <c r="AC6" s="119"/>
      <c r="AD6" s="119"/>
      <c r="AE6" s="119"/>
      <c r="AF6" s="65"/>
      <c r="AG6" s="119"/>
      <c r="AH6" s="119"/>
      <c r="AI6" s="119"/>
      <c r="AJ6" s="65"/>
      <c r="AK6" s="119"/>
      <c r="AL6" s="119"/>
      <c r="AM6" s="119"/>
      <c r="AN6" s="119"/>
    </row>
    <row r="7" spans="1:67" x14ac:dyDescent="0.2">
      <c r="A7" s="3">
        <v>41</v>
      </c>
      <c r="B7" s="3" t="s">
        <v>106</v>
      </c>
      <c r="C7" s="3" t="s">
        <v>234</v>
      </c>
      <c r="D7" s="142">
        <v>69</v>
      </c>
      <c r="E7" s="142">
        <v>70</v>
      </c>
      <c r="F7" s="143">
        <v>214</v>
      </c>
      <c r="G7" s="4">
        <v>34970</v>
      </c>
      <c r="H7" s="119">
        <f t="shared" ca="1" si="0"/>
        <v>25.1</v>
      </c>
      <c r="I7" s="59" t="s">
        <v>1266</v>
      </c>
      <c r="J7" s="3">
        <v>5</v>
      </c>
      <c r="K7" s="107">
        <v>2016</v>
      </c>
      <c r="L7" s="107">
        <v>15</v>
      </c>
      <c r="M7" s="3" t="s">
        <v>1267</v>
      </c>
      <c r="N7" s="3" t="s">
        <v>1</v>
      </c>
      <c r="O7" s="59" t="s">
        <v>2507</v>
      </c>
      <c r="P7" s="11">
        <v>6481481</v>
      </c>
      <c r="Q7" s="11">
        <v>6999999</v>
      </c>
      <c r="R7" s="48">
        <v>7518518</v>
      </c>
      <c r="S7" s="14">
        <f>R7*1.9</f>
        <v>14285184.199999999</v>
      </c>
      <c r="W7" s="59" t="s">
        <v>1268</v>
      </c>
      <c r="X7" s="69">
        <v>4</v>
      </c>
      <c r="Y7" s="69">
        <v>14</v>
      </c>
      <c r="Z7" s="65">
        <f>4/14</f>
        <v>0.2857142857142857</v>
      </c>
      <c r="AA7" s="119">
        <v>112.9</v>
      </c>
      <c r="AB7" s="119">
        <v>118.9</v>
      </c>
      <c r="AC7" s="119">
        <f t="shared" ref="AC7" si="2">AA7-AB7</f>
        <v>-6</v>
      </c>
      <c r="AD7" s="119">
        <v>29.4</v>
      </c>
      <c r="AE7" s="119">
        <v>14.1</v>
      </c>
      <c r="AF7" s="65">
        <v>0.57599999999999996</v>
      </c>
      <c r="AG7" s="119">
        <v>17.100000000000001</v>
      </c>
      <c r="AH7" s="119">
        <v>0.5</v>
      </c>
      <c r="AI7" s="119">
        <v>0.4</v>
      </c>
      <c r="AJ7" s="65">
        <v>9.8000000000000004E-2</v>
      </c>
      <c r="AK7" s="119">
        <v>-0.4</v>
      </c>
      <c r="AL7" s="119">
        <v>-1</v>
      </c>
      <c r="AM7" s="119">
        <v>0.1</v>
      </c>
      <c r="AN7" s="119">
        <v>8.4</v>
      </c>
    </row>
    <row r="8" spans="1:67" s="44" customFormat="1" ht="17" x14ac:dyDescent="0.2">
      <c r="A8" s="3">
        <v>23</v>
      </c>
      <c r="B8" s="3" t="s">
        <v>1260</v>
      </c>
      <c r="C8" s="3" t="s">
        <v>230</v>
      </c>
      <c r="D8" s="142">
        <v>66</v>
      </c>
      <c r="E8" s="142">
        <v>610</v>
      </c>
      <c r="F8" s="143">
        <v>195</v>
      </c>
      <c r="G8" s="4">
        <v>36211</v>
      </c>
      <c r="H8" s="119">
        <f t="shared" ca="1" si="0"/>
        <v>21.7</v>
      </c>
      <c r="I8" s="59" t="s">
        <v>641</v>
      </c>
      <c r="J8" s="3">
        <v>2</v>
      </c>
      <c r="K8" s="107">
        <v>2019</v>
      </c>
      <c r="L8" s="107">
        <v>6</v>
      </c>
      <c r="M8" s="3" t="s">
        <v>1261</v>
      </c>
      <c r="N8" s="3" t="s">
        <v>244</v>
      </c>
      <c r="O8" s="59" t="s">
        <v>2071</v>
      </c>
      <c r="P8" s="11">
        <v>6104280</v>
      </c>
      <c r="Q8" s="50">
        <v>6395160</v>
      </c>
      <c r="R8" s="50">
        <v>8109063</v>
      </c>
      <c r="S8" s="148">
        <f>R8*3</f>
        <v>24327189</v>
      </c>
      <c r="T8" s="125"/>
      <c r="U8" s="59"/>
      <c r="V8" s="59"/>
      <c r="W8" s="59" t="s">
        <v>1262</v>
      </c>
      <c r="X8" s="69">
        <v>2</v>
      </c>
      <c r="Y8" s="69">
        <v>63</v>
      </c>
      <c r="Z8" s="65">
        <v>0.30158730158730157</v>
      </c>
      <c r="AA8" s="119">
        <v>106</v>
      </c>
      <c r="AB8" s="119">
        <v>109.3</v>
      </c>
      <c r="AC8" s="119">
        <f t="shared" si="1"/>
        <v>-3.2999999999999972</v>
      </c>
      <c r="AD8" s="119">
        <v>23.9</v>
      </c>
      <c r="AE8" s="119">
        <v>9.6</v>
      </c>
      <c r="AF8" s="65">
        <v>0.46700000000000003</v>
      </c>
      <c r="AG8" s="119">
        <v>19.2</v>
      </c>
      <c r="AH8" s="119">
        <v>-1.2</v>
      </c>
      <c r="AI8" s="119">
        <v>1.1000000000000001</v>
      </c>
      <c r="AJ8" s="65">
        <v>-4.0000000000000001E-3</v>
      </c>
      <c r="AK8" s="119">
        <v>-3.2</v>
      </c>
      <c r="AL8" s="119">
        <v>-0.8</v>
      </c>
      <c r="AM8" s="119">
        <v>-0.8</v>
      </c>
      <c r="AN8" s="119">
        <v>5.5</v>
      </c>
      <c r="AO8" s="59"/>
      <c r="AP8" s="59"/>
      <c r="AQ8" s="59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</row>
    <row r="9" spans="1:67" s="44" customFormat="1" x14ac:dyDescent="0.2">
      <c r="A9" s="3"/>
      <c r="B9" s="3" t="s">
        <v>1754</v>
      </c>
      <c r="C9" s="3" t="s">
        <v>234</v>
      </c>
      <c r="D9" s="105">
        <v>69</v>
      </c>
      <c r="E9" s="105">
        <v>70</v>
      </c>
      <c r="F9" s="106">
        <v>218</v>
      </c>
      <c r="G9" s="4">
        <v>32664</v>
      </c>
      <c r="H9" s="110">
        <f t="shared" ca="1" si="0"/>
        <v>31.4</v>
      </c>
      <c r="I9" s="3" t="s">
        <v>275</v>
      </c>
      <c r="J9" s="3">
        <v>11</v>
      </c>
      <c r="K9" s="3">
        <v>2010</v>
      </c>
      <c r="L9" s="3">
        <v>13</v>
      </c>
      <c r="M9" s="3" t="s">
        <v>2691</v>
      </c>
      <c r="N9" s="3" t="s">
        <v>2418</v>
      </c>
      <c r="O9" s="3" t="s">
        <v>1882</v>
      </c>
      <c r="P9" s="11">
        <v>5005350</v>
      </c>
      <c r="Q9" s="14">
        <f>P9*1.3</f>
        <v>6506955</v>
      </c>
      <c r="R9" s="3"/>
      <c r="S9" s="3"/>
      <c r="T9" s="3"/>
      <c r="U9" s="3"/>
      <c r="V9" s="3"/>
      <c r="W9" s="96" t="s">
        <v>238</v>
      </c>
      <c r="X9" s="69">
        <v>5</v>
      </c>
      <c r="Y9" s="69">
        <v>25</v>
      </c>
      <c r="Z9" s="65">
        <f>15/25</f>
        <v>0.6</v>
      </c>
      <c r="AA9" s="119">
        <v>94.4</v>
      </c>
      <c r="AB9" s="119">
        <v>108.2</v>
      </c>
      <c r="AC9" s="119">
        <f t="shared" si="1"/>
        <v>-13.799999999999997</v>
      </c>
      <c r="AD9" s="119">
        <v>10.7</v>
      </c>
      <c r="AE9" s="119">
        <v>7.3</v>
      </c>
      <c r="AF9" s="65">
        <v>0.42499999999999999</v>
      </c>
      <c r="AG9" s="119">
        <v>8.5</v>
      </c>
      <c r="AH9" s="119">
        <v>-0.1</v>
      </c>
      <c r="AI9" s="119">
        <v>0.5</v>
      </c>
      <c r="AJ9" s="65">
        <v>7.3999999999999996E-2</v>
      </c>
      <c r="AK9" s="119">
        <v>-5.5</v>
      </c>
      <c r="AL9" s="119">
        <v>1.7</v>
      </c>
      <c r="AM9" s="119">
        <v>-0.1</v>
      </c>
      <c r="AN9" s="119">
        <v>4.8</v>
      </c>
      <c r="AO9" s="59"/>
      <c r="AP9"/>
      <c r="AQ9" s="59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</row>
    <row r="10" spans="1:67" x14ac:dyDescent="0.2">
      <c r="A10" s="3">
        <v>10</v>
      </c>
      <c r="B10" s="3" t="s">
        <v>1263</v>
      </c>
      <c r="C10" s="3" t="s">
        <v>241</v>
      </c>
      <c r="D10" s="142">
        <v>68</v>
      </c>
      <c r="E10" s="142">
        <v>69</v>
      </c>
      <c r="F10" s="143">
        <v>209</v>
      </c>
      <c r="G10" s="4">
        <v>34400</v>
      </c>
      <c r="H10" s="119">
        <f t="shared" ca="1" si="0"/>
        <v>26.7</v>
      </c>
      <c r="I10" s="59" t="s">
        <v>260</v>
      </c>
      <c r="J10" s="3">
        <v>5</v>
      </c>
      <c r="K10" s="107">
        <v>2016</v>
      </c>
      <c r="L10" s="107">
        <v>47</v>
      </c>
      <c r="M10" s="3" t="s">
        <v>1264</v>
      </c>
      <c r="N10" s="3" t="s">
        <v>346</v>
      </c>
      <c r="O10" s="146" t="s">
        <v>2025</v>
      </c>
      <c r="P10" s="11">
        <v>3761085</v>
      </c>
      <c r="Q10" s="11">
        <v>3940184</v>
      </c>
      <c r="R10" s="147">
        <f>Q10*1.9</f>
        <v>7486349.5999999996</v>
      </c>
      <c r="W10" s="59" t="s">
        <v>1265</v>
      </c>
      <c r="X10" s="69">
        <v>4</v>
      </c>
      <c r="Y10" s="69">
        <v>23</v>
      </c>
      <c r="Z10" s="65">
        <f>11/23</f>
        <v>0.47826086956521741</v>
      </c>
      <c r="AA10" s="119">
        <v>106.6</v>
      </c>
      <c r="AB10" s="119">
        <v>104.6</v>
      </c>
      <c r="AC10" s="119">
        <f t="shared" si="1"/>
        <v>2</v>
      </c>
      <c r="AD10" s="119">
        <v>22</v>
      </c>
      <c r="AE10" s="119">
        <v>10.3</v>
      </c>
      <c r="AF10" s="65">
        <v>0.54400000000000004</v>
      </c>
      <c r="AG10" s="119">
        <v>17.7</v>
      </c>
      <c r="AH10" s="119">
        <v>0</v>
      </c>
      <c r="AI10" s="119">
        <v>0.3</v>
      </c>
      <c r="AJ10" s="65">
        <v>2.9000000000000001E-2</v>
      </c>
      <c r="AK10" s="119">
        <v>-2.7</v>
      </c>
      <c r="AL10" s="119">
        <v>-1</v>
      </c>
      <c r="AM10" s="119">
        <v>-0.2</v>
      </c>
      <c r="AN10" s="119">
        <v>5.9</v>
      </c>
    </row>
    <row r="11" spans="1:67" ht="17" x14ac:dyDescent="0.2">
      <c r="A11" s="3">
        <v>20</v>
      </c>
      <c r="B11" s="3" t="s">
        <v>1270</v>
      </c>
      <c r="C11" s="3" t="s">
        <v>252</v>
      </c>
      <c r="D11" s="142">
        <v>64</v>
      </c>
      <c r="E11" s="142">
        <v>70</v>
      </c>
      <c r="F11" s="143">
        <v>213</v>
      </c>
      <c r="G11" s="4">
        <v>36039</v>
      </c>
      <c r="H11" s="119">
        <f t="shared" ca="1" si="0"/>
        <v>22.2</v>
      </c>
      <c r="I11" s="59" t="s">
        <v>537</v>
      </c>
      <c r="J11" s="3">
        <v>3</v>
      </c>
      <c r="K11" s="107">
        <v>2018</v>
      </c>
      <c r="L11" s="107">
        <v>20</v>
      </c>
      <c r="M11" s="3" t="s">
        <v>1271</v>
      </c>
      <c r="N11" s="3" t="s">
        <v>244</v>
      </c>
      <c r="O11" s="64" t="s">
        <v>1949</v>
      </c>
      <c r="P11" s="11">
        <v>2651040</v>
      </c>
      <c r="Q11" s="50">
        <v>4087904</v>
      </c>
      <c r="R11" s="49">
        <v>12263712</v>
      </c>
      <c r="T11" s="125"/>
      <c r="W11" s="59" t="s">
        <v>1272</v>
      </c>
      <c r="X11" s="69">
        <v>2</v>
      </c>
      <c r="Y11" s="69">
        <v>62</v>
      </c>
      <c r="Z11" s="65">
        <f>19/62</f>
        <v>0.30645161290322581</v>
      </c>
      <c r="AA11" s="119">
        <v>106.3</v>
      </c>
      <c r="AB11" s="119">
        <v>111</v>
      </c>
      <c r="AC11" s="119">
        <f t="shared" si="1"/>
        <v>-4.7000000000000028</v>
      </c>
      <c r="AD11" s="119">
        <v>25</v>
      </c>
      <c r="AE11" s="119">
        <v>11.5</v>
      </c>
      <c r="AF11" s="65">
        <v>0.55300000000000005</v>
      </c>
      <c r="AG11" s="119">
        <v>15.1</v>
      </c>
      <c r="AH11" s="119">
        <v>1</v>
      </c>
      <c r="AI11" s="119">
        <v>1.2</v>
      </c>
      <c r="AJ11" s="65">
        <v>6.7000000000000004E-2</v>
      </c>
      <c r="AK11" s="119">
        <v>-2.4</v>
      </c>
      <c r="AL11" s="119">
        <v>0</v>
      </c>
      <c r="AM11" s="119">
        <v>-0.1</v>
      </c>
      <c r="AN11" s="119">
        <v>7</v>
      </c>
    </row>
    <row r="12" spans="1:67" x14ac:dyDescent="0.2">
      <c r="A12" s="3"/>
      <c r="B12" s="3" t="s">
        <v>2317</v>
      </c>
      <c r="C12" s="3" t="s">
        <v>241</v>
      </c>
      <c r="D12" s="105">
        <v>69</v>
      </c>
      <c r="E12" s="105">
        <v>70</v>
      </c>
      <c r="F12" s="106">
        <v>200</v>
      </c>
      <c r="G12" s="4">
        <v>36798</v>
      </c>
      <c r="H12" s="119">
        <f t="shared" ca="1" si="0"/>
        <v>20.100000000000001</v>
      </c>
      <c r="I12" s="3" t="s">
        <v>1280</v>
      </c>
      <c r="J12" s="3">
        <v>1</v>
      </c>
      <c r="K12" s="54">
        <v>2020</v>
      </c>
      <c r="L12" s="59">
        <v>28</v>
      </c>
      <c r="M12" s="16" t="s">
        <v>2318</v>
      </c>
      <c r="N12" s="16" t="s">
        <v>244</v>
      </c>
      <c r="O12" s="16" t="s">
        <v>2314</v>
      </c>
      <c r="P12" s="11">
        <v>1964760</v>
      </c>
      <c r="Q12" s="11">
        <v>2063280</v>
      </c>
      <c r="R12" s="50">
        <v>2161440</v>
      </c>
      <c r="S12" s="50">
        <v>3901399</v>
      </c>
      <c r="T12" s="49">
        <v>11704197</v>
      </c>
      <c r="U12"/>
      <c r="V12"/>
      <c r="W12"/>
      <c r="X12" s="134"/>
      <c r="Y12" s="134"/>
      <c r="Z12" s="124"/>
      <c r="AA12"/>
      <c r="AB12"/>
      <c r="AC12"/>
      <c r="AD12" s="119"/>
      <c r="AE12" s="119"/>
      <c r="AF12" s="65"/>
      <c r="AG12" s="119"/>
      <c r="AH12" s="119"/>
      <c r="AI12" s="119"/>
      <c r="AJ12" s="65"/>
      <c r="AK12" s="119"/>
      <c r="AL12" s="119"/>
      <c r="AM12" s="119"/>
      <c r="AN12" s="119"/>
    </row>
    <row r="13" spans="1:67" x14ac:dyDescent="0.2">
      <c r="A13" s="3">
        <v>3</v>
      </c>
      <c r="B13" s="3" t="s">
        <v>108</v>
      </c>
      <c r="C13" s="3" t="s">
        <v>234</v>
      </c>
      <c r="D13" s="142">
        <v>69</v>
      </c>
      <c r="E13" s="142">
        <v>611</v>
      </c>
      <c r="F13" s="143">
        <v>214</v>
      </c>
      <c r="G13" s="4">
        <v>36253</v>
      </c>
      <c r="H13" s="119">
        <f t="shared" ca="1" si="0"/>
        <v>21.6</v>
      </c>
      <c r="I13" s="59" t="s">
        <v>266</v>
      </c>
      <c r="J13" s="3">
        <v>3</v>
      </c>
      <c r="K13" s="107">
        <v>2018</v>
      </c>
      <c r="L13" s="107">
        <v>41</v>
      </c>
      <c r="M13" s="3" t="s">
        <v>1267</v>
      </c>
      <c r="N13" s="3" t="s">
        <v>1278</v>
      </c>
      <c r="O13" s="202" t="s">
        <v>500</v>
      </c>
      <c r="P13" s="15">
        <v>1663861</v>
      </c>
      <c r="Q13" s="49">
        <v>2122822</v>
      </c>
      <c r="R13" s="3"/>
      <c r="S13" s="3"/>
      <c r="W13" s="59" t="s">
        <v>1279</v>
      </c>
      <c r="X13" s="69">
        <v>5</v>
      </c>
      <c r="Y13" s="69">
        <v>2</v>
      </c>
      <c r="Z13" s="65">
        <f>1/2</f>
        <v>0.5</v>
      </c>
      <c r="AA13" s="119">
        <v>18.2</v>
      </c>
      <c r="AB13" s="119">
        <v>92.9</v>
      </c>
      <c r="AC13" s="119">
        <f t="shared" si="1"/>
        <v>-74.7</v>
      </c>
      <c r="AD13" s="119">
        <v>2.6</v>
      </c>
      <c r="AE13" s="119">
        <v>11.1</v>
      </c>
      <c r="AF13" s="65">
        <v>0.53200000000000003</v>
      </c>
      <c r="AG13" s="119">
        <v>15.5</v>
      </c>
      <c r="AH13" s="119">
        <v>0</v>
      </c>
      <c r="AI13" s="119">
        <v>0</v>
      </c>
      <c r="AJ13" s="65">
        <v>0.104</v>
      </c>
      <c r="AK13" s="119">
        <v>-2.8</v>
      </c>
      <c r="AL13" s="119">
        <v>-2.8</v>
      </c>
      <c r="AM13" s="119">
        <v>0</v>
      </c>
      <c r="AN13" s="119">
        <v>22.2</v>
      </c>
    </row>
    <row r="14" spans="1:67" x14ac:dyDescent="0.2">
      <c r="A14" s="3">
        <v>4</v>
      </c>
      <c r="B14" s="3" t="s">
        <v>109</v>
      </c>
      <c r="C14" s="3" t="s">
        <v>230</v>
      </c>
      <c r="D14" s="142">
        <v>64</v>
      </c>
      <c r="E14" s="142">
        <v>67</v>
      </c>
      <c r="F14" s="143">
        <v>201</v>
      </c>
      <c r="G14" s="4">
        <v>36259</v>
      </c>
      <c r="H14" s="119">
        <f t="shared" ca="1" si="0"/>
        <v>21.6</v>
      </c>
      <c r="I14" s="59" t="s">
        <v>1280</v>
      </c>
      <c r="J14" s="3">
        <v>2</v>
      </c>
      <c r="K14" s="107">
        <v>2019</v>
      </c>
      <c r="L14" s="107">
        <v>43</v>
      </c>
      <c r="M14" s="3" t="s">
        <v>1281</v>
      </c>
      <c r="N14" s="3" t="s">
        <v>495</v>
      </c>
      <c r="O14" s="202" t="s">
        <v>1282</v>
      </c>
      <c r="P14" s="15">
        <v>1517981</v>
      </c>
      <c r="Q14" s="15">
        <v>1782621</v>
      </c>
      <c r="R14" s="48">
        <v>1930681</v>
      </c>
      <c r="S14" s="14">
        <v>2046307</v>
      </c>
      <c r="W14" s="59" t="s">
        <v>1283</v>
      </c>
      <c r="X14" s="69">
        <v>2</v>
      </c>
      <c r="Y14" s="69">
        <v>15</v>
      </c>
      <c r="Z14" s="65">
        <f>2/15</f>
        <v>0.13333333333333333</v>
      </c>
      <c r="AA14" s="119">
        <v>99.7</v>
      </c>
      <c r="AB14" s="119">
        <v>98.5</v>
      </c>
      <c r="AC14" s="119">
        <f t="shared" si="1"/>
        <v>1.2000000000000028</v>
      </c>
      <c r="AD14" s="119">
        <v>10.1</v>
      </c>
      <c r="AE14" s="119">
        <v>10.5</v>
      </c>
      <c r="AF14" s="65">
        <v>0.47099999999999997</v>
      </c>
      <c r="AG14" s="119">
        <v>17.3</v>
      </c>
      <c r="AH14" s="119">
        <v>0.1</v>
      </c>
      <c r="AI14" s="119">
        <v>0</v>
      </c>
      <c r="AJ14" s="65">
        <v>5.0999999999999997E-2</v>
      </c>
      <c r="AK14" s="119">
        <v>-2.9</v>
      </c>
      <c r="AL14" s="119">
        <v>-0.8</v>
      </c>
      <c r="AM14" s="119">
        <v>-0.1</v>
      </c>
      <c r="AN14" s="119">
        <v>8</v>
      </c>
    </row>
    <row r="15" spans="1:67" x14ac:dyDescent="0.2">
      <c r="A15" s="3">
        <v>11</v>
      </c>
      <c r="B15" s="3" t="s">
        <v>110</v>
      </c>
      <c r="C15" s="3" t="s">
        <v>234</v>
      </c>
      <c r="D15" s="142">
        <v>69</v>
      </c>
      <c r="E15" s="142">
        <v>73</v>
      </c>
      <c r="F15" s="143">
        <v>264</v>
      </c>
      <c r="G15" s="4">
        <v>36398</v>
      </c>
      <c r="H15" s="119">
        <f t="shared" ca="1" si="0"/>
        <v>21.2</v>
      </c>
      <c r="I15" s="59" t="s">
        <v>389</v>
      </c>
      <c r="J15" s="3">
        <v>2</v>
      </c>
      <c r="K15" s="107">
        <v>2019</v>
      </c>
      <c r="L15" s="107"/>
      <c r="M15" s="3" t="s">
        <v>567</v>
      </c>
      <c r="N15" s="3" t="s">
        <v>495</v>
      </c>
      <c r="O15" s="202" t="s">
        <v>384</v>
      </c>
      <c r="P15" s="15">
        <v>1517981</v>
      </c>
      <c r="Q15" s="15">
        <v>1782621</v>
      </c>
      <c r="R15" s="48">
        <v>1930681</v>
      </c>
      <c r="S15" s="14">
        <v>2046307</v>
      </c>
      <c r="W15" s="59" t="s">
        <v>479</v>
      </c>
      <c r="X15" s="69">
        <v>5</v>
      </c>
      <c r="Y15" s="69">
        <v>30</v>
      </c>
      <c r="Z15" s="65">
        <f>8/30</f>
        <v>0.26666666666666666</v>
      </c>
      <c r="AA15" s="119">
        <v>108.4</v>
      </c>
      <c r="AB15" s="119">
        <v>107.6</v>
      </c>
      <c r="AC15" s="119">
        <f t="shared" si="1"/>
        <v>0.80000000000001137</v>
      </c>
      <c r="AD15" s="119">
        <v>16.5</v>
      </c>
      <c r="AE15" s="119">
        <v>15.3</v>
      </c>
      <c r="AF15" s="65">
        <v>0.505</v>
      </c>
      <c r="AG15" s="119">
        <v>24</v>
      </c>
      <c r="AH15" s="119">
        <v>0.2</v>
      </c>
      <c r="AI15" s="119">
        <v>0.6</v>
      </c>
      <c r="AJ15" s="65">
        <v>7.3999999999999996E-2</v>
      </c>
      <c r="AK15" s="119">
        <v>-1.6</v>
      </c>
      <c r="AL15" s="119">
        <v>-0.3</v>
      </c>
      <c r="AM15" s="119">
        <v>0</v>
      </c>
      <c r="AN15" s="119">
        <v>8.5</v>
      </c>
    </row>
    <row r="16" spans="1:67" x14ac:dyDescent="0.2">
      <c r="A16" s="3"/>
      <c r="B16" s="3" t="s">
        <v>2392</v>
      </c>
      <c r="C16" s="3" t="s">
        <v>2280</v>
      </c>
      <c r="D16" s="142">
        <v>63</v>
      </c>
      <c r="E16" s="142">
        <v>66</v>
      </c>
      <c r="F16" s="143">
        <v>198</v>
      </c>
      <c r="G16" s="4">
        <v>36349</v>
      </c>
      <c r="H16" s="119">
        <f t="shared" ca="1" si="0"/>
        <v>21.3</v>
      </c>
      <c r="I16" s="59" t="s">
        <v>266</v>
      </c>
      <c r="J16" s="3">
        <v>1</v>
      </c>
      <c r="K16" s="107">
        <v>2020</v>
      </c>
      <c r="L16" s="107"/>
      <c r="M16" s="3" t="s">
        <v>2436</v>
      </c>
      <c r="N16" s="3" t="s">
        <v>288</v>
      </c>
      <c r="O16" s="202"/>
      <c r="P16" s="16" t="s">
        <v>288</v>
      </c>
      <c r="Q16" s="49"/>
      <c r="R16" s="16"/>
      <c r="S16" s="16"/>
      <c r="T16" s="78"/>
      <c r="X16" s="69"/>
      <c r="Y16" s="69"/>
      <c r="Z16" s="65"/>
      <c r="AA16" s="119"/>
      <c r="AB16" s="119"/>
      <c r="AC16" s="119"/>
      <c r="AD16" s="119"/>
      <c r="AE16" s="119"/>
      <c r="AF16" s="65"/>
      <c r="AG16" s="119"/>
      <c r="AH16" s="119"/>
      <c r="AI16" s="119"/>
      <c r="AJ16" s="65"/>
      <c r="AK16" s="119"/>
      <c r="AL16" s="119"/>
      <c r="AM16" s="119"/>
      <c r="AN16" s="119"/>
    </row>
    <row r="17" spans="1:40" x14ac:dyDescent="0.2">
      <c r="B17" s="3" t="s">
        <v>290</v>
      </c>
      <c r="D17" s="142"/>
      <c r="E17" s="142"/>
      <c r="F17" s="143"/>
      <c r="H17" s="119"/>
      <c r="K17" s="69"/>
      <c r="L17" s="69"/>
      <c r="P17" s="22">
        <f>685340</f>
        <v>685340</v>
      </c>
      <c r="Q17" s="3"/>
      <c r="R17" s="3"/>
      <c r="S17" s="3"/>
      <c r="T17" s="151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B18" s="3" t="s">
        <v>2306</v>
      </c>
      <c r="C18" s="59" t="s">
        <v>252</v>
      </c>
      <c r="D18" s="105">
        <v>68</v>
      </c>
      <c r="E18" s="105">
        <v>68</v>
      </c>
      <c r="F18" s="106">
        <v>200</v>
      </c>
      <c r="G18" s="62">
        <v>36780</v>
      </c>
      <c r="H18" s="119">
        <f ca="1">ROUNDDOWN(YEARFRAC($G$23,G18),1)</f>
        <v>20.2</v>
      </c>
      <c r="I18" s="59" t="s">
        <v>434</v>
      </c>
      <c r="J18" s="59">
        <v>1</v>
      </c>
      <c r="K18" s="59">
        <v>2020</v>
      </c>
      <c r="L18" s="59">
        <v>23</v>
      </c>
      <c r="M18" s="59" t="s">
        <v>2305</v>
      </c>
      <c r="N18" s="59" t="s">
        <v>244</v>
      </c>
      <c r="P18" s="16"/>
      <c r="Q18" s="16"/>
      <c r="R18" s="16"/>
      <c r="S18" s="16"/>
      <c r="T18" s="16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B19" s="3"/>
      <c r="P19" s="16"/>
      <c r="Q19" s="78"/>
      <c r="R19" s="78"/>
      <c r="S19" s="78"/>
      <c r="T19" s="78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A20" s="3">
        <v>1</v>
      </c>
      <c r="B20" s="3" t="s">
        <v>104</v>
      </c>
      <c r="C20" s="3" t="s">
        <v>252</v>
      </c>
      <c r="D20" s="142">
        <v>66</v>
      </c>
      <c r="E20" s="142">
        <v>68</v>
      </c>
      <c r="F20" s="143">
        <v>220</v>
      </c>
      <c r="G20" s="4">
        <v>32443</v>
      </c>
      <c r="H20" s="119">
        <f ca="1">ROUNDDOWN(YEARFRAC($G$23,G20),1)</f>
        <v>32</v>
      </c>
      <c r="I20" s="59" t="s">
        <v>749</v>
      </c>
      <c r="J20" s="3">
        <v>11</v>
      </c>
      <c r="K20" s="107">
        <v>2010</v>
      </c>
      <c r="L20" s="107">
        <v>2</v>
      </c>
      <c r="M20" s="3" t="s">
        <v>1256</v>
      </c>
      <c r="N20" s="3"/>
      <c r="P20" s="14">
        <v>27909834</v>
      </c>
      <c r="W20" s="59" t="s">
        <v>1257</v>
      </c>
      <c r="X20" s="69">
        <v>1</v>
      </c>
      <c r="Y20" s="69">
        <v>19</v>
      </c>
      <c r="Z20" s="65">
        <f>3/19</f>
        <v>0.15789473684210525</v>
      </c>
      <c r="AA20" s="119">
        <v>92.2</v>
      </c>
      <c r="AB20" s="119">
        <v>103.6</v>
      </c>
      <c r="AC20" s="119">
        <f t="shared" ref="AC20:AC21" si="3">AA20-AB20</f>
        <v>-11.399999999999991</v>
      </c>
      <c r="AD20" s="119">
        <v>13.2</v>
      </c>
      <c r="AE20" s="119">
        <v>6.8</v>
      </c>
      <c r="AF20" s="65">
        <v>0.42399999999999999</v>
      </c>
      <c r="AG20" s="119">
        <v>16.399999999999999</v>
      </c>
      <c r="AH20" s="119">
        <v>-0.5</v>
      </c>
      <c r="AI20" s="119">
        <v>0.1</v>
      </c>
      <c r="AJ20" s="65">
        <v>-6.4000000000000001E-2</v>
      </c>
      <c r="AK20" s="119">
        <v>-4.9000000000000004</v>
      </c>
      <c r="AL20" s="119">
        <v>-0.7</v>
      </c>
      <c r="AM20" s="119">
        <v>-0.2</v>
      </c>
      <c r="AN20" s="119">
        <v>6.2</v>
      </c>
    </row>
    <row r="21" spans="1:40" x14ac:dyDescent="0.2">
      <c r="A21" s="3">
        <v>6</v>
      </c>
      <c r="B21" s="3" t="s">
        <v>1284</v>
      </c>
      <c r="C21" s="3" t="s">
        <v>247</v>
      </c>
      <c r="D21" s="142">
        <v>511</v>
      </c>
      <c r="E21" s="142">
        <v>65</v>
      </c>
      <c r="F21" s="143">
        <v>185</v>
      </c>
      <c r="G21" s="4">
        <v>35164</v>
      </c>
      <c r="H21" s="119">
        <f ca="1">ROUNDDOWN(YEARFRAC($G$23,G21),1)</f>
        <v>24.6</v>
      </c>
      <c r="I21" s="59" t="s">
        <v>224</v>
      </c>
      <c r="J21" s="3">
        <v>2</v>
      </c>
      <c r="K21" s="107">
        <v>2018</v>
      </c>
      <c r="L21" s="107"/>
      <c r="M21" s="3" t="s">
        <v>920</v>
      </c>
      <c r="N21" s="3"/>
      <c r="P21" s="235" t="s">
        <v>2371</v>
      </c>
      <c r="Q21" s="12"/>
      <c r="R21" s="12"/>
      <c r="S21" s="12"/>
      <c r="W21" s="96" t="s">
        <v>284</v>
      </c>
      <c r="X21" s="69">
        <v>1</v>
      </c>
      <c r="Y21" s="69">
        <v>30</v>
      </c>
      <c r="Z21" s="65">
        <v>0.23333333333333334</v>
      </c>
      <c r="AA21" s="119">
        <v>105.3</v>
      </c>
      <c r="AB21" s="119">
        <v>111.1</v>
      </c>
      <c r="AC21" s="119">
        <f t="shared" si="3"/>
        <v>-5.7999999999999972</v>
      </c>
      <c r="AD21" s="119">
        <v>19.7</v>
      </c>
      <c r="AE21" s="119">
        <v>16.3</v>
      </c>
      <c r="AF21" s="65">
        <v>0.58699999999999997</v>
      </c>
      <c r="AG21" s="119">
        <v>15.8</v>
      </c>
      <c r="AH21" s="119">
        <v>1.2</v>
      </c>
      <c r="AI21" s="119">
        <v>0.4</v>
      </c>
      <c r="AJ21" s="65">
        <v>0.13</v>
      </c>
      <c r="AK21" s="119">
        <v>0.4</v>
      </c>
      <c r="AL21" s="119">
        <v>-0.1</v>
      </c>
      <c r="AM21" s="119">
        <v>0.3</v>
      </c>
      <c r="AN21" s="119">
        <v>11</v>
      </c>
    </row>
    <row r="22" spans="1:40" x14ac:dyDescent="0.2">
      <c r="B22" s="3"/>
      <c r="P22" s="11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B23" s="3"/>
      <c r="G23" s="62">
        <f ca="1">TODAY()</f>
        <v>44162</v>
      </c>
      <c r="H23" s="63">
        <f ca="1">AVERAGE(H2:H15)</f>
        <v>23.907142857142862</v>
      </c>
      <c r="J23" s="63">
        <f>AVERAGE(J2:J15)</f>
        <v>4.4285714285714288</v>
      </c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E24" s="62"/>
      <c r="G24" s="62"/>
      <c r="H24" s="63">
        <f ca="1">MEDIAN(H2:H15)</f>
        <v>23.1</v>
      </c>
      <c r="J24" s="69">
        <f>MEDIAN(J2:J15)</f>
        <v>4</v>
      </c>
      <c r="P24" s="64"/>
      <c r="X24" s="69"/>
      <c r="Y24" s="69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0" x14ac:dyDescent="0.2">
      <c r="B25" s="197" t="s">
        <v>1985</v>
      </c>
      <c r="C25" s="3"/>
      <c r="J25" s="11"/>
      <c r="O25" s="11"/>
      <c r="P25" s="64">
        <f>SUM(P2:P17)-P13-P14-P15</f>
        <v>124920683</v>
      </c>
      <c r="X25" s="69"/>
      <c r="Y25" s="69"/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B26" s="3" t="s">
        <v>1876</v>
      </c>
      <c r="C26" s="3">
        <v>11</v>
      </c>
      <c r="I26" s="197"/>
      <c r="J26" s="3"/>
      <c r="O26" s="3"/>
      <c r="P26" s="121">
        <f>SUM(P2:P17)</f>
        <v>129620506</v>
      </c>
      <c r="X26" s="69"/>
      <c r="Y26" s="69"/>
      <c r="Z26" s="65"/>
      <c r="AA26" s="119"/>
      <c r="AB26" s="119"/>
      <c r="AC26" s="119"/>
      <c r="AD26" s="119"/>
      <c r="AE26" s="119"/>
      <c r="AF26" s="65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B27" s="3" t="s">
        <v>2457</v>
      </c>
      <c r="C27" s="3">
        <v>3</v>
      </c>
      <c r="I27" s="3"/>
      <c r="J27" s="3"/>
      <c r="O27" s="22"/>
      <c r="P27" s="121"/>
      <c r="X27" s="69"/>
      <c r="Y27" s="69"/>
      <c r="Z27" s="65"/>
      <c r="AA27" s="119"/>
      <c r="AB27" s="119"/>
      <c r="AC27" s="119"/>
      <c r="AD27" s="119"/>
      <c r="AE27" s="119"/>
      <c r="AF27" s="65"/>
      <c r="AG27" s="119"/>
      <c r="AH27" s="119"/>
      <c r="AI27" s="119"/>
      <c r="AJ27" s="65"/>
      <c r="AK27" s="119"/>
      <c r="AL27" s="119"/>
      <c r="AM27" s="119"/>
      <c r="AN27" s="119"/>
    </row>
    <row r="28" spans="1:40" x14ac:dyDescent="0.2">
      <c r="B28" s="3" t="s">
        <v>2539</v>
      </c>
      <c r="C28" s="3">
        <v>1</v>
      </c>
      <c r="I28" s="3"/>
      <c r="J28" s="3"/>
      <c r="O28" s="3" t="s">
        <v>292</v>
      </c>
      <c r="P28" s="22" t="e">
        <f>#REF!</f>
        <v>#REF!</v>
      </c>
      <c r="X28" s="69"/>
      <c r="Y28" s="69"/>
      <c r="Z28" s="65"/>
      <c r="AA28" s="119"/>
      <c r="AB28" s="119"/>
      <c r="AC28" s="119"/>
      <c r="AD28" s="119"/>
      <c r="AE28" s="119"/>
      <c r="AF28" s="65"/>
      <c r="AG28" s="119"/>
      <c r="AH28" s="119"/>
      <c r="AI28" s="119"/>
      <c r="AJ28" s="65"/>
      <c r="AK28" s="119"/>
      <c r="AL28" s="119"/>
      <c r="AM28" s="119"/>
      <c r="AN28" s="119"/>
    </row>
    <row r="29" spans="1:40" x14ac:dyDescent="0.2">
      <c r="B29" s="3" t="s">
        <v>495</v>
      </c>
      <c r="C29" s="22">
        <f>9258000</f>
        <v>9258000</v>
      </c>
      <c r="F29" s="62"/>
      <c r="I29" s="3"/>
      <c r="J29" s="3"/>
      <c r="O29" s="22" t="s">
        <v>294</v>
      </c>
      <c r="P29" s="22" t="e">
        <f>#REF!</f>
        <v>#REF!</v>
      </c>
      <c r="X29" s="69"/>
      <c r="Y29" s="69"/>
      <c r="Z29" s="65"/>
      <c r="AA29" s="119"/>
      <c r="AB29" s="119"/>
      <c r="AC29" s="119"/>
      <c r="AD29" s="119"/>
      <c r="AE29" s="119"/>
      <c r="AF29" s="65"/>
      <c r="AG29" s="119"/>
      <c r="AH29" s="119"/>
      <c r="AI29" s="119"/>
      <c r="AJ29" s="65"/>
      <c r="AK29" s="119"/>
      <c r="AL29" s="119"/>
      <c r="AM29" s="119"/>
      <c r="AN29" s="119"/>
    </row>
    <row r="30" spans="1:40" x14ac:dyDescent="0.2">
      <c r="B30" s="3" t="s">
        <v>514</v>
      </c>
      <c r="C30" s="22">
        <f>3623000</f>
        <v>3623000</v>
      </c>
      <c r="F30" s="62"/>
      <c r="I30" s="3"/>
      <c r="J30" s="3"/>
      <c r="O30" s="22"/>
      <c r="P30" s="22"/>
      <c r="X30" s="69"/>
      <c r="Y30" s="69"/>
      <c r="Z30" s="65"/>
      <c r="AA30" s="119"/>
      <c r="AB30" s="119"/>
      <c r="AC30" s="119"/>
      <c r="AD30" s="119"/>
      <c r="AE30" s="119"/>
      <c r="AF30" s="65"/>
      <c r="AG30" s="119"/>
      <c r="AH30" s="119"/>
      <c r="AI30" s="119"/>
      <c r="AJ30" s="65"/>
      <c r="AK30" s="119"/>
      <c r="AL30" s="119"/>
      <c r="AM30" s="119"/>
      <c r="AN30" s="119"/>
    </row>
    <row r="31" spans="1:40" x14ac:dyDescent="0.2">
      <c r="B31" s="3" t="s">
        <v>293</v>
      </c>
      <c r="C31" s="60">
        <v>0</v>
      </c>
      <c r="F31" s="62"/>
      <c r="I31" s="3"/>
      <c r="J31" s="3"/>
      <c r="O31" s="22"/>
      <c r="P31" s="22"/>
      <c r="X31" s="69"/>
      <c r="Y31" s="69"/>
      <c r="Z31" s="65"/>
      <c r="AA31" s="119"/>
      <c r="AB31" s="119"/>
      <c r="AC31" s="119"/>
      <c r="AD31" s="119"/>
      <c r="AE31" s="119"/>
      <c r="AF31" s="65"/>
      <c r="AG31" s="119"/>
      <c r="AH31" s="119"/>
      <c r="AI31" s="119"/>
      <c r="AJ31" s="65"/>
      <c r="AK31" s="119"/>
      <c r="AL31" s="119"/>
      <c r="AM31" s="119"/>
      <c r="AN31" s="119"/>
    </row>
    <row r="32" spans="1:40" x14ac:dyDescent="0.2">
      <c r="B32" s="3" t="s">
        <v>295</v>
      </c>
      <c r="C32" s="60">
        <v>0</v>
      </c>
      <c r="F32" s="62"/>
      <c r="I32" s="3"/>
      <c r="J32" s="3"/>
      <c r="O32" s="22"/>
      <c r="P32" s="22"/>
      <c r="X32" s="69"/>
      <c r="Y32" s="69"/>
      <c r="Z32" s="65"/>
      <c r="AA32" s="119"/>
      <c r="AB32" s="119"/>
      <c r="AC32" s="119"/>
      <c r="AD32" s="119"/>
      <c r="AE32" s="119"/>
      <c r="AF32" s="65"/>
      <c r="AG32" s="119"/>
      <c r="AH32" s="119"/>
      <c r="AI32" s="119"/>
      <c r="AJ32" s="65"/>
      <c r="AK32" s="119"/>
      <c r="AL32" s="119"/>
      <c r="AM32" s="119"/>
      <c r="AN32" s="119"/>
    </row>
    <row r="33" spans="2:40" x14ac:dyDescent="0.2">
      <c r="B33" s="3"/>
      <c r="C33" s="60"/>
      <c r="J33" s="3"/>
      <c r="O33" s="3"/>
      <c r="X33" s="119"/>
      <c r="Y33" s="119"/>
      <c r="Z33" s="119"/>
      <c r="AA33" s="119"/>
      <c r="AB33" s="119"/>
      <c r="AC33" s="119"/>
      <c r="AD33" s="119"/>
      <c r="AE33" s="119"/>
      <c r="AF33" s="65"/>
      <c r="AG33" s="119"/>
      <c r="AH33" s="119"/>
      <c r="AI33" s="119"/>
      <c r="AJ33" s="119"/>
      <c r="AK33" s="119"/>
      <c r="AL33" s="119"/>
      <c r="AM33" s="119"/>
      <c r="AN33" s="119"/>
    </row>
    <row r="34" spans="2:40" x14ac:dyDescent="0.2">
      <c r="B34" s="71" t="s">
        <v>1875</v>
      </c>
      <c r="J34" s="3"/>
      <c r="O34" s="3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</row>
    <row r="35" spans="2:40" x14ac:dyDescent="0.2">
      <c r="B35" s="3" t="s">
        <v>296</v>
      </c>
      <c r="C35" s="41">
        <f>19/64</f>
        <v>0.296875</v>
      </c>
      <c r="D35" s="3" t="s">
        <v>714</v>
      </c>
      <c r="E35" s="3"/>
      <c r="J35" s="22"/>
      <c r="O35" s="22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</row>
    <row r="36" spans="2:40" x14ac:dyDescent="0.2">
      <c r="B36" s="3" t="s">
        <v>298</v>
      </c>
      <c r="C36" s="110">
        <v>107.6</v>
      </c>
      <c r="D36" s="3" t="s">
        <v>2077</v>
      </c>
      <c r="E36" s="3"/>
    </row>
    <row r="37" spans="2:40" x14ac:dyDescent="0.2">
      <c r="B37" s="3" t="s">
        <v>299</v>
      </c>
      <c r="C37" s="110">
        <v>111.6</v>
      </c>
      <c r="D37" s="3" t="s">
        <v>2010</v>
      </c>
      <c r="E37" s="3"/>
    </row>
    <row r="38" spans="2:40" x14ac:dyDescent="0.2">
      <c r="B38" s="3" t="s">
        <v>300</v>
      </c>
      <c r="C38" s="110">
        <f>C36-C37</f>
        <v>-4</v>
      </c>
      <c r="D38" s="3" t="s">
        <v>2077</v>
      </c>
      <c r="E38" s="3"/>
    </row>
    <row r="39" spans="2:40" x14ac:dyDescent="0.2">
      <c r="B39" s="3" t="s">
        <v>301</v>
      </c>
      <c r="C39" s="36">
        <v>103.94</v>
      </c>
      <c r="D39" s="3" t="s">
        <v>1956</v>
      </c>
      <c r="E39" s="3"/>
    </row>
    <row r="40" spans="2:40" x14ac:dyDescent="0.2">
      <c r="B40" s="3"/>
      <c r="C40" s="3"/>
      <c r="D40" s="3"/>
      <c r="E40" s="3"/>
    </row>
    <row r="41" spans="2:40" x14ac:dyDescent="0.2">
      <c r="B41" s="152" t="s">
        <v>302</v>
      </c>
      <c r="C41" s="3"/>
      <c r="D41" s="3"/>
      <c r="E41" s="3"/>
    </row>
    <row r="42" spans="2:40" x14ac:dyDescent="0.2">
      <c r="B42" s="152" t="s">
        <v>1289</v>
      </c>
      <c r="C42" s="3"/>
      <c r="D42" s="3"/>
      <c r="E42" s="3"/>
    </row>
    <row r="43" spans="2:40" x14ac:dyDescent="0.2">
      <c r="B43" s="153"/>
      <c r="C43" s="3"/>
      <c r="D43" s="3"/>
      <c r="E43" s="3"/>
    </row>
    <row r="44" spans="2:40" x14ac:dyDescent="0.2">
      <c r="B44" s="152" t="s">
        <v>310</v>
      </c>
      <c r="C44" s="3"/>
      <c r="D44" s="3"/>
      <c r="E44" s="3"/>
    </row>
    <row r="45" spans="2:40" x14ac:dyDescent="0.2">
      <c r="B45" s="152" t="s">
        <v>1290</v>
      </c>
      <c r="C45" s="3"/>
      <c r="D45" s="3"/>
      <c r="E45" s="3"/>
      <c r="G45" s="59" t="s">
        <v>2597</v>
      </c>
    </row>
    <row r="46" spans="2:40" x14ac:dyDescent="0.2">
      <c r="B46" s="152" t="s">
        <v>1291</v>
      </c>
      <c r="C46" s="3"/>
      <c r="D46" s="3"/>
      <c r="E46" s="3"/>
      <c r="G46" s="59" t="s">
        <v>2597</v>
      </c>
    </row>
    <row r="47" spans="2:40" x14ac:dyDescent="0.2">
      <c r="B47" s="152" t="s">
        <v>2596</v>
      </c>
      <c r="C47" s="3"/>
      <c r="D47" s="3"/>
      <c r="E47" s="3"/>
      <c r="G47" s="59" t="s">
        <v>1754</v>
      </c>
    </row>
    <row r="48" spans="2:40" x14ac:dyDescent="0.2">
      <c r="B48" s="152"/>
      <c r="C48" s="3"/>
      <c r="D48" s="3"/>
      <c r="E48" s="3"/>
    </row>
    <row r="49" spans="2:10" x14ac:dyDescent="0.2">
      <c r="B49" s="5" t="s">
        <v>1989</v>
      </c>
      <c r="C49" s="3"/>
      <c r="D49" s="3"/>
      <c r="E49" s="3"/>
    </row>
    <row r="50" spans="2:10" x14ac:dyDescent="0.2">
      <c r="B50" s="39" t="s">
        <v>314</v>
      </c>
      <c r="C50" s="3">
        <v>19</v>
      </c>
      <c r="D50" s="3">
        <v>45</v>
      </c>
      <c r="E50" s="3" t="s">
        <v>714</v>
      </c>
      <c r="G50" s="59" t="s">
        <v>1288</v>
      </c>
      <c r="J50" s="145" t="s">
        <v>316</v>
      </c>
    </row>
    <row r="51" spans="2:10" x14ac:dyDescent="0.2">
      <c r="B51" s="39" t="s">
        <v>317</v>
      </c>
      <c r="C51" s="3">
        <v>36</v>
      </c>
      <c r="D51" s="3">
        <v>46</v>
      </c>
      <c r="E51" s="3" t="s">
        <v>716</v>
      </c>
      <c r="G51" s="59" t="s">
        <v>1292</v>
      </c>
      <c r="J51" s="145" t="s">
        <v>316</v>
      </c>
    </row>
    <row r="52" spans="2:10" x14ac:dyDescent="0.2">
      <c r="B52" s="39" t="s">
        <v>319</v>
      </c>
      <c r="C52" s="3">
        <v>47</v>
      </c>
      <c r="D52" s="3">
        <v>35</v>
      </c>
      <c r="E52" s="3" t="s">
        <v>720</v>
      </c>
      <c r="G52" s="59" t="s">
        <v>591</v>
      </c>
      <c r="J52" s="59" t="s">
        <v>719</v>
      </c>
    </row>
    <row r="53" spans="2:10" x14ac:dyDescent="0.2">
      <c r="B53" s="39" t="s">
        <v>322</v>
      </c>
      <c r="C53" s="3">
        <v>31</v>
      </c>
      <c r="D53" s="3">
        <v>51</v>
      </c>
      <c r="E53" s="3" t="s">
        <v>715</v>
      </c>
      <c r="G53" s="59" t="s">
        <v>591</v>
      </c>
      <c r="J53" s="145" t="s">
        <v>316</v>
      </c>
    </row>
    <row r="54" spans="2:10" x14ac:dyDescent="0.2">
      <c r="B54" s="39" t="s">
        <v>325</v>
      </c>
      <c r="C54" s="3">
        <v>29</v>
      </c>
      <c r="D54" s="3">
        <v>53</v>
      </c>
      <c r="E54" s="3" t="s">
        <v>715</v>
      </c>
      <c r="G54" s="59" t="s">
        <v>1293</v>
      </c>
      <c r="J54" s="145" t="s">
        <v>316</v>
      </c>
    </row>
    <row r="55" spans="2:10" x14ac:dyDescent="0.2">
      <c r="B55" s="39" t="s">
        <v>328</v>
      </c>
      <c r="C55" s="3">
        <v>16</v>
      </c>
      <c r="D55" s="3">
        <v>66</v>
      </c>
      <c r="E55" s="3" t="s">
        <v>883</v>
      </c>
      <c r="G55" s="59" t="s">
        <v>1294</v>
      </c>
      <c r="J55" s="145" t="s">
        <v>316</v>
      </c>
    </row>
    <row r="56" spans="2:10" x14ac:dyDescent="0.2">
      <c r="B56" s="39" t="s">
        <v>331</v>
      </c>
      <c r="C56" s="3">
        <v>40</v>
      </c>
      <c r="D56" s="3">
        <v>42</v>
      </c>
      <c r="E56" s="3" t="s">
        <v>722</v>
      </c>
      <c r="G56" s="59" t="s">
        <v>953</v>
      </c>
      <c r="J56" s="145" t="s">
        <v>316</v>
      </c>
    </row>
    <row r="57" spans="2:10" x14ac:dyDescent="0.2">
      <c r="B57" s="39" t="s">
        <v>334</v>
      </c>
      <c r="C57" s="3">
        <v>31</v>
      </c>
      <c r="D57" s="3">
        <v>51</v>
      </c>
      <c r="E57" s="3" t="s">
        <v>770</v>
      </c>
      <c r="G57" s="59" t="s">
        <v>953</v>
      </c>
      <c r="J57" s="145" t="s">
        <v>316</v>
      </c>
    </row>
    <row r="58" spans="2:10" x14ac:dyDescent="0.2">
      <c r="B58" s="39" t="s">
        <v>338</v>
      </c>
      <c r="C58" s="3">
        <v>26</v>
      </c>
      <c r="D58" s="3">
        <v>40</v>
      </c>
      <c r="E58" s="3" t="s">
        <v>770</v>
      </c>
      <c r="G58" s="59" t="s">
        <v>953</v>
      </c>
      <c r="J58" s="145" t="s">
        <v>316</v>
      </c>
    </row>
    <row r="59" spans="2:10" x14ac:dyDescent="0.2">
      <c r="B59" s="39" t="s">
        <v>340</v>
      </c>
      <c r="C59" s="3">
        <v>17</v>
      </c>
      <c r="D59" s="3">
        <v>65</v>
      </c>
      <c r="E59" s="3" t="s">
        <v>883</v>
      </c>
      <c r="G59" s="59" t="s">
        <v>1295</v>
      </c>
      <c r="J59" s="145" t="s">
        <v>316</v>
      </c>
    </row>
    <row r="60" spans="2:10" x14ac:dyDescent="0.2">
      <c r="B60" s="3" t="s">
        <v>342</v>
      </c>
      <c r="C60" s="3">
        <f>SUM(C50:C59)</f>
        <v>292</v>
      </c>
      <c r="D60" s="3">
        <f>SUM(D50:D59)</f>
        <v>494</v>
      </c>
      <c r="E60" s="41">
        <f>C60/(C60+D60)</f>
        <v>0.37150127226463103</v>
      </c>
    </row>
    <row r="61" spans="2:10" x14ac:dyDescent="0.2">
      <c r="B61" s="3"/>
      <c r="C61" s="3"/>
      <c r="D61" s="3"/>
      <c r="E61" s="41"/>
    </row>
  </sheetData>
  <hyperlinks>
    <hyperlink ref="B50" r:id="rId1" xr:uid="{21D461DD-2F1D-AC42-8945-A3FCD19C1374}"/>
    <hyperlink ref="B51" r:id="rId2" xr:uid="{5D5ADA16-78AB-B64E-BECA-5923E027BA56}"/>
    <hyperlink ref="B52" r:id="rId3" xr:uid="{8E0C3B5D-2F45-7249-80DB-2E219CF7505D}"/>
    <hyperlink ref="B53" r:id="rId4" xr:uid="{27202E1D-8674-3849-ABB8-BE55558FC8A3}"/>
    <hyperlink ref="B54" r:id="rId5" xr:uid="{9FD01070-6635-BC49-8F87-C5BA5A773EB5}"/>
    <hyperlink ref="B55" r:id="rId6" xr:uid="{D02D8CF2-312A-6843-BD9D-8AF5FC91B326}"/>
    <hyperlink ref="B56" r:id="rId7" xr:uid="{21A90CFD-8A63-E74F-8F0E-7223B5C33CE5}"/>
    <hyperlink ref="B57" r:id="rId8" xr:uid="{C536D7C1-B453-BA4E-9053-8CBB1965590A}"/>
    <hyperlink ref="B58" r:id="rId9" xr:uid="{50380767-2670-024B-BE69-6899539D1132}"/>
    <hyperlink ref="B59" r:id="rId10" xr:uid="{EA7B0F9E-34F6-AF47-A23A-DB60778A1502}"/>
  </hyperlinks>
  <pageMargins left="0.7" right="0.7" top="0.75" bottom="0.75" header="0.3" footer="0.3"/>
  <legacy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412B-16DD-9C46-8195-8F00E1398A65}">
  <dimension ref="A1:AP65"/>
  <sheetViews>
    <sheetView zoomScale="96" zoomScaleNormal="100" workbookViewId="0"/>
  </sheetViews>
  <sheetFormatPr baseColWidth="10" defaultColWidth="11" defaultRowHeight="16" x14ac:dyDescent="0.2"/>
  <cols>
    <col min="1" max="1" width="5.6640625" customWidth="1"/>
    <col min="2" max="2" width="23.33203125" customWidth="1"/>
    <col min="3" max="3" width="12.6640625" customWidth="1"/>
    <col min="7" max="7" width="11" bestFit="1" customWidth="1"/>
    <col min="8" max="8" width="6" customWidth="1"/>
    <col min="9" max="9" width="27" customWidth="1"/>
    <col min="10" max="10" width="11" customWidth="1"/>
    <col min="11" max="11" width="11.83203125" customWidth="1"/>
    <col min="12" max="12" width="5" customWidth="1"/>
    <col min="13" max="13" width="27.33203125" bestFit="1" customWidth="1"/>
    <col min="14" max="14" width="16.5" customWidth="1"/>
    <col min="15" max="15" width="97.6640625" customWidth="1"/>
    <col min="16" max="16" width="13.33203125" bestFit="1" customWidth="1"/>
    <col min="17" max="18" width="12.33203125" bestFit="1" customWidth="1"/>
    <col min="19" max="20" width="12.33203125" customWidth="1"/>
    <col min="21" max="21" width="12.83203125" customWidth="1"/>
    <col min="22" max="22" width="25.33203125" bestFit="1" customWidth="1"/>
    <col min="23" max="23" width="26.1640625" customWidth="1"/>
    <col min="24" max="24" width="9.83203125" customWidth="1"/>
    <col min="25" max="25" width="4" customWidth="1"/>
    <col min="26" max="26" width="8" customWidth="1"/>
    <col min="27" max="28" width="5.83203125" customWidth="1"/>
    <col min="29" max="29" width="7.5" customWidth="1"/>
    <col min="30" max="30" width="5.1640625" customWidth="1"/>
    <col min="31" max="31" width="4.83203125" customWidth="1"/>
    <col min="32" max="32" width="6.1640625" customWidth="1"/>
    <col min="33" max="33" width="7.83203125" customWidth="1"/>
    <col min="34" max="34" width="4.83203125" customWidth="1"/>
    <col min="35" max="35" width="5.1640625" customWidth="1"/>
    <col min="36" max="36" width="6.83203125" customWidth="1"/>
    <col min="37" max="37" width="6.1640625" customWidth="1"/>
    <col min="38" max="38" width="6" customWidth="1"/>
    <col min="39" max="39" width="5.33203125" customWidth="1"/>
    <col min="40" max="40" width="5" customWidth="1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2" x14ac:dyDescent="0.2">
      <c r="A2" s="107"/>
      <c r="B2" s="3" t="s">
        <v>1383</v>
      </c>
      <c r="C2" s="3" t="s">
        <v>234</v>
      </c>
      <c r="D2" s="105">
        <v>611</v>
      </c>
      <c r="E2" s="105">
        <v>75</v>
      </c>
      <c r="F2" s="106">
        <v>265</v>
      </c>
      <c r="G2" s="4">
        <v>34170</v>
      </c>
      <c r="H2" s="119">
        <f t="shared" ref="H2:H17" ca="1" si="0">ROUNDDOWN(YEARFRAC($G$20,G2),1)</f>
        <v>27.3</v>
      </c>
      <c r="I2" t="s">
        <v>1384</v>
      </c>
      <c r="J2" s="3">
        <v>8</v>
      </c>
      <c r="K2" s="107">
        <v>2013</v>
      </c>
      <c r="L2" s="107">
        <v>12</v>
      </c>
      <c r="M2" s="2" t="s">
        <v>2671</v>
      </c>
      <c r="N2" s="2" t="s">
        <v>734</v>
      </c>
      <c r="O2" s="2" t="s">
        <v>2652</v>
      </c>
      <c r="P2" s="11">
        <f>27528088*1.075</f>
        <v>29592694.599999998</v>
      </c>
      <c r="Q2" s="11">
        <v>17073171</v>
      </c>
      <c r="R2" s="11">
        <v>17926829</v>
      </c>
      <c r="S2" s="14">
        <f>R2*1.5</f>
        <v>26890243.5</v>
      </c>
      <c r="V2" t="s">
        <v>2653</v>
      </c>
      <c r="W2" s="132" t="s">
        <v>238</v>
      </c>
      <c r="X2" s="69">
        <v>5</v>
      </c>
      <c r="Y2" s="69">
        <v>58</v>
      </c>
      <c r="Z2" s="65">
        <f>37/58</f>
        <v>0.63793103448275867</v>
      </c>
      <c r="AA2" s="119">
        <v>111.5</v>
      </c>
      <c r="AB2" s="119">
        <v>107.1</v>
      </c>
      <c r="AC2" s="119">
        <f t="shared" ref="AC2:AC3" si="1">AA2-AB2</f>
        <v>4.4000000000000057</v>
      </c>
      <c r="AD2" s="119">
        <v>27</v>
      </c>
      <c r="AE2" s="119">
        <v>20.8</v>
      </c>
      <c r="AF2" s="65">
        <v>0.60499999999999998</v>
      </c>
      <c r="AG2" s="119">
        <v>17.2</v>
      </c>
      <c r="AH2" s="119">
        <v>3.7</v>
      </c>
      <c r="AI2" s="119">
        <v>2.5</v>
      </c>
      <c r="AJ2" s="65">
        <v>0.19</v>
      </c>
      <c r="AK2" s="119">
        <v>2.1</v>
      </c>
      <c r="AL2" s="119">
        <v>1.1000000000000001</v>
      </c>
      <c r="AM2" s="119">
        <v>2</v>
      </c>
      <c r="AN2" s="119">
        <v>13.7</v>
      </c>
    </row>
    <row r="3" spans="1:42" x14ac:dyDescent="0.2">
      <c r="A3" s="3">
        <v>14</v>
      </c>
      <c r="B3" s="3" t="s">
        <v>113</v>
      </c>
      <c r="C3" s="2" t="s">
        <v>241</v>
      </c>
      <c r="D3" s="105">
        <v>67</v>
      </c>
      <c r="E3" s="105">
        <v>73</v>
      </c>
      <c r="F3" s="106">
        <v>190</v>
      </c>
      <c r="G3" s="4">
        <v>35675</v>
      </c>
      <c r="H3" s="119">
        <f t="shared" ca="1" si="0"/>
        <v>23.2</v>
      </c>
      <c r="I3" t="s">
        <v>253</v>
      </c>
      <c r="J3" s="3">
        <v>5</v>
      </c>
      <c r="K3" s="107">
        <v>2016</v>
      </c>
      <c r="L3" s="107">
        <v>2</v>
      </c>
      <c r="M3" s="2" t="s">
        <v>1303</v>
      </c>
      <c r="N3" s="2" t="s">
        <v>1</v>
      </c>
      <c r="O3" t="s">
        <v>2673</v>
      </c>
      <c r="P3" s="11" t="e">
        <f>0.25*P24</f>
        <v>#REF!</v>
      </c>
      <c r="Q3" s="11" t="e">
        <f>P3+($P$3*0.08)</f>
        <v>#REF!</v>
      </c>
      <c r="R3" s="11" t="e">
        <f t="shared" ref="R3:T3" si="2">Q3+($P$3*0.08)</f>
        <v>#REF!</v>
      </c>
      <c r="S3" s="11" t="e">
        <f t="shared" si="2"/>
        <v>#REF!</v>
      </c>
      <c r="T3" s="11" t="e">
        <f t="shared" si="2"/>
        <v>#REF!</v>
      </c>
      <c r="U3" s="14"/>
      <c r="W3" t="s">
        <v>1308</v>
      </c>
      <c r="X3" s="107">
        <v>4</v>
      </c>
      <c r="Y3" s="107">
        <v>56</v>
      </c>
      <c r="Z3" s="41">
        <f>23/56</f>
        <v>0.4107142857142857</v>
      </c>
      <c r="AA3" s="110">
        <v>110.7</v>
      </c>
      <c r="AB3" s="110">
        <v>111.1</v>
      </c>
      <c r="AC3" s="110">
        <f t="shared" si="1"/>
        <v>-0.39999999999999147</v>
      </c>
      <c r="AD3" s="110">
        <v>34.299999999999997</v>
      </c>
      <c r="AE3" s="110">
        <v>19.2</v>
      </c>
      <c r="AF3" s="41">
        <v>0.59</v>
      </c>
      <c r="AG3" s="110">
        <v>28.2</v>
      </c>
      <c r="AH3" s="110">
        <v>3.2</v>
      </c>
      <c r="AI3" s="110">
        <v>1.7</v>
      </c>
      <c r="AJ3" s="41">
        <v>0.122</v>
      </c>
      <c r="AK3" s="110">
        <v>2.7</v>
      </c>
      <c r="AL3" s="110">
        <v>-0.3</v>
      </c>
      <c r="AM3" s="110">
        <v>2.1</v>
      </c>
      <c r="AN3" s="110">
        <v>13.2</v>
      </c>
    </row>
    <row r="4" spans="1:42" x14ac:dyDescent="0.2">
      <c r="A4" s="3"/>
      <c r="B4" s="3" t="s">
        <v>1218</v>
      </c>
      <c r="C4" s="59" t="s">
        <v>247</v>
      </c>
      <c r="D4" s="142">
        <v>61</v>
      </c>
      <c r="E4" s="142">
        <v>68</v>
      </c>
      <c r="F4" s="143">
        <v>214</v>
      </c>
      <c r="G4" s="4">
        <v>32851</v>
      </c>
      <c r="H4" s="119">
        <f t="shared" ca="1" si="0"/>
        <v>30.9</v>
      </c>
      <c r="I4" s="59" t="s">
        <v>266</v>
      </c>
      <c r="J4" s="3">
        <v>11</v>
      </c>
      <c r="K4" s="107">
        <v>2010</v>
      </c>
      <c r="L4" s="107">
        <v>18</v>
      </c>
      <c r="M4" s="3" t="s">
        <v>2672</v>
      </c>
      <c r="N4" s="3" t="s">
        <v>786</v>
      </c>
      <c r="O4" s="59" t="s">
        <v>2090</v>
      </c>
      <c r="P4" s="11">
        <v>16875000</v>
      </c>
      <c r="Q4" s="11">
        <v>18125000</v>
      </c>
      <c r="R4" s="15">
        <v>19375000</v>
      </c>
      <c r="S4" s="14">
        <f>R4*1.5</f>
        <v>29062500</v>
      </c>
      <c r="T4" s="3"/>
      <c r="U4" s="59"/>
      <c r="V4" s="59"/>
      <c r="W4" s="96" t="s">
        <v>284</v>
      </c>
      <c r="X4" s="69">
        <v>1</v>
      </c>
      <c r="Y4" s="69">
        <v>56</v>
      </c>
      <c r="Z4" s="65">
        <f>47/56</f>
        <v>0.8392857142857143</v>
      </c>
      <c r="AA4" s="119">
        <v>113</v>
      </c>
      <c r="AB4" s="119">
        <v>99.6</v>
      </c>
      <c r="AC4" s="119">
        <f t="shared" ref="AC4" si="3">AA4-AB4</f>
        <v>13.400000000000006</v>
      </c>
      <c r="AD4" s="119">
        <v>27.2</v>
      </c>
      <c r="AE4" s="119">
        <v>18.100000000000001</v>
      </c>
      <c r="AF4" s="65">
        <v>0.57899999999999996</v>
      </c>
      <c r="AG4" s="119">
        <v>24</v>
      </c>
      <c r="AH4" s="119">
        <v>2.4</v>
      </c>
      <c r="AI4" s="119">
        <v>2.9</v>
      </c>
      <c r="AJ4" s="65">
        <v>0.16800000000000001</v>
      </c>
      <c r="AK4" s="119">
        <v>1.1000000000000001</v>
      </c>
      <c r="AL4" s="119">
        <v>1.1000000000000001</v>
      </c>
      <c r="AM4" s="119">
        <v>1.6</v>
      </c>
      <c r="AN4" s="119">
        <v>12.8</v>
      </c>
      <c r="AO4" s="59"/>
    </row>
    <row r="5" spans="1:42" x14ac:dyDescent="0.2">
      <c r="A5" s="3">
        <v>4</v>
      </c>
      <c r="B5" s="3" t="s">
        <v>1297</v>
      </c>
      <c r="C5" s="2" t="s">
        <v>252</v>
      </c>
      <c r="D5" s="105">
        <v>63</v>
      </c>
      <c r="E5" s="105">
        <v>63</v>
      </c>
      <c r="F5" s="106">
        <v>200</v>
      </c>
      <c r="G5" s="4">
        <v>30857</v>
      </c>
      <c r="H5" s="119">
        <f t="shared" ca="1" si="0"/>
        <v>36.4</v>
      </c>
      <c r="I5" t="s">
        <v>253</v>
      </c>
      <c r="J5" s="3">
        <v>15</v>
      </c>
      <c r="K5" s="107">
        <v>2006</v>
      </c>
      <c r="L5" s="107">
        <v>11</v>
      </c>
      <c r="M5" s="2" t="s">
        <v>367</v>
      </c>
      <c r="N5" s="2" t="s">
        <v>279</v>
      </c>
      <c r="O5" t="s">
        <v>2191</v>
      </c>
      <c r="P5" s="11">
        <v>13013700</v>
      </c>
      <c r="Q5" s="14">
        <f>P5*1.3</f>
        <v>16917810</v>
      </c>
      <c r="R5" s="12"/>
      <c r="S5" s="12"/>
      <c r="T5" s="12"/>
      <c r="W5" t="s">
        <v>1298</v>
      </c>
      <c r="X5" s="107">
        <v>2</v>
      </c>
      <c r="Y5" s="107">
        <v>54</v>
      </c>
      <c r="Z5" s="41">
        <f>24/54</f>
        <v>0.44444444444444442</v>
      </c>
      <c r="AA5" s="110">
        <v>112.2</v>
      </c>
      <c r="AB5" s="110">
        <v>112.4</v>
      </c>
      <c r="AC5" s="110">
        <f t="shared" ref="AC5:AC14" si="4">AA5-AB5</f>
        <v>-0.20000000000000284</v>
      </c>
      <c r="AD5" s="110">
        <v>26.4</v>
      </c>
      <c r="AE5" s="110">
        <v>15.1</v>
      </c>
      <c r="AF5" s="41">
        <v>0.63900000000000001</v>
      </c>
      <c r="AG5" s="110">
        <v>19.899999999999999</v>
      </c>
      <c r="AH5" s="110">
        <v>3.2</v>
      </c>
      <c r="AI5" s="110">
        <v>0.6</v>
      </c>
      <c r="AJ5" s="41">
        <v>0.125</v>
      </c>
      <c r="AK5" s="110">
        <v>2</v>
      </c>
      <c r="AL5" s="110">
        <v>-1.6</v>
      </c>
      <c r="AM5" s="110">
        <v>0.9</v>
      </c>
      <c r="AN5" s="110">
        <v>9.6</v>
      </c>
    </row>
    <row r="6" spans="1:42" ht="17" x14ac:dyDescent="0.2">
      <c r="A6" s="3">
        <v>2</v>
      </c>
      <c r="B6" s="3" t="s">
        <v>1302</v>
      </c>
      <c r="C6" s="2" t="s">
        <v>230</v>
      </c>
      <c r="D6" s="105">
        <v>66</v>
      </c>
      <c r="E6" s="105">
        <v>69</v>
      </c>
      <c r="F6" s="106">
        <v>190</v>
      </c>
      <c r="G6" s="4">
        <v>35730</v>
      </c>
      <c r="H6" s="119">
        <f t="shared" ca="1" si="0"/>
        <v>23</v>
      </c>
      <c r="I6" t="s">
        <v>534</v>
      </c>
      <c r="J6" s="3">
        <v>4</v>
      </c>
      <c r="K6" s="107">
        <v>2017</v>
      </c>
      <c r="L6" s="107">
        <v>2</v>
      </c>
      <c r="M6" s="2" t="s">
        <v>1303</v>
      </c>
      <c r="N6" s="2" t="s">
        <v>1304</v>
      </c>
      <c r="O6" t="s">
        <v>2192</v>
      </c>
      <c r="P6" s="11">
        <v>11003782</v>
      </c>
      <c r="Q6" s="49">
        <f>P6*2.5</f>
        <v>27509455</v>
      </c>
      <c r="R6" s="12"/>
      <c r="S6" s="12"/>
      <c r="T6" s="35"/>
      <c r="W6" t="s">
        <v>1305</v>
      </c>
      <c r="X6" s="107">
        <v>1</v>
      </c>
      <c r="Y6" s="107">
        <v>56</v>
      </c>
      <c r="Z6" s="41">
        <f>24/56</f>
        <v>0.42857142857142855</v>
      </c>
      <c r="AA6" s="110">
        <v>110.2</v>
      </c>
      <c r="AB6" s="110">
        <v>109.7</v>
      </c>
      <c r="AC6" s="110">
        <f t="shared" si="4"/>
        <v>0.5</v>
      </c>
      <c r="AD6" s="110">
        <v>32.4</v>
      </c>
      <c r="AE6" s="110">
        <v>13.7</v>
      </c>
      <c r="AF6" s="41">
        <v>0.52900000000000003</v>
      </c>
      <c r="AG6" s="110">
        <v>18.600000000000001</v>
      </c>
      <c r="AH6" s="110">
        <v>0.7</v>
      </c>
      <c r="AI6" s="110">
        <v>1.9</v>
      </c>
      <c r="AJ6" s="41">
        <v>6.8000000000000005E-2</v>
      </c>
      <c r="AK6" s="110">
        <v>0.4</v>
      </c>
      <c r="AL6" s="110">
        <v>0.6</v>
      </c>
      <c r="AM6" s="110">
        <v>1.3</v>
      </c>
      <c r="AN6" s="110">
        <v>10.5</v>
      </c>
    </row>
    <row r="7" spans="1:42" ht="17" x14ac:dyDescent="0.2">
      <c r="A7" s="3">
        <v>1</v>
      </c>
      <c r="B7" s="3" t="s">
        <v>1299</v>
      </c>
      <c r="C7" s="2" t="s">
        <v>234</v>
      </c>
      <c r="D7" s="105">
        <v>66</v>
      </c>
      <c r="E7" s="105">
        <v>611</v>
      </c>
      <c r="F7" s="106">
        <v>284</v>
      </c>
      <c r="G7" s="4">
        <v>36713</v>
      </c>
      <c r="H7" s="119">
        <f t="shared" ca="1" si="0"/>
        <v>20.3</v>
      </c>
      <c r="I7" t="s">
        <v>253</v>
      </c>
      <c r="J7" s="3">
        <v>2</v>
      </c>
      <c r="K7" s="107">
        <v>2019</v>
      </c>
      <c r="L7" s="107">
        <v>1</v>
      </c>
      <c r="M7" s="2" t="s">
        <v>1300</v>
      </c>
      <c r="N7" s="2" t="s">
        <v>244</v>
      </c>
      <c r="O7" t="s">
        <v>2193</v>
      </c>
      <c r="P7" s="11">
        <v>10245480</v>
      </c>
      <c r="Q7" s="50">
        <v>10733400</v>
      </c>
      <c r="R7" s="50">
        <v>13534817</v>
      </c>
      <c r="S7" s="49">
        <f>R7*2.5</f>
        <v>33837042.5</v>
      </c>
      <c r="T7" s="35"/>
      <c r="W7" t="s">
        <v>1301</v>
      </c>
      <c r="X7" s="107">
        <v>4</v>
      </c>
      <c r="Y7" s="107">
        <v>19</v>
      </c>
      <c r="Z7" s="41">
        <f>10/19</f>
        <v>0.52631578947368418</v>
      </c>
      <c r="AA7" s="110">
        <v>113.5</v>
      </c>
      <c r="AB7" s="110">
        <v>103.1</v>
      </c>
      <c r="AC7" s="110">
        <f t="shared" si="4"/>
        <v>10.400000000000006</v>
      </c>
      <c r="AD7" s="110">
        <v>29.7</v>
      </c>
      <c r="AE7" s="110">
        <v>24.2</v>
      </c>
      <c r="AF7" s="41">
        <v>0.624</v>
      </c>
      <c r="AG7" s="110">
        <v>29.6</v>
      </c>
      <c r="AH7" s="110">
        <v>1.3</v>
      </c>
      <c r="AI7" s="110">
        <v>0.4</v>
      </c>
      <c r="AJ7" s="41">
        <v>0.14899999999999999</v>
      </c>
      <c r="AK7" s="110">
        <v>3.5</v>
      </c>
      <c r="AL7" s="110">
        <v>-1.1000000000000001</v>
      </c>
      <c r="AM7" s="110">
        <v>0.6</v>
      </c>
      <c r="AN7" s="110">
        <v>14.3</v>
      </c>
    </row>
    <row r="8" spans="1:42" ht="17" x14ac:dyDescent="0.2">
      <c r="A8" s="3">
        <v>10</v>
      </c>
      <c r="B8" s="3" t="s">
        <v>1310</v>
      </c>
      <c r="C8" s="2" t="s">
        <v>234</v>
      </c>
      <c r="D8" s="105">
        <v>611</v>
      </c>
      <c r="E8" s="105">
        <v>74</v>
      </c>
      <c r="F8" s="106">
        <v>220</v>
      </c>
      <c r="G8" s="4">
        <v>36669</v>
      </c>
      <c r="H8" s="119">
        <f t="shared" ca="1" si="0"/>
        <v>20.5</v>
      </c>
      <c r="I8" t="s">
        <v>406</v>
      </c>
      <c r="J8" s="3">
        <v>2</v>
      </c>
      <c r="K8" s="107">
        <v>2019</v>
      </c>
      <c r="L8" s="107">
        <v>8</v>
      </c>
      <c r="M8" s="2" t="s">
        <v>1311</v>
      </c>
      <c r="N8" s="2" t="s">
        <v>244</v>
      </c>
      <c r="O8" s="7" t="s">
        <v>2194</v>
      </c>
      <c r="P8" s="11">
        <v>5105160</v>
      </c>
      <c r="Q8" s="50">
        <v>5348280</v>
      </c>
      <c r="R8" s="50">
        <v>6803012</v>
      </c>
      <c r="S8" s="49">
        <f>R8*3</f>
        <v>20409036</v>
      </c>
      <c r="T8" s="26"/>
      <c r="U8" s="35"/>
      <c r="W8" s="132" t="s">
        <v>238</v>
      </c>
      <c r="X8" s="107">
        <v>5</v>
      </c>
      <c r="Y8" s="107">
        <v>56</v>
      </c>
      <c r="Z8" s="41">
        <f>26/56</f>
        <v>0.4642857142857143</v>
      </c>
      <c r="AA8" s="110">
        <v>107.7</v>
      </c>
      <c r="AB8" s="110">
        <v>109.8</v>
      </c>
      <c r="AC8" s="110">
        <f t="shared" si="4"/>
        <v>-2.0999999999999943</v>
      </c>
      <c r="AD8" s="110">
        <v>17</v>
      </c>
      <c r="AE8" s="110">
        <v>17.8</v>
      </c>
      <c r="AF8" s="41">
        <v>0.67500000000000004</v>
      </c>
      <c r="AG8" s="110">
        <v>15.1</v>
      </c>
      <c r="AH8" s="110">
        <v>2.5</v>
      </c>
      <c r="AI8" s="110">
        <v>1</v>
      </c>
      <c r="AJ8" s="41">
        <v>0.17599999999999999</v>
      </c>
      <c r="AK8" s="110">
        <v>-0.8</v>
      </c>
      <c r="AL8" s="110">
        <v>0.8</v>
      </c>
      <c r="AM8" s="110">
        <v>0.5</v>
      </c>
      <c r="AN8" s="110">
        <v>9.5</v>
      </c>
    </row>
    <row r="9" spans="1:42" x14ac:dyDescent="0.2">
      <c r="A9" s="3">
        <v>20</v>
      </c>
      <c r="B9" s="3" t="s">
        <v>1312</v>
      </c>
      <c r="C9" s="2" t="s">
        <v>234</v>
      </c>
      <c r="D9" s="105">
        <v>69</v>
      </c>
      <c r="E9" s="105"/>
      <c r="F9" s="106">
        <v>236</v>
      </c>
      <c r="G9" s="4">
        <v>33264</v>
      </c>
      <c r="H9" s="119">
        <f t="shared" ca="1" si="0"/>
        <v>29.8</v>
      </c>
      <c r="I9" t="s">
        <v>379</v>
      </c>
      <c r="J9" s="3">
        <v>2</v>
      </c>
      <c r="K9" s="107">
        <v>2013</v>
      </c>
      <c r="L9" s="107"/>
      <c r="M9" s="2" t="s">
        <v>386</v>
      </c>
      <c r="N9" s="2" t="s">
        <v>291</v>
      </c>
      <c r="O9" t="s">
        <v>2105</v>
      </c>
      <c r="P9" s="11">
        <v>3897436</v>
      </c>
      <c r="Q9" s="49">
        <f>P9*1.3</f>
        <v>5066666.8</v>
      </c>
      <c r="R9" s="154"/>
      <c r="S9" s="3"/>
      <c r="T9" s="3"/>
      <c r="W9" t="s">
        <v>1313</v>
      </c>
      <c r="X9" s="107">
        <v>5</v>
      </c>
      <c r="Y9" s="107">
        <v>52</v>
      </c>
      <c r="Z9" s="41">
        <f>24/52</f>
        <v>0.46153846153846156</v>
      </c>
      <c r="AA9" s="110">
        <v>105.3</v>
      </c>
      <c r="AB9" s="110">
        <v>110.8</v>
      </c>
      <c r="AC9" s="110">
        <f t="shared" si="4"/>
        <v>-5.5</v>
      </c>
      <c r="AD9" s="110">
        <v>17.100000000000001</v>
      </c>
      <c r="AE9" s="110">
        <v>12.3</v>
      </c>
      <c r="AF9" s="41">
        <v>0.58299999999999996</v>
      </c>
      <c r="AG9" s="110">
        <v>15.9</v>
      </c>
      <c r="AH9" s="110">
        <v>1</v>
      </c>
      <c r="AI9" s="110">
        <v>0.8</v>
      </c>
      <c r="AJ9" s="41">
        <v>9.5000000000000001E-2</v>
      </c>
      <c r="AK9" s="110">
        <v>-0.9</v>
      </c>
      <c r="AL9" s="110">
        <v>0.3</v>
      </c>
      <c r="AM9" s="110">
        <v>0.3</v>
      </c>
      <c r="AN9" s="110">
        <v>7.7</v>
      </c>
    </row>
    <row r="10" spans="1:42" x14ac:dyDescent="0.2">
      <c r="A10" s="3"/>
      <c r="B10" s="3" t="s">
        <v>2274</v>
      </c>
      <c r="C10" s="3" t="s">
        <v>247</v>
      </c>
      <c r="D10" s="105">
        <v>63</v>
      </c>
      <c r="E10" s="105">
        <v>65</v>
      </c>
      <c r="F10" s="106">
        <v>165</v>
      </c>
      <c r="G10" s="4">
        <v>36987</v>
      </c>
      <c r="H10" s="119">
        <f t="shared" ca="1" si="0"/>
        <v>19.600000000000001</v>
      </c>
      <c r="I10" t="s">
        <v>617</v>
      </c>
      <c r="J10" s="3">
        <v>1</v>
      </c>
      <c r="K10" s="107">
        <v>2020</v>
      </c>
      <c r="L10" s="107">
        <v>13</v>
      </c>
      <c r="M10" s="2" t="s">
        <v>2275</v>
      </c>
      <c r="N10" s="2" t="s">
        <v>244</v>
      </c>
      <c r="O10" t="s">
        <v>2276</v>
      </c>
      <c r="P10" s="11">
        <v>3640200</v>
      </c>
      <c r="Q10" s="11">
        <v>3822240</v>
      </c>
      <c r="R10" s="50">
        <v>4004280</v>
      </c>
      <c r="S10" s="50">
        <f>R10*1.429</f>
        <v>5722116.1200000001</v>
      </c>
      <c r="T10" s="49">
        <f>S10*3</f>
        <v>17166348.359999999</v>
      </c>
      <c r="U10" s="3"/>
      <c r="X10" s="134"/>
      <c r="Y10" s="134"/>
      <c r="Z10" s="124"/>
      <c r="AC10" s="110"/>
      <c r="AD10" s="110"/>
      <c r="AE10" s="110"/>
      <c r="AF10" s="41"/>
      <c r="AG10" s="110"/>
      <c r="AH10" s="110"/>
      <c r="AI10" s="110"/>
      <c r="AJ10" s="41"/>
      <c r="AK10" s="110"/>
      <c r="AL10" s="110"/>
      <c r="AM10" s="110"/>
      <c r="AN10" s="110"/>
    </row>
    <row r="11" spans="1:42" x14ac:dyDescent="0.2">
      <c r="A11" s="3">
        <v>3</v>
      </c>
      <c r="B11" s="3" t="s">
        <v>1318</v>
      </c>
      <c r="C11" s="2" t="s">
        <v>241</v>
      </c>
      <c r="D11" s="105">
        <v>65</v>
      </c>
      <c r="E11" s="105">
        <v>69</v>
      </c>
      <c r="F11" s="106">
        <v>215</v>
      </c>
      <c r="G11" s="4">
        <v>34764</v>
      </c>
      <c r="H11" s="119">
        <f t="shared" ca="1" si="0"/>
        <v>25.7</v>
      </c>
      <c r="I11" t="s">
        <v>559</v>
      </c>
      <c r="J11" s="3">
        <v>4</v>
      </c>
      <c r="K11" s="107">
        <v>2017</v>
      </c>
      <c r="L11" s="107">
        <v>30</v>
      </c>
      <c r="M11" s="2" t="s">
        <v>1303</v>
      </c>
      <c r="N11" s="2" t="s">
        <v>1304</v>
      </c>
      <c r="O11" t="s">
        <v>2195</v>
      </c>
      <c r="P11" s="11">
        <v>3491159</v>
      </c>
      <c r="Q11" s="49">
        <f>P11*3</f>
        <v>10473477</v>
      </c>
      <c r="R11" s="12"/>
      <c r="S11" s="12"/>
      <c r="T11" s="12"/>
      <c r="W11" t="s">
        <v>1319</v>
      </c>
      <c r="X11" s="107">
        <v>3</v>
      </c>
      <c r="Y11" s="107">
        <v>57</v>
      </c>
      <c r="Z11" s="41">
        <f>24/57</f>
        <v>0.42105263157894735</v>
      </c>
      <c r="AA11" s="110">
        <v>107.8</v>
      </c>
      <c r="AB11" s="110">
        <v>110.7</v>
      </c>
      <c r="AC11" s="110">
        <f t="shared" si="4"/>
        <v>-2.9000000000000057</v>
      </c>
      <c r="AD11" s="110">
        <v>27.4</v>
      </c>
      <c r="AE11" s="110">
        <v>11.7</v>
      </c>
      <c r="AF11" s="41">
        <v>0.55600000000000005</v>
      </c>
      <c r="AG11" s="110">
        <v>15.3</v>
      </c>
      <c r="AH11" s="110">
        <v>1</v>
      </c>
      <c r="AI11" s="110">
        <v>1.7</v>
      </c>
      <c r="AJ11" s="41">
        <v>8.3000000000000004E-2</v>
      </c>
      <c r="AK11" s="110">
        <v>-1.2</v>
      </c>
      <c r="AL11" s="110">
        <v>0.6</v>
      </c>
      <c r="AM11" s="110">
        <v>0.6</v>
      </c>
      <c r="AN11" s="110">
        <v>8.8000000000000007</v>
      </c>
    </row>
    <row r="12" spans="1:42" x14ac:dyDescent="0.2">
      <c r="A12" s="3">
        <v>0</v>
      </c>
      <c r="B12" s="3" t="s">
        <v>1314</v>
      </c>
      <c r="C12" s="2" t="s">
        <v>230</v>
      </c>
      <c r="D12" s="105">
        <v>65</v>
      </c>
      <c r="E12" s="105">
        <v>69</v>
      </c>
      <c r="F12" s="106">
        <v>205</v>
      </c>
      <c r="G12" s="4">
        <v>36040</v>
      </c>
      <c r="H12" s="119">
        <f t="shared" ca="1" si="0"/>
        <v>22.2</v>
      </c>
      <c r="I12" t="s">
        <v>1315</v>
      </c>
      <c r="J12" s="3">
        <v>2</v>
      </c>
      <c r="K12" s="107">
        <v>2019</v>
      </c>
      <c r="L12" s="107">
        <v>17</v>
      </c>
      <c r="M12" s="2" t="s">
        <v>1316</v>
      </c>
      <c r="N12" s="2" t="s">
        <v>244</v>
      </c>
      <c r="O12" s="7" t="s">
        <v>2044</v>
      </c>
      <c r="P12" s="11">
        <v>3113160</v>
      </c>
      <c r="Q12" s="50">
        <v>3261480</v>
      </c>
      <c r="R12" s="50">
        <v>5009633</v>
      </c>
      <c r="S12" s="49">
        <v>15028899</v>
      </c>
      <c r="T12" s="3"/>
      <c r="W12" t="s">
        <v>1317</v>
      </c>
      <c r="X12" s="107">
        <v>3</v>
      </c>
      <c r="Y12" s="107">
        <v>41</v>
      </c>
      <c r="Z12" s="41">
        <f>18/41</f>
        <v>0.43902439024390244</v>
      </c>
      <c r="AA12" s="110">
        <v>108.1</v>
      </c>
      <c r="AB12" s="110">
        <v>113.3</v>
      </c>
      <c r="AC12" s="110">
        <f t="shared" si="4"/>
        <v>-5.2000000000000028</v>
      </c>
      <c r="AD12" s="110">
        <v>12.2</v>
      </c>
      <c r="AE12" s="110">
        <v>7.6</v>
      </c>
      <c r="AF12" s="41">
        <v>0.441</v>
      </c>
      <c r="AG12" s="110">
        <v>22.8</v>
      </c>
      <c r="AH12" s="110">
        <v>-0.7</v>
      </c>
      <c r="AI12" s="110">
        <v>0.4</v>
      </c>
      <c r="AJ12" s="41">
        <v>-3.4000000000000002E-2</v>
      </c>
      <c r="AK12" s="110">
        <v>-3.5</v>
      </c>
      <c r="AL12" s="110">
        <v>-1.4</v>
      </c>
      <c r="AM12" s="110">
        <v>-0.4</v>
      </c>
      <c r="AN12" s="110">
        <v>6.2</v>
      </c>
    </row>
    <row r="13" spans="1:42" x14ac:dyDescent="0.2">
      <c r="A13" s="3"/>
      <c r="B13" s="3" t="s">
        <v>154</v>
      </c>
      <c r="C13" s="3" t="s">
        <v>234</v>
      </c>
      <c r="D13" s="105">
        <v>69</v>
      </c>
      <c r="E13" s="105">
        <v>71</v>
      </c>
      <c r="F13" s="106">
        <v>205</v>
      </c>
      <c r="G13" s="4">
        <v>35515</v>
      </c>
      <c r="H13" s="110">
        <f t="shared" ca="1" si="0"/>
        <v>23.6</v>
      </c>
      <c r="I13" s="3" t="s">
        <v>266</v>
      </c>
      <c r="J13" s="3">
        <v>3</v>
      </c>
      <c r="K13" s="3">
        <v>2018</v>
      </c>
      <c r="L13" s="3"/>
      <c r="M13" s="3" t="s">
        <v>2515</v>
      </c>
      <c r="N13" s="3" t="s">
        <v>276</v>
      </c>
      <c r="O13" s="27" t="s">
        <v>2638</v>
      </c>
      <c r="P13" s="175">
        <v>1620564</v>
      </c>
      <c r="Q13" s="265">
        <v>1701593</v>
      </c>
      <c r="R13" s="234"/>
      <c r="S13" s="3"/>
      <c r="T13" s="3"/>
      <c r="U13" s="3"/>
      <c r="V13" s="3"/>
      <c r="W13" s="3" t="s">
        <v>2470</v>
      </c>
      <c r="X13" s="107">
        <v>4</v>
      </c>
      <c r="Y13" s="107">
        <v>17</v>
      </c>
      <c r="Z13" s="41">
        <f>7/17</f>
        <v>0.41176470588235292</v>
      </c>
      <c r="AA13" s="110">
        <v>107.7</v>
      </c>
      <c r="AB13" s="110">
        <v>111.5</v>
      </c>
      <c r="AC13" s="110">
        <f t="shared" si="4"/>
        <v>-3.7999999999999972</v>
      </c>
      <c r="AD13" s="110">
        <v>8.8000000000000007</v>
      </c>
      <c r="AE13" s="110">
        <v>10.5</v>
      </c>
      <c r="AF13" s="41">
        <v>0.61399999999999999</v>
      </c>
      <c r="AG13" s="110">
        <v>12.6</v>
      </c>
      <c r="AH13" s="110">
        <v>0.1</v>
      </c>
      <c r="AI13" s="110">
        <v>0.1</v>
      </c>
      <c r="AJ13" s="41">
        <v>7.1999999999999995E-2</v>
      </c>
      <c r="AK13" s="110">
        <v>-3.7</v>
      </c>
      <c r="AL13" s="110">
        <v>-0.2</v>
      </c>
      <c r="AM13" s="110">
        <v>-0.1</v>
      </c>
      <c r="AN13" s="110">
        <v>4.9000000000000004</v>
      </c>
      <c r="AO13" s="3"/>
      <c r="AP13" s="3"/>
    </row>
    <row r="14" spans="1:42" x14ac:dyDescent="0.2">
      <c r="A14" s="3"/>
      <c r="B14" s="3" t="s">
        <v>19</v>
      </c>
      <c r="C14" s="3" t="s">
        <v>234</v>
      </c>
      <c r="D14" s="105">
        <v>611</v>
      </c>
      <c r="E14" s="105">
        <v>72</v>
      </c>
      <c r="F14" s="106">
        <v>250</v>
      </c>
      <c r="G14" s="4">
        <v>34481</v>
      </c>
      <c r="H14" s="110">
        <f t="shared" ca="1" si="0"/>
        <v>26.5</v>
      </c>
      <c r="I14" s="3" t="s">
        <v>492</v>
      </c>
      <c r="J14" s="3">
        <v>5</v>
      </c>
      <c r="K14" s="109">
        <v>2015</v>
      </c>
      <c r="L14" s="109">
        <v>35</v>
      </c>
      <c r="M14" s="3" t="s">
        <v>2585</v>
      </c>
      <c r="N14" s="3" t="s">
        <v>276</v>
      </c>
      <c r="O14" s="3" t="s">
        <v>2438</v>
      </c>
      <c r="P14" s="15">
        <v>1620564</v>
      </c>
      <c r="Q14" s="236"/>
      <c r="R14" s="12"/>
      <c r="S14" s="12"/>
      <c r="T14" s="12"/>
      <c r="U14" s="59"/>
      <c r="V14" s="59"/>
      <c r="W14" s="96" t="s">
        <v>238</v>
      </c>
      <c r="X14" s="69">
        <v>5</v>
      </c>
      <c r="Y14" s="69">
        <v>31</v>
      </c>
      <c r="Z14" s="65">
        <f>7/31</f>
        <v>0.22580645161290322</v>
      </c>
      <c r="AA14" s="119">
        <v>102.2</v>
      </c>
      <c r="AB14" s="119">
        <v>104.8</v>
      </c>
      <c r="AC14" s="119">
        <f t="shared" si="4"/>
        <v>-2.5999999999999943</v>
      </c>
      <c r="AD14" s="119">
        <v>23</v>
      </c>
      <c r="AE14" s="119">
        <v>19.2</v>
      </c>
      <c r="AF14" s="65">
        <v>0.57599999999999996</v>
      </c>
      <c r="AG14" s="119">
        <v>22.9</v>
      </c>
      <c r="AH14" s="119">
        <v>0.4</v>
      </c>
      <c r="AI14" s="119">
        <v>0.4</v>
      </c>
      <c r="AJ14" s="65">
        <v>0.107</v>
      </c>
      <c r="AK14" s="119">
        <v>0.6</v>
      </c>
      <c r="AL14" s="119">
        <v>-0.5</v>
      </c>
      <c r="AM14" s="119">
        <v>0.2</v>
      </c>
      <c r="AN14" s="119">
        <v>14.4</v>
      </c>
      <c r="AO14" s="59"/>
      <c r="AP14" s="59"/>
    </row>
    <row r="15" spans="1:42" x14ac:dyDescent="0.2">
      <c r="A15" s="3">
        <v>3</v>
      </c>
      <c r="B15" s="3" t="s">
        <v>1871</v>
      </c>
      <c r="C15" s="2"/>
      <c r="D15" s="105">
        <v>64</v>
      </c>
      <c r="E15" s="105"/>
      <c r="F15" s="106">
        <v>215</v>
      </c>
      <c r="G15" s="4">
        <v>34653</v>
      </c>
      <c r="H15" s="119">
        <f t="shared" ca="1" si="0"/>
        <v>26</v>
      </c>
      <c r="I15" t="s">
        <v>759</v>
      </c>
      <c r="J15" s="3">
        <v>4</v>
      </c>
      <c r="K15" s="107">
        <v>2017</v>
      </c>
      <c r="L15" s="107">
        <v>48</v>
      </c>
      <c r="M15" s="2" t="s">
        <v>2020</v>
      </c>
      <c r="N15" s="2" t="s">
        <v>276</v>
      </c>
      <c r="O15" t="s">
        <v>2438</v>
      </c>
      <c r="P15" s="16">
        <v>1620564</v>
      </c>
      <c r="Q15" s="236"/>
      <c r="R15" s="12"/>
      <c r="S15" s="12"/>
      <c r="T15" s="12"/>
      <c r="X15" s="107"/>
      <c r="Y15" s="107"/>
      <c r="Z15" s="41"/>
      <c r="AA15" s="110"/>
      <c r="AB15" s="110"/>
      <c r="AC15" s="110"/>
      <c r="AD15" s="110"/>
      <c r="AE15" s="110"/>
      <c r="AF15" s="41"/>
      <c r="AG15" s="110"/>
      <c r="AH15" s="110"/>
      <c r="AI15" s="110"/>
      <c r="AJ15" s="41"/>
      <c r="AK15" s="110"/>
      <c r="AL15" s="110"/>
      <c r="AM15" s="110"/>
      <c r="AN15" s="119"/>
      <c r="AO15" s="59"/>
      <c r="AP15" s="59"/>
    </row>
    <row r="16" spans="1:42" x14ac:dyDescent="0.2">
      <c r="A16" s="3"/>
      <c r="B16" s="3" t="s">
        <v>2737</v>
      </c>
      <c r="C16" s="2"/>
      <c r="D16" s="105">
        <v>610</v>
      </c>
      <c r="E16" s="105"/>
      <c r="F16" s="106">
        <v>234</v>
      </c>
      <c r="G16" s="4">
        <v>35956</v>
      </c>
      <c r="H16" s="119">
        <f t="shared" ca="1" si="0"/>
        <v>22.4</v>
      </c>
      <c r="I16" t="s">
        <v>2738</v>
      </c>
      <c r="J16" s="3">
        <v>1</v>
      </c>
      <c r="K16" s="107">
        <v>2018</v>
      </c>
      <c r="L16" s="107"/>
      <c r="M16" s="2" t="s">
        <v>2436</v>
      </c>
      <c r="N16" s="2" t="s">
        <v>288</v>
      </c>
      <c r="O16" t="s">
        <v>2516</v>
      </c>
      <c r="P16" s="16" t="s">
        <v>288</v>
      </c>
      <c r="Q16" s="52"/>
      <c r="R16" s="12"/>
      <c r="S16" s="12"/>
      <c r="T16" s="12"/>
      <c r="X16" s="107"/>
      <c r="Y16" s="107"/>
      <c r="Z16" s="41"/>
      <c r="AA16" s="110"/>
      <c r="AB16" s="110"/>
      <c r="AC16" s="110"/>
      <c r="AD16" s="110"/>
      <c r="AE16" s="110"/>
      <c r="AF16" s="41"/>
      <c r="AG16" s="110"/>
      <c r="AH16" s="110"/>
      <c r="AI16" s="110"/>
      <c r="AJ16" s="41"/>
      <c r="AK16" s="110"/>
      <c r="AL16" s="110"/>
      <c r="AM16" s="110"/>
      <c r="AN16" s="119"/>
      <c r="AO16" s="59"/>
      <c r="AP16" s="59"/>
    </row>
    <row r="17" spans="1:42" x14ac:dyDescent="0.2">
      <c r="A17" s="3"/>
      <c r="B17" s="3" t="s">
        <v>2664</v>
      </c>
      <c r="C17" s="2" t="s">
        <v>241</v>
      </c>
      <c r="D17" s="105">
        <v>67</v>
      </c>
      <c r="E17" s="105"/>
      <c r="F17" s="106">
        <v>220</v>
      </c>
      <c r="G17" s="4">
        <v>35819</v>
      </c>
      <c r="H17" s="119">
        <f t="shared" ca="1" si="0"/>
        <v>22.8</v>
      </c>
      <c r="I17" t="s">
        <v>985</v>
      </c>
      <c r="J17" s="3">
        <v>1</v>
      </c>
      <c r="K17" s="107">
        <v>2020</v>
      </c>
      <c r="L17" s="107"/>
      <c r="M17" s="2" t="s">
        <v>2436</v>
      </c>
      <c r="N17" s="2" t="s">
        <v>288</v>
      </c>
      <c r="O17" t="s">
        <v>2516</v>
      </c>
      <c r="P17" s="16" t="s">
        <v>288</v>
      </c>
      <c r="Q17" s="52"/>
      <c r="R17" s="12"/>
      <c r="S17" s="12"/>
      <c r="T17" s="12"/>
      <c r="X17" s="107"/>
      <c r="Y17" s="107"/>
      <c r="Z17" s="41"/>
      <c r="AA17" s="110"/>
      <c r="AB17" s="110"/>
      <c r="AC17" s="110"/>
      <c r="AD17" s="110"/>
      <c r="AE17" s="110"/>
      <c r="AF17" s="41"/>
      <c r="AG17" s="110"/>
      <c r="AH17" s="110"/>
      <c r="AI17" s="110"/>
      <c r="AJ17" s="41"/>
      <c r="AK17" s="110"/>
      <c r="AL17" s="110"/>
      <c r="AM17" s="110"/>
      <c r="AN17" s="119"/>
      <c r="AO17" s="59"/>
      <c r="AP17" s="59"/>
    </row>
    <row r="18" spans="1:42" x14ac:dyDescent="0.2">
      <c r="A18" s="3"/>
      <c r="B18" s="3" t="s">
        <v>290</v>
      </c>
      <c r="C18" s="2"/>
      <c r="D18" s="105"/>
      <c r="E18" s="105"/>
      <c r="F18" s="106"/>
      <c r="G18" s="4"/>
      <c r="H18" s="119"/>
      <c r="J18" s="2"/>
      <c r="K18" s="138"/>
      <c r="L18" s="138"/>
      <c r="M18" s="2"/>
      <c r="N18" s="2"/>
      <c r="P18" s="12"/>
      <c r="Q18" s="12"/>
      <c r="R18" s="12"/>
      <c r="S18" s="12"/>
      <c r="T18" s="12"/>
      <c r="X18" s="134"/>
      <c r="Y18" s="134"/>
      <c r="Z18" s="124"/>
    </row>
    <row r="19" spans="1:42" x14ac:dyDescent="0.2">
      <c r="A19" s="3"/>
      <c r="B19" s="3"/>
      <c r="C19" s="2"/>
      <c r="D19" s="105"/>
      <c r="E19" s="105"/>
      <c r="F19" s="106"/>
      <c r="G19" s="4"/>
      <c r="H19" s="119"/>
      <c r="J19" s="2"/>
      <c r="K19" s="138"/>
      <c r="L19" s="138"/>
      <c r="M19" s="2"/>
      <c r="N19" s="2"/>
      <c r="P19" s="12"/>
      <c r="Q19" s="12"/>
      <c r="R19" s="12"/>
      <c r="S19" s="12"/>
      <c r="T19" s="12"/>
      <c r="X19" s="134"/>
      <c r="Y19" s="134"/>
      <c r="Z19" s="124"/>
    </row>
    <row r="20" spans="1:42" x14ac:dyDescent="0.2">
      <c r="A20" s="3"/>
      <c r="B20" s="3"/>
      <c r="C20" s="3"/>
      <c r="D20" s="3"/>
      <c r="E20" s="3"/>
      <c r="F20" s="106"/>
      <c r="G20" s="62">
        <f ca="1">TODAY()</f>
        <v>44162</v>
      </c>
      <c r="H20" s="63">
        <f ca="1">AVERAGE(H2:H15)</f>
        <v>25.357142857142861</v>
      </c>
      <c r="J20" s="36">
        <f>AVERAGE(J2:J15)</f>
        <v>4.8571428571428568</v>
      </c>
      <c r="O20" s="7"/>
      <c r="P20" s="121"/>
      <c r="Z20" s="124"/>
    </row>
    <row r="21" spans="1:42" x14ac:dyDescent="0.2">
      <c r="A21" s="3"/>
      <c r="B21" s="3"/>
      <c r="C21" s="3"/>
      <c r="D21" s="3"/>
      <c r="E21" s="3"/>
      <c r="F21" s="106"/>
      <c r="H21" s="63">
        <f ca="1">MEDIAN(H2:H15)</f>
        <v>24.65</v>
      </c>
      <c r="J21" s="107">
        <f>MEDIAN(J2:J15)</f>
        <v>4</v>
      </c>
      <c r="O21" s="7"/>
      <c r="P21" s="156" t="e">
        <f>SUM(P2:P17)-P14+700000</f>
        <v>#REF!</v>
      </c>
      <c r="Q21" t="s">
        <v>2726</v>
      </c>
      <c r="Z21" s="124"/>
    </row>
    <row r="22" spans="1:42" x14ac:dyDescent="0.2">
      <c r="A22" s="3"/>
      <c r="B22" s="197" t="s">
        <v>1985</v>
      </c>
      <c r="C22" s="3"/>
      <c r="D22" s="3"/>
      <c r="E22" s="3"/>
      <c r="F22" s="106"/>
      <c r="J22" s="3"/>
      <c r="O22" s="139"/>
      <c r="P22" s="156" t="e">
        <f>SUM(P2:P17)</f>
        <v>#REF!</v>
      </c>
      <c r="Q22" t="s">
        <v>2725</v>
      </c>
      <c r="Z22" s="124"/>
    </row>
    <row r="23" spans="1:42" x14ac:dyDescent="0.2">
      <c r="B23" s="3" t="s">
        <v>1876</v>
      </c>
      <c r="C23" s="3">
        <v>13</v>
      </c>
      <c r="I23" s="3"/>
      <c r="J23" s="3"/>
    </row>
    <row r="24" spans="1:42" x14ac:dyDescent="0.2">
      <c r="B24" s="3" t="s">
        <v>2457</v>
      </c>
      <c r="C24" s="204">
        <v>1</v>
      </c>
      <c r="I24" s="3"/>
      <c r="J24" s="3"/>
      <c r="O24" s="3" t="s">
        <v>292</v>
      </c>
      <c r="P24" s="22" t="e">
        <f>#REF!</f>
        <v>#REF!</v>
      </c>
    </row>
    <row r="25" spans="1:42" x14ac:dyDescent="0.2">
      <c r="B25" s="3" t="s">
        <v>2539</v>
      </c>
      <c r="C25" s="204">
        <v>2</v>
      </c>
      <c r="D25" s="3"/>
      <c r="E25" s="3"/>
      <c r="I25" s="3"/>
      <c r="J25" s="204"/>
      <c r="O25" s="22" t="s">
        <v>294</v>
      </c>
      <c r="P25" s="22" t="e">
        <f>#REF!</f>
        <v>#REF!</v>
      </c>
    </row>
    <row r="26" spans="1:42" x14ac:dyDescent="0.2">
      <c r="B26" s="3" t="s">
        <v>495</v>
      </c>
      <c r="C26" s="22">
        <f>9258000</f>
        <v>9258000</v>
      </c>
      <c r="D26" s="3"/>
      <c r="E26" s="3"/>
      <c r="I26" s="3"/>
      <c r="J26" s="204"/>
      <c r="O26" s="22"/>
      <c r="P26" s="22"/>
    </row>
    <row r="27" spans="1:42" x14ac:dyDescent="0.2">
      <c r="B27" s="3" t="s">
        <v>514</v>
      </c>
      <c r="C27" s="22">
        <f>3623000</f>
        <v>3623000</v>
      </c>
      <c r="D27" s="3"/>
      <c r="E27" s="3"/>
      <c r="I27" s="3"/>
      <c r="J27" s="3"/>
    </row>
    <row r="28" spans="1:42" x14ac:dyDescent="0.2">
      <c r="B28" s="3" t="s">
        <v>293</v>
      </c>
      <c r="C28" s="22">
        <v>0</v>
      </c>
      <c r="D28" s="3"/>
      <c r="E28" s="3"/>
      <c r="I28" s="3"/>
      <c r="J28" s="3"/>
    </row>
    <row r="29" spans="1:42" x14ac:dyDescent="0.2">
      <c r="B29" s="3" t="s">
        <v>295</v>
      </c>
      <c r="C29" s="22">
        <v>0</v>
      </c>
      <c r="D29" s="3"/>
      <c r="E29" s="3"/>
      <c r="I29" s="3"/>
      <c r="J29" s="3"/>
    </row>
    <row r="30" spans="1:42" x14ac:dyDescent="0.2">
      <c r="B30" s="3"/>
      <c r="C30" s="3"/>
      <c r="D30" s="3"/>
      <c r="E30" s="3"/>
      <c r="I30" s="3"/>
      <c r="J30" s="22"/>
    </row>
    <row r="31" spans="1:42" x14ac:dyDescent="0.2">
      <c r="B31" s="5" t="s">
        <v>1875</v>
      </c>
      <c r="C31" s="3"/>
      <c r="D31" s="3"/>
      <c r="E31" s="3"/>
      <c r="I31" s="3"/>
      <c r="J31" s="22"/>
    </row>
    <row r="32" spans="1:42" x14ac:dyDescent="0.2">
      <c r="B32" s="3" t="s">
        <v>296</v>
      </c>
      <c r="C32" s="41">
        <f>30/(30+42)</f>
        <v>0.41666666666666669</v>
      </c>
      <c r="D32" s="3" t="s">
        <v>715</v>
      </c>
      <c r="E32" s="3"/>
    </row>
    <row r="33" spans="2:5" x14ac:dyDescent="0.2">
      <c r="B33" s="3" t="s">
        <v>298</v>
      </c>
      <c r="C33" s="110">
        <v>110.5</v>
      </c>
      <c r="D33" s="3" t="s">
        <v>1993</v>
      </c>
      <c r="E33" s="3"/>
    </row>
    <row r="34" spans="2:5" x14ac:dyDescent="0.2">
      <c r="B34" s="3" t="s">
        <v>299</v>
      </c>
      <c r="C34" s="110">
        <v>111.8</v>
      </c>
      <c r="D34" s="3" t="s">
        <v>2059</v>
      </c>
      <c r="E34" s="3"/>
    </row>
    <row r="35" spans="2:5" x14ac:dyDescent="0.2">
      <c r="B35" s="3" t="s">
        <v>300</v>
      </c>
      <c r="C35" s="110">
        <f>C33-C34</f>
        <v>-1.2999999999999972</v>
      </c>
      <c r="D35" s="3" t="s">
        <v>2010</v>
      </c>
      <c r="E35" s="3"/>
    </row>
    <row r="36" spans="2:5" x14ac:dyDescent="0.2">
      <c r="B36" s="3" t="s">
        <v>301</v>
      </c>
      <c r="C36" s="36">
        <v>103.89</v>
      </c>
      <c r="D36" s="3" t="s">
        <v>1953</v>
      </c>
      <c r="E36" s="3"/>
    </row>
    <row r="37" spans="2:5" x14ac:dyDescent="0.2">
      <c r="B37" s="3"/>
      <c r="C37" s="3"/>
      <c r="D37" s="3"/>
      <c r="E37" s="3"/>
    </row>
    <row r="38" spans="2:5" x14ac:dyDescent="0.2">
      <c r="B38" s="2" t="s">
        <v>302</v>
      </c>
      <c r="C38" s="3"/>
      <c r="D38" s="3"/>
      <c r="E38" s="3"/>
    </row>
    <row r="39" spans="2:5" x14ac:dyDescent="0.2">
      <c r="B39" s="2" t="s">
        <v>1327</v>
      </c>
      <c r="C39" s="3"/>
      <c r="D39" s="3"/>
      <c r="E39" s="3"/>
    </row>
    <row r="40" spans="2:5" x14ac:dyDescent="0.2">
      <c r="B40" s="2" t="s">
        <v>1328</v>
      </c>
      <c r="C40" s="3"/>
      <c r="D40" s="3"/>
      <c r="E40" s="3"/>
    </row>
    <row r="41" spans="2:5" x14ac:dyDescent="0.2">
      <c r="B41" s="2" t="s">
        <v>2096</v>
      </c>
      <c r="C41" s="3"/>
      <c r="D41" s="3"/>
      <c r="E41" s="3"/>
    </row>
    <row r="42" spans="2:5" x14ac:dyDescent="0.2">
      <c r="B42" s="2" t="s">
        <v>2097</v>
      </c>
      <c r="C42" s="3"/>
      <c r="D42" s="3"/>
      <c r="E42" s="3"/>
    </row>
    <row r="43" spans="2:5" x14ac:dyDescent="0.2">
      <c r="B43" s="2" t="s">
        <v>1329</v>
      </c>
      <c r="C43" s="3"/>
      <c r="D43" s="3"/>
      <c r="E43" s="3"/>
    </row>
    <row r="44" spans="2:5" x14ac:dyDescent="0.2">
      <c r="B44" s="2" t="s">
        <v>1331</v>
      </c>
      <c r="C44" s="3"/>
      <c r="D44" s="3"/>
      <c r="E44" s="3"/>
    </row>
    <row r="45" spans="2:5" x14ac:dyDescent="0.2">
      <c r="B45" s="2" t="s">
        <v>2207</v>
      </c>
      <c r="C45" s="3"/>
      <c r="D45" s="3"/>
      <c r="E45" s="3"/>
    </row>
    <row r="46" spans="2:5" x14ac:dyDescent="0.2">
      <c r="B46" s="2" t="s">
        <v>2208</v>
      </c>
      <c r="C46" s="3"/>
      <c r="D46" s="3"/>
      <c r="E46" s="3"/>
    </row>
    <row r="47" spans="2:5" x14ac:dyDescent="0.2">
      <c r="B47" s="2" t="s">
        <v>2209</v>
      </c>
      <c r="C47" s="3"/>
      <c r="D47" s="3"/>
      <c r="E47" s="3"/>
    </row>
    <row r="48" spans="2:5" x14ac:dyDescent="0.2">
      <c r="B48" s="2" t="s">
        <v>2210</v>
      </c>
      <c r="C48" s="3"/>
      <c r="D48" s="3"/>
      <c r="E48" s="3"/>
    </row>
    <row r="49" spans="2:9" x14ac:dyDescent="0.2">
      <c r="B49" s="10"/>
      <c r="C49" s="3"/>
      <c r="D49" s="3"/>
      <c r="E49" s="3"/>
    </row>
    <row r="50" spans="2:9" x14ac:dyDescent="0.2">
      <c r="B50" s="2" t="s">
        <v>310</v>
      </c>
      <c r="C50" s="3"/>
      <c r="D50" s="3"/>
      <c r="E50" s="3"/>
    </row>
    <row r="51" spans="2:9" x14ac:dyDescent="0.2">
      <c r="B51" s="2" t="s">
        <v>1332</v>
      </c>
      <c r="C51" s="3"/>
      <c r="D51" s="3"/>
      <c r="E51" s="3"/>
    </row>
    <row r="52" spans="2:9" x14ac:dyDescent="0.2">
      <c r="B52" s="2" t="s">
        <v>1333</v>
      </c>
      <c r="C52" s="3"/>
      <c r="D52" s="3"/>
      <c r="E52" s="3"/>
    </row>
    <row r="53" spans="2:9" x14ac:dyDescent="0.2">
      <c r="B53" s="2"/>
      <c r="C53" s="3"/>
      <c r="D53" s="3"/>
      <c r="E53" s="3"/>
    </row>
    <row r="54" spans="2:9" x14ac:dyDescent="0.2">
      <c r="B54" s="194" t="s">
        <v>1989</v>
      </c>
      <c r="C54" s="3"/>
      <c r="D54" s="3"/>
      <c r="E54" s="3"/>
    </row>
    <row r="55" spans="2:9" x14ac:dyDescent="0.2">
      <c r="B55" s="39" t="s">
        <v>314</v>
      </c>
      <c r="C55" s="3">
        <v>30</v>
      </c>
      <c r="D55" s="3">
        <v>42</v>
      </c>
      <c r="E55" s="3" t="s">
        <v>715</v>
      </c>
      <c r="G55" t="s">
        <v>1326</v>
      </c>
      <c r="I55" s="141" t="s">
        <v>316</v>
      </c>
    </row>
    <row r="56" spans="2:9" x14ac:dyDescent="0.2">
      <c r="B56" s="39" t="s">
        <v>317</v>
      </c>
      <c r="C56" s="3">
        <v>33</v>
      </c>
      <c r="D56" s="3">
        <v>49</v>
      </c>
      <c r="E56" s="3" t="s">
        <v>715</v>
      </c>
      <c r="G56" t="s">
        <v>1326</v>
      </c>
      <c r="I56" s="141" t="s">
        <v>316</v>
      </c>
    </row>
    <row r="57" spans="2:9" x14ac:dyDescent="0.2">
      <c r="B57" s="39" t="s">
        <v>319</v>
      </c>
      <c r="C57" s="3">
        <v>48</v>
      </c>
      <c r="D57" s="3">
        <v>34</v>
      </c>
      <c r="E57" s="41" t="s">
        <v>717</v>
      </c>
      <c r="G57" t="s">
        <v>1326</v>
      </c>
      <c r="I57" t="s">
        <v>1334</v>
      </c>
    </row>
    <row r="58" spans="2:9" x14ac:dyDescent="0.2">
      <c r="B58" s="39" t="s">
        <v>322</v>
      </c>
      <c r="C58" s="3">
        <v>34</v>
      </c>
      <c r="D58" s="3">
        <v>48</v>
      </c>
      <c r="E58" s="41" t="s">
        <v>722</v>
      </c>
      <c r="G58" t="s">
        <v>1326</v>
      </c>
      <c r="I58" s="141" t="s">
        <v>316</v>
      </c>
    </row>
    <row r="59" spans="2:9" x14ac:dyDescent="0.2">
      <c r="B59" s="37" t="s">
        <v>325</v>
      </c>
      <c r="C59" s="3">
        <v>30</v>
      </c>
      <c r="D59" s="3">
        <v>52</v>
      </c>
      <c r="E59" s="3" t="s">
        <v>770</v>
      </c>
      <c r="G59" t="s">
        <v>1326</v>
      </c>
      <c r="I59" s="141" t="s">
        <v>316</v>
      </c>
    </row>
    <row r="60" spans="2:9" x14ac:dyDescent="0.2">
      <c r="B60" s="37" t="s">
        <v>328</v>
      </c>
      <c r="C60" s="3">
        <v>45</v>
      </c>
      <c r="D60" s="3">
        <v>37</v>
      </c>
      <c r="E60" s="3" t="s">
        <v>720</v>
      </c>
      <c r="G60" t="s">
        <v>1335</v>
      </c>
      <c r="I60" t="s">
        <v>1336</v>
      </c>
    </row>
    <row r="61" spans="2:9" x14ac:dyDescent="0.2">
      <c r="B61" s="37" t="s">
        <v>331</v>
      </c>
      <c r="C61" s="3">
        <v>34</v>
      </c>
      <c r="D61" s="3">
        <v>48</v>
      </c>
      <c r="E61" s="3" t="s">
        <v>770</v>
      </c>
      <c r="G61" t="s">
        <v>1335</v>
      </c>
      <c r="I61" s="141" t="s">
        <v>316</v>
      </c>
    </row>
    <row r="62" spans="2:9" x14ac:dyDescent="0.2">
      <c r="B62" s="37" t="s">
        <v>334</v>
      </c>
      <c r="C62" s="3">
        <v>27</v>
      </c>
      <c r="D62" s="3">
        <v>55</v>
      </c>
      <c r="E62" s="3" t="s">
        <v>714</v>
      </c>
      <c r="G62" t="s">
        <v>1335</v>
      </c>
      <c r="I62" s="141" t="s">
        <v>316</v>
      </c>
    </row>
    <row r="63" spans="2:9" x14ac:dyDescent="0.2">
      <c r="B63" s="37" t="s">
        <v>338</v>
      </c>
      <c r="C63" s="3">
        <v>21</v>
      </c>
      <c r="D63" s="3">
        <v>45</v>
      </c>
      <c r="E63" s="3" t="s">
        <v>883</v>
      </c>
      <c r="G63" t="s">
        <v>1335</v>
      </c>
      <c r="I63" s="141" t="s">
        <v>316</v>
      </c>
    </row>
    <row r="64" spans="2:9" x14ac:dyDescent="0.2">
      <c r="B64" s="37" t="s">
        <v>340</v>
      </c>
      <c r="C64" s="3">
        <v>46</v>
      </c>
      <c r="D64" s="3">
        <v>36</v>
      </c>
      <c r="E64" s="3" t="s">
        <v>711</v>
      </c>
      <c r="G64" t="s">
        <v>1335</v>
      </c>
      <c r="I64" t="s">
        <v>1337</v>
      </c>
    </row>
    <row r="65" spans="2:5" x14ac:dyDescent="0.2">
      <c r="B65" t="s">
        <v>342</v>
      </c>
      <c r="C65" s="59">
        <f>SUM(C55:C64)</f>
        <v>348</v>
      </c>
      <c r="D65" s="59">
        <f>SUM(D55:D64)</f>
        <v>446</v>
      </c>
      <c r="E65" s="65">
        <f>C65/(C65+D65)</f>
        <v>0.43828715365239296</v>
      </c>
    </row>
  </sheetData>
  <hyperlinks>
    <hyperlink ref="B55" r:id="rId1" xr:uid="{56E17FBA-96C2-D842-803F-D2BAECA2F1F2}"/>
    <hyperlink ref="B56" r:id="rId2" xr:uid="{C4B2C15E-48DC-6C44-85DA-4094C5D0A0D6}"/>
    <hyperlink ref="B57" r:id="rId3" xr:uid="{680819EE-0634-3F43-BF80-151F53AD99E7}"/>
    <hyperlink ref="B58" r:id="rId4" xr:uid="{6105C03F-FBE7-D246-9762-C74E21A26D8F}"/>
    <hyperlink ref="B59" r:id="rId5" xr:uid="{89BF0A02-6328-4F4C-9BF6-2AFFE94B4FBD}"/>
    <hyperlink ref="B60" r:id="rId6" xr:uid="{5B8B6F6E-D3EF-6B48-AE6D-183B0735C404}"/>
    <hyperlink ref="B61" r:id="rId7" xr:uid="{7DDB0AC8-46DB-9649-AD3D-A93856BA5DE1}"/>
    <hyperlink ref="B62" r:id="rId8" xr:uid="{CE4B32F3-17E1-1946-8AEB-2C5785B01140}"/>
    <hyperlink ref="B63" r:id="rId9" xr:uid="{A336C446-1789-DB47-90E3-E2A550C8FB46}"/>
    <hyperlink ref="B64" r:id="rId10" xr:uid="{EA710FC5-2A53-2A4B-8BBB-3BF58B5748B4}"/>
  </hyperlinks>
  <pageMargins left="0.7" right="0.7" top="0.75" bottom="0.75" header="0.3" footer="0.3"/>
  <ignoredErrors>
    <ignoredError sqref="J20:J21" formulaRange="1"/>
  </ignoredErrors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2918-2769-DB49-A65C-9BB06DFCBEA6}">
  <dimension ref="A1:AQ64"/>
  <sheetViews>
    <sheetView zoomScaleNormal="100" workbookViewId="0"/>
  </sheetViews>
  <sheetFormatPr baseColWidth="10" defaultColWidth="10.83203125" defaultRowHeight="16" x14ac:dyDescent="0.2"/>
  <cols>
    <col min="1" max="1" width="4.83203125" style="3" customWidth="1"/>
    <col min="2" max="2" width="18.83203125" style="3" customWidth="1"/>
    <col min="3" max="3" width="11.33203125" style="3" customWidth="1"/>
    <col min="4" max="4" width="9.33203125" style="3" customWidth="1"/>
    <col min="5" max="5" width="9.5" style="3" customWidth="1"/>
    <col min="6" max="6" width="8" style="3" customWidth="1"/>
    <col min="7" max="7" width="11" style="3" customWidth="1"/>
    <col min="8" max="8" width="5.6640625" style="3" customWidth="1"/>
    <col min="9" max="9" width="22.83203125" style="3" customWidth="1"/>
    <col min="10" max="10" width="10.83203125" style="3" customWidth="1"/>
    <col min="11" max="11" width="11.6640625" style="3" customWidth="1"/>
    <col min="12" max="12" width="4.83203125" style="3" customWidth="1"/>
    <col min="13" max="13" width="34" style="3" customWidth="1"/>
    <col min="14" max="14" width="14.33203125" style="3" customWidth="1"/>
    <col min="15" max="15" width="83.83203125" style="3" customWidth="1"/>
    <col min="16" max="16" width="14" style="3" customWidth="1"/>
    <col min="17" max="17" width="12.33203125" style="3" customWidth="1"/>
    <col min="18" max="18" width="13.5" style="3" customWidth="1"/>
    <col min="19" max="19" width="12.33203125" style="3" customWidth="1"/>
    <col min="20" max="20" width="13.6640625" style="3" customWidth="1"/>
    <col min="21" max="21" width="12.83203125" style="3" bestFit="1" customWidth="1"/>
    <col min="22" max="22" width="12.83203125" style="3" customWidth="1"/>
    <col min="23" max="23" width="112.83203125" style="3" customWidth="1"/>
    <col min="24" max="24" width="26" style="3" customWidth="1"/>
    <col min="25" max="25" width="10" style="3" customWidth="1"/>
    <col min="26" max="26" width="3.33203125" style="3" customWidth="1"/>
    <col min="27" max="27" width="8.83203125" style="3" bestFit="1" customWidth="1"/>
    <col min="28" max="28" width="5.83203125" style="3" customWidth="1"/>
    <col min="29" max="29" width="5.6640625" style="3" customWidth="1"/>
    <col min="30" max="30" width="7.6640625" style="3" customWidth="1"/>
    <col min="31" max="32" width="5" style="3" customWidth="1"/>
    <col min="33" max="33" width="7.1640625" style="3" bestFit="1" customWidth="1"/>
    <col min="34" max="34" width="8.83203125" style="3" bestFit="1" customWidth="1"/>
    <col min="35" max="35" width="5" style="3" customWidth="1"/>
    <col min="36" max="36" width="5.1640625" style="3" customWidth="1"/>
    <col min="37" max="37" width="7" style="3" customWidth="1"/>
    <col min="38" max="38" width="5.83203125" style="3" customWidth="1"/>
    <col min="39" max="39" width="6" style="3" customWidth="1"/>
    <col min="40" max="40" width="5.5" style="3" customWidth="1"/>
    <col min="41" max="41" width="5.1640625" style="3" customWidth="1"/>
    <col min="42" max="16384" width="10.83203125" style="3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2441</v>
      </c>
      <c r="W1" s="169" t="s">
        <v>2146</v>
      </c>
      <c r="X1" s="169" t="s">
        <v>2147</v>
      </c>
      <c r="Y1" s="169" t="s">
        <v>2127</v>
      </c>
      <c r="Z1" s="169" t="s">
        <v>2148</v>
      </c>
      <c r="AA1" s="169" t="s">
        <v>2149</v>
      </c>
      <c r="AB1" s="169" t="s">
        <v>2150</v>
      </c>
      <c r="AC1" s="169" t="s">
        <v>2151</v>
      </c>
      <c r="AD1" s="169" t="s">
        <v>2152</v>
      </c>
      <c r="AE1" s="169" t="s">
        <v>2153</v>
      </c>
      <c r="AF1" s="169" t="s">
        <v>2154</v>
      </c>
      <c r="AG1" s="169" t="s">
        <v>2155</v>
      </c>
      <c r="AH1" s="169" t="s">
        <v>2156</v>
      </c>
      <c r="AI1" s="169" t="s">
        <v>2157</v>
      </c>
      <c r="AJ1" s="169" t="s">
        <v>2158</v>
      </c>
      <c r="AK1" s="169" t="s">
        <v>2159</v>
      </c>
      <c r="AL1" s="169" t="s">
        <v>2160</v>
      </c>
      <c r="AM1" s="169" t="s">
        <v>2161</v>
      </c>
      <c r="AN1" s="169" t="s">
        <v>2162</v>
      </c>
      <c r="AO1" s="169" t="s">
        <v>2163</v>
      </c>
    </row>
    <row r="2" spans="1:43" x14ac:dyDescent="0.2">
      <c r="A2" s="107">
        <v>8</v>
      </c>
      <c r="B2" s="24" t="s">
        <v>343</v>
      </c>
      <c r="C2" s="3" t="s">
        <v>2702</v>
      </c>
      <c r="D2" s="105">
        <v>60</v>
      </c>
      <c r="E2" s="105">
        <v>64</v>
      </c>
      <c r="F2" s="106">
        <v>184</v>
      </c>
      <c r="G2" s="4">
        <v>33001</v>
      </c>
      <c r="H2" s="110">
        <f t="shared" ref="H2:H18" ca="1" si="0">ROUNDDOWN(YEARFRAC($G$23,G2),1)</f>
        <v>30.5</v>
      </c>
      <c r="I2" s="3" t="s">
        <v>344</v>
      </c>
      <c r="J2" s="3">
        <v>10</v>
      </c>
      <c r="K2" s="109">
        <v>2011</v>
      </c>
      <c r="L2" s="109">
        <v>9</v>
      </c>
      <c r="M2" s="3" t="s">
        <v>345</v>
      </c>
      <c r="N2" s="3" t="s">
        <v>346</v>
      </c>
      <c r="O2" s="3" t="s">
        <v>1899</v>
      </c>
      <c r="P2" s="11">
        <v>34379100</v>
      </c>
      <c r="Q2" s="11">
        <v>36016200</v>
      </c>
      <c r="R2" s="42">
        <v>37653300</v>
      </c>
      <c r="S2" s="18">
        <v>48234375</v>
      </c>
      <c r="T2" s="13"/>
      <c r="W2" s="3" t="s">
        <v>347</v>
      </c>
      <c r="X2" s="5" t="s">
        <v>284</v>
      </c>
      <c r="Y2" s="107">
        <v>1</v>
      </c>
      <c r="Z2" s="107">
        <v>50</v>
      </c>
      <c r="AA2" s="41">
        <f>33/50</f>
        <v>0.66</v>
      </c>
      <c r="AB2" s="110">
        <v>116</v>
      </c>
      <c r="AC2" s="110">
        <v>108.5</v>
      </c>
      <c r="AD2" s="110">
        <f>AB2-AC2</f>
        <v>7.5</v>
      </c>
      <c r="AE2" s="110">
        <v>31.8</v>
      </c>
      <c r="AF2" s="110">
        <v>20.2</v>
      </c>
      <c r="AG2" s="41">
        <v>0.56899999999999995</v>
      </c>
      <c r="AH2" s="110">
        <v>27.8</v>
      </c>
      <c r="AI2" s="110">
        <v>3.5</v>
      </c>
      <c r="AJ2" s="110">
        <v>1.9</v>
      </c>
      <c r="AK2" s="41">
        <v>0.16300000000000001</v>
      </c>
      <c r="AL2" s="110">
        <v>5</v>
      </c>
      <c r="AM2" s="110">
        <v>-0.2</v>
      </c>
      <c r="AN2" s="110">
        <v>2.7</v>
      </c>
      <c r="AO2" s="110">
        <v>13.2</v>
      </c>
    </row>
    <row r="3" spans="1:43" x14ac:dyDescent="0.2">
      <c r="A3" s="107">
        <v>7</v>
      </c>
      <c r="B3" s="24" t="s">
        <v>192</v>
      </c>
      <c r="C3" s="3" t="s">
        <v>2701</v>
      </c>
      <c r="D3" s="105">
        <v>66</v>
      </c>
      <c r="E3" s="105">
        <v>70</v>
      </c>
      <c r="F3" s="106">
        <v>223</v>
      </c>
      <c r="G3" s="4">
        <v>35362</v>
      </c>
      <c r="H3" s="110">
        <f t="shared" ca="1" si="0"/>
        <v>24</v>
      </c>
      <c r="I3" s="3" t="s">
        <v>356</v>
      </c>
      <c r="J3" s="3">
        <v>5</v>
      </c>
      <c r="K3" s="109">
        <v>2016</v>
      </c>
      <c r="L3" s="109">
        <v>3</v>
      </c>
      <c r="M3" s="3" t="s">
        <v>357</v>
      </c>
      <c r="N3" s="3" t="s">
        <v>1</v>
      </c>
      <c r="O3" s="3" t="s">
        <v>1898</v>
      </c>
      <c r="P3" s="11">
        <v>23735119</v>
      </c>
      <c r="Q3" s="11">
        <v>25633929</v>
      </c>
      <c r="R3" s="11">
        <v>27532738</v>
      </c>
      <c r="S3" s="11">
        <v>29431548</v>
      </c>
      <c r="T3" s="18">
        <v>43411200</v>
      </c>
      <c r="W3" s="3" t="s">
        <v>1831</v>
      </c>
      <c r="X3" s="3" t="s">
        <v>358</v>
      </c>
      <c r="Y3" s="107">
        <v>2</v>
      </c>
      <c r="Z3" s="107">
        <v>50</v>
      </c>
      <c r="AA3" s="41">
        <f>33/50</f>
        <v>0.66</v>
      </c>
      <c r="AB3" s="110">
        <v>113.4</v>
      </c>
      <c r="AC3" s="110">
        <v>106.9</v>
      </c>
      <c r="AD3" s="110">
        <f t="shared" ref="AD3:AD18" si="1">AB3-AC3</f>
        <v>6.5</v>
      </c>
      <c r="AE3" s="110">
        <v>34</v>
      </c>
      <c r="AF3" s="110">
        <v>17.100000000000001</v>
      </c>
      <c r="AG3" s="41">
        <v>0.58899999999999997</v>
      </c>
      <c r="AH3" s="110">
        <v>24.7</v>
      </c>
      <c r="AI3" s="110">
        <v>2.1</v>
      </c>
      <c r="AJ3" s="110">
        <v>2.2999999999999998</v>
      </c>
      <c r="AK3" s="41">
        <v>0.126</v>
      </c>
      <c r="AL3" s="110">
        <v>1</v>
      </c>
      <c r="AM3" s="110">
        <v>-0.1</v>
      </c>
      <c r="AN3" s="110">
        <v>1.2</v>
      </c>
      <c r="AO3" s="110">
        <v>11.4</v>
      </c>
      <c r="AP3" s="45"/>
    </row>
    <row r="4" spans="1:43" x14ac:dyDescent="0.2">
      <c r="A4" s="107">
        <v>36</v>
      </c>
      <c r="B4" s="24" t="s">
        <v>193</v>
      </c>
      <c r="C4" s="3" t="s">
        <v>2697</v>
      </c>
      <c r="D4" s="105">
        <v>63</v>
      </c>
      <c r="E4" s="105">
        <v>69</v>
      </c>
      <c r="F4" s="106">
        <v>220</v>
      </c>
      <c r="G4" s="4">
        <v>34399</v>
      </c>
      <c r="H4" s="110">
        <f t="shared" ca="1" si="0"/>
        <v>26.7</v>
      </c>
      <c r="I4" s="3" t="s">
        <v>350</v>
      </c>
      <c r="J4" s="3">
        <v>7</v>
      </c>
      <c r="K4" s="109">
        <v>2014</v>
      </c>
      <c r="L4" s="109">
        <v>6</v>
      </c>
      <c r="M4" s="3" t="s">
        <v>351</v>
      </c>
      <c r="N4" s="3" t="s">
        <v>1</v>
      </c>
      <c r="O4" s="3" t="s">
        <v>1900</v>
      </c>
      <c r="P4" s="11">
        <v>13446428</v>
      </c>
      <c r="Q4" s="11">
        <v>14339285</v>
      </c>
      <c r="R4" s="18">
        <f>Q4*1.5</f>
        <v>21508927.5</v>
      </c>
      <c r="W4" s="3" t="s">
        <v>1829</v>
      </c>
      <c r="X4" s="3" t="s">
        <v>352</v>
      </c>
      <c r="Y4" s="107">
        <v>2</v>
      </c>
      <c r="Z4" s="107">
        <v>53</v>
      </c>
      <c r="AA4" s="41">
        <f>34/53</f>
        <v>0.64150943396226412</v>
      </c>
      <c r="AB4" s="110">
        <v>110.9</v>
      </c>
      <c r="AC4" s="110">
        <v>104.3</v>
      </c>
      <c r="AD4" s="110">
        <f t="shared" si="1"/>
        <v>6.6000000000000085</v>
      </c>
      <c r="AE4" s="110">
        <v>32.5</v>
      </c>
      <c r="AF4" s="110">
        <v>14</v>
      </c>
      <c r="AG4" s="41">
        <v>0.51900000000000002</v>
      </c>
      <c r="AH4" s="110">
        <v>19.3</v>
      </c>
      <c r="AI4" s="110">
        <v>0.7</v>
      </c>
      <c r="AJ4" s="110">
        <v>2.4</v>
      </c>
      <c r="AK4" s="41">
        <v>0.115</v>
      </c>
      <c r="AL4" s="110">
        <v>0.2</v>
      </c>
      <c r="AM4" s="110">
        <v>1.3</v>
      </c>
      <c r="AN4" s="110">
        <v>1.5</v>
      </c>
      <c r="AO4" s="110">
        <v>9.1999999999999993</v>
      </c>
    </row>
    <row r="5" spans="1:43" x14ac:dyDescent="0.2">
      <c r="A5" s="107">
        <v>0</v>
      </c>
      <c r="B5" s="24" t="s">
        <v>353</v>
      </c>
      <c r="C5" s="3" t="s">
        <v>2706</v>
      </c>
      <c r="D5" s="105">
        <v>68</v>
      </c>
      <c r="E5" s="105">
        <v>611</v>
      </c>
      <c r="F5" s="106">
        <v>210</v>
      </c>
      <c r="G5" s="4">
        <v>35857</v>
      </c>
      <c r="H5" s="110">
        <f t="shared" ca="1" si="0"/>
        <v>22.7</v>
      </c>
      <c r="I5" s="3" t="s">
        <v>253</v>
      </c>
      <c r="J5" s="3">
        <v>4</v>
      </c>
      <c r="K5" s="109">
        <v>2017</v>
      </c>
      <c r="L5" s="109">
        <v>3</v>
      </c>
      <c r="M5" s="3" t="s">
        <v>354</v>
      </c>
      <c r="N5" s="3" t="s">
        <v>244</v>
      </c>
      <c r="O5" s="3" t="s">
        <v>2584</v>
      </c>
      <c r="P5" s="11">
        <v>9897120</v>
      </c>
      <c r="Q5" s="57">
        <f>(109140000*1.03)*0.25</f>
        <v>28103550</v>
      </c>
      <c r="R5" s="57">
        <f>Q5+($Q$5*0.08)</f>
        <v>30351834</v>
      </c>
      <c r="S5" s="57">
        <f t="shared" ref="S5:U5" si="2">R5+($Q$5*0.08)</f>
        <v>32600118</v>
      </c>
      <c r="T5" s="57">
        <f t="shared" si="2"/>
        <v>34848402</v>
      </c>
      <c r="U5" s="55">
        <f t="shared" si="2"/>
        <v>37096686</v>
      </c>
      <c r="V5" s="51"/>
      <c r="W5" s="57" t="s">
        <v>2578</v>
      </c>
      <c r="X5" s="3" t="s">
        <v>355</v>
      </c>
      <c r="Y5" s="107">
        <v>4</v>
      </c>
      <c r="Z5" s="107">
        <v>59</v>
      </c>
      <c r="AA5" s="41">
        <f>41/59</f>
        <v>0.69491525423728817</v>
      </c>
      <c r="AB5" s="110">
        <v>113.8</v>
      </c>
      <c r="AC5" s="110">
        <v>103.5</v>
      </c>
      <c r="AD5" s="110">
        <f t="shared" si="1"/>
        <v>10.299999999999997</v>
      </c>
      <c r="AE5" s="110">
        <v>34.6</v>
      </c>
      <c r="AF5" s="110">
        <v>20.3</v>
      </c>
      <c r="AG5" s="41">
        <v>0.56200000000000006</v>
      </c>
      <c r="AH5" s="110">
        <v>28.6</v>
      </c>
      <c r="AI5" s="110">
        <v>2.9</v>
      </c>
      <c r="AJ5" s="110">
        <v>3.4</v>
      </c>
      <c r="AK5" s="41">
        <v>0.14699999999999999</v>
      </c>
      <c r="AL5" s="110">
        <v>3.3</v>
      </c>
      <c r="AM5" s="110">
        <v>0.6</v>
      </c>
      <c r="AN5" s="110">
        <v>3</v>
      </c>
      <c r="AO5" s="110">
        <v>14.3</v>
      </c>
    </row>
    <row r="6" spans="1:43" x14ac:dyDescent="0.2">
      <c r="A6" s="3">
        <v>13</v>
      </c>
      <c r="B6" s="3" t="s">
        <v>28</v>
      </c>
      <c r="C6" s="3" t="s">
        <v>2703</v>
      </c>
      <c r="D6" s="105">
        <v>69</v>
      </c>
      <c r="E6" s="105">
        <v>71</v>
      </c>
      <c r="F6" s="106">
        <v>254</v>
      </c>
      <c r="G6" s="4">
        <v>33300</v>
      </c>
      <c r="H6" s="110">
        <f t="shared" ca="1" si="0"/>
        <v>29.7</v>
      </c>
      <c r="I6" s="3" t="s">
        <v>406</v>
      </c>
      <c r="J6" s="3">
        <v>10</v>
      </c>
      <c r="K6" s="109">
        <v>2011</v>
      </c>
      <c r="L6" s="109">
        <v>4</v>
      </c>
      <c r="M6" s="3" t="s">
        <v>2574</v>
      </c>
      <c r="N6" s="3" t="s">
        <v>495</v>
      </c>
      <c r="O6" s="3" t="s">
        <v>2454</v>
      </c>
      <c r="P6" s="11">
        <f>9258000</f>
        <v>9258000</v>
      </c>
      <c r="Q6" s="11">
        <f>P6*1.05</f>
        <v>9720900</v>
      </c>
      <c r="R6" s="14">
        <f>Q6*1.3</f>
        <v>12637170</v>
      </c>
      <c r="U6" s="59"/>
      <c r="V6" s="59"/>
      <c r="W6" s="59"/>
      <c r="X6" s="122" t="s">
        <v>601</v>
      </c>
      <c r="Y6" s="69">
        <v>5</v>
      </c>
      <c r="Z6" s="69">
        <v>57</v>
      </c>
      <c r="AA6" s="65">
        <f>19/57</f>
        <v>0.33333333333333331</v>
      </c>
      <c r="AB6" s="119">
        <v>105</v>
      </c>
      <c r="AC6" s="119">
        <v>115.2</v>
      </c>
      <c r="AD6" s="119">
        <f t="shared" si="1"/>
        <v>-10.200000000000003</v>
      </c>
      <c r="AE6" s="119">
        <v>30.2</v>
      </c>
      <c r="AF6" s="119">
        <v>16.8</v>
      </c>
      <c r="AG6" s="65">
        <v>0.54</v>
      </c>
      <c r="AH6" s="119">
        <v>18.3</v>
      </c>
      <c r="AI6" s="119">
        <v>2</v>
      </c>
      <c r="AJ6" s="119">
        <v>1.1000000000000001</v>
      </c>
      <c r="AK6" s="65">
        <v>8.5000000000000006E-2</v>
      </c>
      <c r="AL6" s="119">
        <v>-0.2</v>
      </c>
      <c r="AM6" s="119">
        <v>-1.3</v>
      </c>
      <c r="AN6" s="119">
        <v>0.2</v>
      </c>
      <c r="AO6" s="119">
        <v>10.8</v>
      </c>
      <c r="AP6" s="59"/>
      <c r="AQ6" s="59"/>
    </row>
    <row r="7" spans="1:43" x14ac:dyDescent="0.2">
      <c r="A7" s="107">
        <v>27</v>
      </c>
      <c r="B7" s="24" t="s">
        <v>9</v>
      </c>
      <c r="C7" s="3" t="s">
        <v>2698</v>
      </c>
      <c r="D7" s="105">
        <v>68</v>
      </c>
      <c r="E7" s="105">
        <v>611</v>
      </c>
      <c r="F7" s="106">
        <v>245</v>
      </c>
      <c r="G7" s="4">
        <v>33698</v>
      </c>
      <c r="H7" s="110">
        <f t="shared" ca="1" si="0"/>
        <v>28.6</v>
      </c>
      <c r="I7" s="3" t="s">
        <v>359</v>
      </c>
      <c r="J7" s="3">
        <v>4</v>
      </c>
      <c r="K7" s="109">
        <v>2013</v>
      </c>
      <c r="L7" s="108"/>
      <c r="M7" s="3" t="s">
        <v>360</v>
      </c>
      <c r="N7" s="3" t="s">
        <v>5</v>
      </c>
      <c r="O7" s="3" t="s">
        <v>1882</v>
      </c>
      <c r="P7" s="19">
        <v>5000000</v>
      </c>
      <c r="Q7" s="18">
        <f>P7*1.9</f>
        <v>9500000</v>
      </c>
      <c r="X7" s="5" t="s">
        <v>238</v>
      </c>
      <c r="Y7" s="107">
        <v>5</v>
      </c>
      <c r="Z7" s="107">
        <v>58</v>
      </c>
      <c r="AA7" s="41">
        <f>37/58</f>
        <v>0.63793103448275867</v>
      </c>
      <c r="AB7" s="110">
        <v>111.8</v>
      </c>
      <c r="AC7" s="110">
        <v>104.1</v>
      </c>
      <c r="AD7" s="110">
        <f t="shared" si="1"/>
        <v>7.7000000000000028</v>
      </c>
      <c r="AE7" s="110">
        <v>23.8</v>
      </c>
      <c r="AF7" s="110">
        <v>18.2</v>
      </c>
      <c r="AG7" s="41">
        <v>0.629</v>
      </c>
      <c r="AH7" s="110">
        <v>14.7</v>
      </c>
      <c r="AI7" s="110">
        <v>3.6</v>
      </c>
      <c r="AJ7" s="110">
        <v>2.2999999999999998</v>
      </c>
      <c r="AK7" s="41">
        <v>0.20499999999999999</v>
      </c>
      <c r="AL7" s="110">
        <v>0.4</v>
      </c>
      <c r="AM7" s="110">
        <v>1.8</v>
      </c>
      <c r="AN7" s="110">
        <v>1.5</v>
      </c>
      <c r="AO7" s="110">
        <v>10.7</v>
      </c>
    </row>
    <row r="8" spans="1:43" x14ac:dyDescent="0.2">
      <c r="A8" s="107">
        <v>45</v>
      </c>
      <c r="B8" s="24" t="s">
        <v>361</v>
      </c>
      <c r="C8" s="3" t="s">
        <v>2707</v>
      </c>
      <c r="D8" s="105">
        <v>64</v>
      </c>
      <c r="E8" s="105">
        <v>611</v>
      </c>
      <c r="F8" s="106">
        <v>216</v>
      </c>
      <c r="G8" s="4">
        <v>36458</v>
      </c>
      <c r="H8" s="110">
        <f t="shared" ca="1" si="0"/>
        <v>21</v>
      </c>
      <c r="I8" s="3" t="s">
        <v>362</v>
      </c>
      <c r="J8" s="3">
        <v>2</v>
      </c>
      <c r="K8" s="109">
        <v>2019</v>
      </c>
      <c r="L8" s="109">
        <v>14</v>
      </c>
      <c r="M8" s="3" t="s">
        <v>363</v>
      </c>
      <c r="N8" s="3" t="s">
        <v>244</v>
      </c>
      <c r="O8" s="3" t="s">
        <v>1901</v>
      </c>
      <c r="P8" s="11">
        <v>3631200</v>
      </c>
      <c r="Q8" s="31">
        <v>3804360</v>
      </c>
      <c r="R8" s="31">
        <v>5634257</v>
      </c>
      <c r="S8" s="32">
        <f>R8*3</f>
        <v>16902771</v>
      </c>
      <c r="X8" s="3" t="s">
        <v>364</v>
      </c>
      <c r="Y8" s="107">
        <v>2</v>
      </c>
      <c r="Z8" s="107">
        <v>27</v>
      </c>
      <c r="AA8" s="41">
        <f>19/27</f>
        <v>0.70370370370370372</v>
      </c>
      <c r="AB8" s="110">
        <v>110.5</v>
      </c>
      <c r="AC8" s="110">
        <v>102.1</v>
      </c>
      <c r="AD8" s="110">
        <f t="shared" si="1"/>
        <v>8.4000000000000057</v>
      </c>
      <c r="AE8" s="110">
        <v>11</v>
      </c>
      <c r="AF8" s="110">
        <v>6</v>
      </c>
      <c r="AG8" s="41">
        <v>0.46500000000000002</v>
      </c>
      <c r="AH8" s="110">
        <v>11.9</v>
      </c>
      <c r="AI8" s="110">
        <v>-0.1</v>
      </c>
      <c r="AJ8" s="110">
        <v>0.3</v>
      </c>
      <c r="AK8" s="41">
        <v>3.9E-2</v>
      </c>
      <c r="AL8" s="110">
        <v>-4.5</v>
      </c>
      <c r="AM8" s="110">
        <v>-0.1</v>
      </c>
      <c r="AN8" s="110">
        <v>-0.2</v>
      </c>
      <c r="AO8" s="110">
        <v>2.2999999999999998</v>
      </c>
    </row>
    <row r="9" spans="1:43" x14ac:dyDescent="0.2">
      <c r="A9" s="3">
        <v>26</v>
      </c>
      <c r="B9" s="3" t="s">
        <v>2278</v>
      </c>
      <c r="C9" s="3" t="s">
        <v>2705</v>
      </c>
      <c r="D9" s="105">
        <v>66</v>
      </c>
      <c r="E9" s="105">
        <v>610</v>
      </c>
      <c r="F9" s="106">
        <v>213</v>
      </c>
      <c r="G9" s="4">
        <v>36449</v>
      </c>
      <c r="H9" s="110">
        <f t="shared" ca="1" si="0"/>
        <v>21.1</v>
      </c>
      <c r="I9" s="3" t="s">
        <v>566</v>
      </c>
      <c r="J9" s="107">
        <v>1</v>
      </c>
      <c r="K9" s="109">
        <v>2020</v>
      </c>
      <c r="L9" s="109">
        <v>14</v>
      </c>
      <c r="M9" s="16" t="s">
        <v>2277</v>
      </c>
      <c r="N9" s="19" t="s">
        <v>244</v>
      </c>
      <c r="O9" s="19" t="s">
        <v>2276</v>
      </c>
      <c r="P9" s="11">
        <v>3458400</v>
      </c>
      <c r="Q9" s="11">
        <v>3631200</v>
      </c>
      <c r="R9" s="50">
        <v>3804360</v>
      </c>
      <c r="S9" s="50">
        <f>R9*1.481</f>
        <v>5634257.1600000001</v>
      </c>
      <c r="T9" s="49">
        <f>S9*3</f>
        <v>16902771.48</v>
      </c>
      <c r="AE9" s="110"/>
      <c r="AF9" s="110"/>
      <c r="AG9" s="41"/>
      <c r="AH9" s="110"/>
      <c r="AI9" s="110"/>
      <c r="AJ9" s="110"/>
      <c r="AK9" s="41"/>
      <c r="AL9" s="110"/>
      <c r="AM9" s="110"/>
      <c r="AN9" s="110"/>
      <c r="AO9" s="110"/>
    </row>
    <row r="10" spans="1:43" x14ac:dyDescent="0.2">
      <c r="A10" s="107">
        <v>12</v>
      </c>
      <c r="B10" s="24" t="s">
        <v>368</v>
      </c>
      <c r="C10" s="3" t="s">
        <v>2696</v>
      </c>
      <c r="D10" s="105">
        <v>66</v>
      </c>
      <c r="E10" s="105">
        <v>610</v>
      </c>
      <c r="F10" s="106">
        <v>236</v>
      </c>
      <c r="G10" s="4">
        <v>36129</v>
      </c>
      <c r="H10" s="110">
        <f t="shared" ca="1" si="0"/>
        <v>21.9</v>
      </c>
      <c r="I10" s="3" t="s">
        <v>369</v>
      </c>
      <c r="J10" s="3">
        <v>2</v>
      </c>
      <c r="K10" s="109">
        <v>2019</v>
      </c>
      <c r="L10" s="109">
        <v>22</v>
      </c>
      <c r="M10" s="3" t="s">
        <v>370</v>
      </c>
      <c r="N10" s="3" t="s">
        <v>244</v>
      </c>
      <c r="O10" s="3" t="s">
        <v>1903</v>
      </c>
      <c r="P10" s="11">
        <v>2498760</v>
      </c>
      <c r="Q10" s="31">
        <v>2617800</v>
      </c>
      <c r="R10" s="31">
        <v>4306281</v>
      </c>
      <c r="S10" s="32">
        <f>R10*3</f>
        <v>12918843</v>
      </c>
      <c r="X10" s="3" t="s">
        <v>371</v>
      </c>
      <c r="Y10" s="107">
        <v>4</v>
      </c>
      <c r="Z10" s="107">
        <v>62</v>
      </c>
      <c r="AA10" s="41">
        <f>43/62</f>
        <v>0.69354838709677424</v>
      </c>
      <c r="AB10" s="110">
        <v>109.8</v>
      </c>
      <c r="AC10" s="110">
        <v>102.4</v>
      </c>
      <c r="AD10" s="110">
        <f t="shared" si="1"/>
        <v>7.3999999999999915</v>
      </c>
      <c r="AE10" s="110">
        <v>15.6</v>
      </c>
      <c r="AF10" s="110">
        <v>8</v>
      </c>
      <c r="AG10" s="41">
        <v>0.50800000000000001</v>
      </c>
      <c r="AH10" s="110">
        <v>11.5</v>
      </c>
      <c r="AI10" s="110">
        <v>0.2</v>
      </c>
      <c r="AJ10" s="110">
        <v>1.3</v>
      </c>
      <c r="AK10" s="41">
        <v>7.4999999999999997E-2</v>
      </c>
      <c r="AL10" s="110">
        <v>-4</v>
      </c>
      <c r="AM10" s="110">
        <v>1.4</v>
      </c>
      <c r="AN10" s="110">
        <v>-0.1</v>
      </c>
      <c r="AO10" s="110">
        <v>3.9</v>
      </c>
    </row>
    <row r="11" spans="1:43" x14ac:dyDescent="0.2">
      <c r="A11" s="3">
        <v>11</v>
      </c>
      <c r="B11" s="3" t="s">
        <v>2312</v>
      </c>
      <c r="C11" s="3" t="s">
        <v>2704</v>
      </c>
      <c r="D11" s="105">
        <v>62</v>
      </c>
      <c r="E11" s="105">
        <v>65</v>
      </c>
      <c r="F11" s="106">
        <v>190</v>
      </c>
      <c r="G11" s="4">
        <v>35823</v>
      </c>
      <c r="H11" s="3">
        <f t="shared" ca="1" si="0"/>
        <v>22.8</v>
      </c>
      <c r="I11" s="3" t="s">
        <v>763</v>
      </c>
      <c r="J11" s="3">
        <v>1</v>
      </c>
      <c r="K11" s="54">
        <v>2020</v>
      </c>
      <c r="L11" s="109">
        <v>26</v>
      </c>
      <c r="M11" s="16" t="s">
        <v>2313</v>
      </c>
      <c r="N11" s="19" t="s">
        <v>244</v>
      </c>
      <c r="O11" s="19" t="s">
        <v>2314</v>
      </c>
      <c r="P11" s="11">
        <v>2035800</v>
      </c>
      <c r="Q11" s="11">
        <v>2137440</v>
      </c>
      <c r="R11" s="50">
        <v>2239200</v>
      </c>
      <c r="S11" s="50">
        <v>4037278</v>
      </c>
      <c r="T11" s="49">
        <f>S11*3</f>
        <v>12111834</v>
      </c>
      <c r="AA11" s="41"/>
      <c r="AB11" s="110"/>
      <c r="AC11" s="110"/>
      <c r="AD11" s="110"/>
      <c r="AE11" s="110"/>
      <c r="AF11" s="110"/>
      <c r="AG11" s="41"/>
      <c r="AH11" s="110"/>
      <c r="AI11" s="110"/>
      <c r="AJ11" s="110"/>
      <c r="AK11" s="41"/>
      <c r="AL11" s="110"/>
      <c r="AM11" s="110"/>
      <c r="AN11" s="110"/>
      <c r="AO11" s="110"/>
    </row>
    <row r="12" spans="1:43" x14ac:dyDescent="0.2">
      <c r="A12" s="107">
        <v>44</v>
      </c>
      <c r="B12" s="24" t="s">
        <v>372</v>
      </c>
      <c r="C12" s="3" t="s">
        <v>2710</v>
      </c>
      <c r="D12" s="105">
        <v>68</v>
      </c>
      <c r="E12" s="105">
        <v>76</v>
      </c>
      <c r="F12" s="106">
        <v>237</v>
      </c>
      <c r="G12" s="4">
        <v>35720</v>
      </c>
      <c r="H12" s="110">
        <f t="shared" ca="1" si="0"/>
        <v>23.1</v>
      </c>
      <c r="I12" s="3" t="s">
        <v>373</v>
      </c>
      <c r="J12" s="3">
        <v>3</v>
      </c>
      <c r="K12" s="109">
        <v>2018</v>
      </c>
      <c r="L12" s="109">
        <v>27</v>
      </c>
      <c r="M12" s="3" t="s">
        <v>374</v>
      </c>
      <c r="N12" s="3" t="s">
        <v>244</v>
      </c>
      <c r="O12" s="3" t="s">
        <v>1904</v>
      </c>
      <c r="P12" s="11">
        <v>2029920</v>
      </c>
      <c r="Q12" s="31">
        <v>3661976</v>
      </c>
      <c r="R12" s="32">
        <f>Q12*3</f>
        <v>10985928</v>
      </c>
      <c r="X12" s="3" t="s">
        <v>375</v>
      </c>
      <c r="Y12" s="107">
        <v>5</v>
      </c>
      <c r="Z12" s="107">
        <v>23</v>
      </c>
      <c r="AA12" s="41">
        <f>15/23</f>
        <v>0.65217391304347827</v>
      </c>
      <c r="AB12" s="110">
        <v>109.7</v>
      </c>
      <c r="AC12" s="110">
        <v>108.6</v>
      </c>
      <c r="AD12" s="110">
        <f t="shared" si="1"/>
        <v>1.1000000000000085</v>
      </c>
      <c r="AE12" s="110">
        <v>14</v>
      </c>
      <c r="AF12" s="110">
        <v>19.600000000000001</v>
      </c>
      <c r="AG12" s="41">
        <v>0.67100000000000004</v>
      </c>
      <c r="AH12" s="110">
        <v>12.3</v>
      </c>
      <c r="AI12" s="110">
        <v>0.6</v>
      </c>
      <c r="AJ12" s="110">
        <v>0.8</v>
      </c>
      <c r="AK12" s="41">
        <v>0.20499999999999999</v>
      </c>
      <c r="AL12" s="110">
        <v>-0.6</v>
      </c>
      <c r="AM12" s="110">
        <v>4.4000000000000004</v>
      </c>
      <c r="AN12" s="110">
        <v>0.5</v>
      </c>
      <c r="AO12" s="110">
        <v>12.5</v>
      </c>
    </row>
    <row r="13" spans="1:43" x14ac:dyDescent="0.2">
      <c r="A13" s="107">
        <v>37</v>
      </c>
      <c r="B13" s="24" t="s">
        <v>11</v>
      </c>
      <c r="C13" s="3" t="s">
        <v>2709</v>
      </c>
      <c r="D13" s="105">
        <v>66</v>
      </c>
      <c r="E13" s="105">
        <v>610</v>
      </c>
      <c r="F13" s="106">
        <v>240</v>
      </c>
      <c r="G13" s="4">
        <v>34673</v>
      </c>
      <c r="H13" s="110">
        <f t="shared" ca="1" si="0"/>
        <v>25.9</v>
      </c>
      <c r="I13" s="3" t="s">
        <v>376</v>
      </c>
      <c r="J13" s="3">
        <v>4</v>
      </c>
      <c r="K13" s="109">
        <v>2017</v>
      </c>
      <c r="L13" s="108">
        <v>37</v>
      </c>
      <c r="M13" s="3" t="s">
        <v>377</v>
      </c>
      <c r="N13" s="3" t="s">
        <v>244</v>
      </c>
      <c r="O13" s="3" t="s">
        <v>2180</v>
      </c>
      <c r="P13" s="19">
        <v>1752950</v>
      </c>
      <c r="Q13" s="44">
        <v>1856061</v>
      </c>
      <c r="X13" s="3" t="s">
        <v>378</v>
      </c>
      <c r="Y13" s="107">
        <v>3</v>
      </c>
      <c r="Z13" s="107">
        <v>61</v>
      </c>
      <c r="AA13" s="41">
        <f>41/61</f>
        <v>0.67213114754098358</v>
      </c>
      <c r="AB13" s="110">
        <v>104.1</v>
      </c>
      <c r="AC13" s="110">
        <v>104.5</v>
      </c>
      <c r="AD13" s="110">
        <f t="shared" si="1"/>
        <v>-0.40000000000000568</v>
      </c>
      <c r="AE13" s="110">
        <v>14.6</v>
      </c>
      <c r="AF13" s="110">
        <v>7.6</v>
      </c>
      <c r="AG13" s="41">
        <v>0.55700000000000005</v>
      </c>
      <c r="AH13" s="110">
        <v>8.8000000000000007</v>
      </c>
      <c r="AI13" s="110">
        <v>0.8</v>
      </c>
      <c r="AJ13" s="110">
        <v>0.9</v>
      </c>
      <c r="AK13" s="41">
        <v>9.0999999999999998E-2</v>
      </c>
      <c r="AL13" s="110">
        <v>-2.1</v>
      </c>
      <c r="AM13" s="110">
        <v>0.5</v>
      </c>
      <c r="AN13" s="110">
        <v>0.1</v>
      </c>
      <c r="AO13" s="110">
        <v>5.7</v>
      </c>
    </row>
    <row r="14" spans="1:43" x14ac:dyDescent="0.2">
      <c r="A14" s="107"/>
      <c r="B14" s="3" t="s">
        <v>0</v>
      </c>
      <c r="C14" s="3" t="s">
        <v>2700</v>
      </c>
      <c r="D14" s="105">
        <v>63</v>
      </c>
      <c r="E14" s="105">
        <v>67</v>
      </c>
      <c r="F14" s="106">
        <v>195</v>
      </c>
      <c r="G14" s="4">
        <v>32304</v>
      </c>
      <c r="H14" s="110">
        <f t="shared" ca="1" si="0"/>
        <v>32.4</v>
      </c>
      <c r="I14" s="3" t="s">
        <v>231</v>
      </c>
      <c r="J14" s="3">
        <v>12</v>
      </c>
      <c r="K14" s="107">
        <v>2009</v>
      </c>
      <c r="L14" s="108">
        <v>19</v>
      </c>
      <c r="M14" s="3" t="s">
        <v>2556</v>
      </c>
      <c r="N14" s="3" t="s">
        <v>276</v>
      </c>
      <c r="O14" s="3" t="s">
        <v>2516</v>
      </c>
      <c r="P14" s="19">
        <v>1620564</v>
      </c>
      <c r="Q14" s="234"/>
      <c r="R14" s="237"/>
      <c r="S14" s="237"/>
      <c r="T14" s="237"/>
      <c r="X14" s="3" t="s">
        <v>233</v>
      </c>
      <c r="Y14" s="107">
        <v>2</v>
      </c>
      <c r="Z14" s="107">
        <v>25</v>
      </c>
      <c r="AA14" s="41">
        <f>10/25</f>
        <v>0.4</v>
      </c>
      <c r="AB14" s="110">
        <v>108.2</v>
      </c>
      <c r="AC14" s="110">
        <v>117</v>
      </c>
      <c r="AD14" s="110">
        <f>AB14-AC14</f>
        <v>-8.7999999999999972</v>
      </c>
      <c r="AE14" s="110">
        <v>20.8</v>
      </c>
      <c r="AF14" s="110">
        <v>12.2</v>
      </c>
      <c r="AG14" s="3">
        <v>0.51200000000000001</v>
      </c>
      <c r="AH14" s="3">
        <v>18.3</v>
      </c>
      <c r="AI14" s="3">
        <v>0.2</v>
      </c>
      <c r="AJ14" s="3">
        <v>0.2</v>
      </c>
      <c r="AK14" s="41">
        <v>3.5000000000000003E-2</v>
      </c>
      <c r="AL14" s="110">
        <v>-1.6</v>
      </c>
      <c r="AM14" s="110">
        <v>-1.5</v>
      </c>
      <c r="AN14" s="110">
        <v>-0.2</v>
      </c>
      <c r="AO14" s="110">
        <v>8.4</v>
      </c>
    </row>
    <row r="15" spans="1:43" x14ac:dyDescent="0.2">
      <c r="A15" s="107">
        <v>4</v>
      </c>
      <c r="B15" s="3" t="s">
        <v>381</v>
      </c>
      <c r="C15" s="3" t="s">
        <v>2711</v>
      </c>
      <c r="D15" s="105">
        <v>511</v>
      </c>
      <c r="E15" s="105">
        <v>66</v>
      </c>
      <c r="F15" s="106">
        <v>200</v>
      </c>
      <c r="G15" s="4">
        <v>35866</v>
      </c>
      <c r="H15" s="110">
        <f t="shared" ca="1" si="0"/>
        <v>22.7</v>
      </c>
      <c r="I15" s="3" t="s">
        <v>382</v>
      </c>
      <c r="J15" s="3">
        <v>2</v>
      </c>
      <c r="K15" s="109">
        <v>2019</v>
      </c>
      <c r="L15" s="109">
        <v>33</v>
      </c>
      <c r="M15" s="3" t="s">
        <v>383</v>
      </c>
      <c r="N15" s="3" t="s">
        <v>279</v>
      </c>
      <c r="O15" s="3" t="s">
        <v>1897</v>
      </c>
      <c r="P15" s="11">
        <v>1517981</v>
      </c>
      <c r="Q15" s="11">
        <v>1782621</v>
      </c>
      <c r="R15" s="43">
        <v>1930681</v>
      </c>
      <c r="S15" s="18">
        <v>2046307</v>
      </c>
      <c r="X15" s="3" t="s">
        <v>385</v>
      </c>
      <c r="Y15" s="107">
        <v>2</v>
      </c>
      <c r="Z15" s="107">
        <v>35</v>
      </c>
      <c r="AA15" s="41">
        <f>24/35</f>
        <v>0.68571428571428572</v>
      </c>
      <c r="AB15" s="110">
        <v>93</v>
      </c>
      <c r="AC15" s="110">
        <v>99.4</v>
      </c>
      <c r="AD15" s="110">
        <f t="shared" si="1"/>
        <v>-6.4000000000000057</v>
      </c>
      <c r="AE15" s="110">
        <v>9</v>
      </c>
      <c r="AF15" s="110">
        <v>6.5</v>
      </c>
      <c r="AG15" s="41">
        <v>0.44600000000000001</v>
      </c>
      <c r="AH15" s="110">
        <v>18.100000000000001</v>
      </c>
      <c r="AI15" s="110">
        <v>-0.3</v>
      </c>
      <c r="AJ15" s="110">
        <v>0.4</v>
      </c>
      <c r="AK15" s="41">
        <v>1.2E-2</v>
      </c>
      <c r="AL15" s="110">
        <v>-4.5999999999999996</v>
      </c>
      <c r="AM15" s="110">
        <v>-0.3</v>
      </c>
      <c r="AN15" s="110">
        <v>-0.2</v>
      </c>
      <c r="AO15" s="110">
        <v>5.0999999999999996</v>
      </c>
    </row>
    <row r="16" spans="1:43" x14ac:dyDescent="0.2">
      <c r="A16" s="107">
        <v>43</v>
      </c>
      <c r="B16" s="3" t="s">
        <v>12</v>
      </c>
      <c r="C16" s="3" t="s">
        <v>2699</v>
      </c>
      <c r="D16" s="105">
        <v>64</v>
      </c>
      <c r="E16" s="105"/>
      <c r="F16" s="106">
        <v>205</v>
      </c>
      <c r="G16" s="4">
        <v>34173</v>
      </c>
      <c r="H16" s="110">
        <f t="shared" ca="1" si="0"/>
        <v>27.3</v>
      </c>
      <c r="I16" s="3" t="s">
        <v>226</v>
      </c>
      <c r="J16" s="3">
        <v>2</v>
      </c>
      <c r="K16" s="109">
        <v>2015</v>
      </c>
      <c r="L16" s="108"/>
      <c r="M16" s="3" t="s">
        <v>386</v>
      </c>
      <c r="N16" s="3" t="s">
        <v>276</v>
      </c>
      <c r="O16" s="3" t="s">
        <v>2166</v>
      </c>
      <c r="P16" s="30">
        <v>1517981</v>
      </c>
      <c r="Q16" s="32">
        <v>2056061</v>
      </c>
      <c r="T16" s="27"/>
      <c r="X16" s="3" t="s">
        <v>387</v>
      </c>
      <c r="Y16" s="107">
        <v>3</v>
      </c>
      <c r="Z16" s="107">
        <v>44</v>
      </c>
      <c r="AA16" s="41">
        <f>30/44</f>
        <v>0.68181818181818177</v>
      </c>
      <c r="AB16" s="110">
        <v>105.1</v>
      </c>
      <c r="AC16" s="110">
        <v>105.1</v>
      </c>
      <c r="AD16" s="110">
        <f t="shared" si="1"/>
        <v>0</v>
      </c>
      <c r="AE16" s="110">
        <v>9.4</v>
      </c>
      <c r="AF16" s="110">
        <v>12.3</v>
      </c>
      <c r="AG16" s="41">
        <v>0.55800000000000005</v>
      </c>
      <c r="AH16" s="110">
        <v>13.6</v>
      </c>
      <c r="AI16" s="110">
        <v>0.3</v>
      </c>
      <c r="AJ16" s="110">
        <v>0.7</v>
      </c>
      <c r="AK16" s="41">
        <v>0.112</v>
      </c>
      <c r="AL16" s="110">
        <v>-2.4</v>
      </c>
      <c r="AM16" s="110">
        <v>1.8</v>
      </c>
      <c r="AN16" s="110">
        <v>0.1</v>
      </c>
      <c r="AO16" s="110">
        <v>8.3000000000000007</v>
      </c>
    </row>
    <row r="17" spans="1:41" x14ac:dyDescent="0.2">
      <c r="A17" s="107">
        <v>99</v>
      </c>
      <c r="B17" s="3" t="s">
        <v>391</v>
      </c>
      <c r="C17" s="3" t="s">
        <v>2712</v>
      </c>
      <c r="D17" s="105">
        <v>75</v>
      </c>
      <c r="E17" s="105">
        <v>84</v>
      </c>
      <c r="F17" s="106">
        <v>311</v>
      </c>
      <c r="G17" s="4">
        <v>35043</v>
      </c>
      <c r="H17" s="110">
        <f t="shared" ca="1" si="0"/>
        <v>24.9</v>
      </c>
      <c r="I17" s="3" t="s">
        <v>392</v>
      </c>
      <c r="J17" s="3">
        <v>2</v>
      </c>
      <c r="K17" s="109">
        <v>2019</v>
      </c>
      <c r="L17" s="109"/>
      <c r="M17" s="3" t="s">
        <v>386</v>
      </c>
      <c r="N17" s="3" t="s">
        <v>288</v>
      </c>
      <c r="O17" s="3" t="s">
        <v>2516</v>
      </c>
      <c r="P17" s="11" t="s">
        <v>288</v>
      </c>
      <c r="Q17" s="49"/>
      <c r="X17" s="5" t="s">
        <v>238</v>
      </c>
      <c r="Y17" s="107">
        <v>5</v>
      </c>
      <c r="Z17" s="107">
        <v>6</v>
      </c>
      <c r="AA17" s="41">
        <f>5/6</f>
        <v>0.83333333333333337</v>
      </c>
      <c r="AB17" s="110">
        <v>103.6</v>
      </c>
      <c r="AC17" s="110">
        <v>90.9</v>
      </c>
      <c r="AD17" s="110">
        <f t="shared" si="1"/>
        <v>12.699999999999989</v>
      </c>
      <c r="AE17" s="110">
        <v>4</v>
      </c>
      <c r="AF17" s="110">
        <v>23.9</v>
      </c>
      <c r="AG17" s="41">
        <v>0.71299999999999997</v>
      </c>
      <c r="AH17" s="110">
        <v>29</v>
      </c>
      <c r="AI17" s="110">
        <v>0</v>
      </c>
      <c r="AJ17" s="110">
        <v>0.1</v>
      </c>
      <c r="AK17" s="41">
        <v>0.10199999999999999</v>
      </c>
      <c r="AL17" s="110">
        <v>-2</v>
      </c>
      <c r="AM17" s="110">
        <v>3.1</v>
      </c>
      <c r="AN17" s="110">
        <v>0</v>
      </c>
      <c r="AO17" s="110">
        <v>20</v>
      </c>
    </row>
    <row r="18" spans="1:41" x14ac:dyDescent="0.2">
      <c r="A18" s="107">
        <v>51</v>
      </c>
      <c r="B18" s="3" t="s">
        <v>388</v>
      </c>
      <c r="C18" s="3" t="s">
        <v>2708</v>
      </c>
      <c r="D18" s="105">
        <v>510</v>
      </c>
      <c r="E18" s="105">
        <v>62</v>
      </c>
      <c r="F18" s="106">
        <v>175</v>
      </c>
      <c r="G18" s="4">
        <v>35805</v>
      </c>
      <c r="H18" s="110">
        <f t="shared" ca="1" si="0"/>
        <v>22.8</v>
      </c>
      <c r="I18" s="3" t="s">
        <v>389</v>
      </c>
      <c r="J18" s="3">
        <v>2</v>
      </c>
      <c r="K18" s="109">
        <v>2019</v>
      </c>
      <c r="L18" s="109">
        <v>51</v>
      </c>
      <c r="M18" s="3" t="s">
        <v>390</v>
      </c>
      <c r="N18" s="3" t="s">
        <v>288</v>
      </c>
      <c r="O18" s="3" t="s">
        <v>2516</v>
      </c>
      <c r="P18" s="11" t="s">
        <v>288</v>
      </c>
      <c r="Q18" s="49"/>
      <c r="X18" s="5" t="s">
        <v>284</v>
      </c>
      <c r="Y18" s="107">
        <v>1</v>
      </c>
      <c r="Z18" s="107">
        <v>10</v>
      </c>
      <c r="AA18" s="41">
        <f>8/10</f>
        <v>0.8</v>
      </c>
      <c r="AB18" s="110">
        <v>114.3</v>
      </c>
      <c r="AC18" s="110">
        <v>99.5</v>
      </c>
      <c r="AD18" s="110">
        <f t="shared" si="1"/>
        <v>14.799999999999997</v>
      </c>
      <c r="AE18" s="110">
        <v>8.9</v>
      </c>
      <c r="AF18" s="110">
        <v>6.5</v>
      </c>
      <c r="AG18" s="41">
        <v>0.438</v>
      </c>
      <c r="AH18" s="110">
        <v>22.9</v>
      </c>
      <c r="AI18" s="110">
        <v>-0.2</v>
      </c>
      <c r="AJ18" s="110">
        <v>0.1</v>
      </c>
      <c r="AK18" s="41">
        <v>-4.4999999999999998E-2</v>
      </c>
      <c r="AL18" s="110">
        <v>-6.6</v>
      </c>
      <c r="AM18" s="110">
        <v>0.1</v>
      </c>
      <c r="AN18" s="110">
        <v>-0.1</v>
      </c>
      <c r="AO18" s="110">
        <v>4.7</v>
      </c>
    </row>
    <row r="19" spans="1:41" x14ac:dyDescent="0.2">
      <c r="B19" s="3" t="s">
        <v>290</v>
      </c>
      <c r="D19" s="105"/>
      <c r="E19" s="105"/>
      <c r="F19" s="106"/>
      <c r="H19" s="110"/>
      <c r="K19" s="57"/>
      <c r="L19" s="57"/>
      <c r="M19" s="57"/>
      <c r="N19" s="57"/>
      <c r="O19" s="57"/>
      <c r="P19" s="22">
        <f>1039080+92857</f>
        <v>1131937</v>
      </c>
      <c r="Q19" s="22">
        <f>1039080+92857</f>
        <v>1131937</v>
      </c>
      <c r="R19" s="22">
        <f>92857</f>
        <v>92857</v>
      </c>
      <c r="S19" s="22">
        <f>92857</f>
        <v>92857</v>
      </c>
    </row>
    <row r="20" spans="1:41" x14ac:dyDescent="0.2">
      <c r="B20" s="3" t="s">
        <v>2355</v>
      </c>
      <c r="D20" s="105">
        <v>63</v>
      </c>
      <c r="F20" s="106">
        <v>190</v>
      </c>
      <c r="G20" s="4">
        <v>36881</v>
      </c>
      <c r="H20" s="3">
        <f ca="1">ROUNDDOWN(YEARFRAC($G$23,G20),1)</f>
        <v>19.899999999999999</v>
      </c>
      <c r="I20" s="3" t="s">
        <v>2386</v>
      </c>
      <c r="J20" s="3">
        <v>1</v>
      </c>
      <c r="K20" s="54">
        <v>2020</v>
      </c>
      <c r="L20" s="109">
        <v>47</v>
      </c>
      <c r="M20" s="54" t="s">
        <v>2356</v>
      </c>
      <c r="N20" s="22"/>
      <c r="O20" s="22"/>
      <c r="P20" s="168" t="s">
        <v>2549</v>
      </c>
    </row>
    <row r="21" spans="1:41" x14ac:dyDescent="0.2">
      <c r="K21" s="16"/>
      <c r="L21" s="16"/>
      <c r="M21" s="54"/>
      <c r="O21" s="22"/>
      <c r="P21" s="168"/>
    </row>
    <row r="22" spans="1:41" x14ac:dyDescent="0.2">
      <c r="K22" s="16"/>
      <c r="L22" s="16"/>
      <c r="M22" s="54"/>
      <c r="O22" s="22"/>
      <c r="P22" s="168"/>
    </row>
    <row r="23" spans="1:41" x14ac:dyDescent="0.2">
      <c r="E23" s="4"/>
      <c r="F23" s="36"/>
      <c r="G23" s="4">
        <f ca="1">TODAY()</f>
        <v>44162</v>
      </c>
      <c r="H23" s="36">
        <f ca="1">AVERAGE(H2:H16)</f>
        <v>25.36</v>
      </c>
      <c r="J23" s="36">
        <f>AVERAGE(J2:J16)</f>
        <v>4.5999999999999996</v>
      </c>
      <c r="K23" s="16"/>
      <c r="L23" s="16"/>
      <c r="M23" s="54"/>
      <c r="N23" s="54"/>
      <c r="O23" s="54"/>
      <c r="P23" s="11"/>
    </row>
    <row r="24" spans="1:41" x14ac:dyDescent="0.2">
      <c r="E24" s="4"/>
      <c r="F24" s="36"/>
      <c r="G24" s="4"/>
      <c r="H24" s="36">
        <f ca="1">MEDIAN(H2:H16)</f>
        <v>24</v>
      </c>
      <c r="J24" s="36">
        <f>MEDIAN(J2:J16)</f>
        <v>4</v>
      </c>
      <c r="K24" s="16"/>
      <c r="L24" s="16"/>
      <c r="M24" s="54"/>
      <c r="N24" s="54"/>
      <c r="O24" s="54"/>
      <c r="P24" s="11"/>
    </row>
    <row r="25" spans="1:41" x14ac:dyDescent="0.2">
      <c r="B25" s="5" t="s">
        <v>1985</v>
      </c>
      <c r="H25" s="36"/>
      <c r="J25" s="129"/>
      <c r="K25" s="103"/>
      <c r="L25" s="16"/>
      <c r="M25" s="54"/>
      <c r="N25" s="54"/>
      <c r="O25" s="54"/>
      <c r="P25" s="11">
        <f>SUM(P2:P19)-P16</f>
        <v>115393279</v>
      </c>
      <c r="Q25" s="3" t="s">
        <v>2722</v>
      </c>
    </row>
    <row r="26" spans="1:41" x14ac:dyDescent="0.2">
      <c r="B26" s="3" t="s">
        <v>1876</v>
      </c>
      <c r="C26" s="3">
        <v>14</v>
      </c>
      <c r="H26" s="36"/>
      <c r="J26" s="129"/>
      <c r="K26" s="103"/>
      <c r="L26" s="16"/>
      <c r="M26" s="54"/>
      <c r="N26" s="54"/>
      <c r="O26" s="54"/>
      <c r="P26" s="29">
        <f>SUM(P2:P19)</f>
        <v>116911260</v>
      </c>
      <c r="Q26" s="3" t="s">
        <v>2715</v>
      </c>
      <c r="U26" s="11"/>
      <c r="V26" s="11"/>
    </row>
    <row r="27" spans="1:41" x14ac:dyDescent="0.2">
      <c r="B27" s="3" t="s">
        <v>2457</v>
      </c>
      <c r="C27" s="3">
        <v>1</v>
      </c>
      <c r="H27" s="36"/>
      <c r="J27" s="129"/>
      <c r="K27" s="103"/>
      <c r="L27" s="16"/>
      <c r="M27" s="54"/>
      <c r="N27" s="54"/>
      <c r="O27" s="54"/>
      <c r="P27" s="11"/>
      <c r="U27" s="11"/>
      <c r="V27" s="11"/>
    </row>
    <row r="28" spans="1:41" x14ac:dyDescent="0.2">
      <c r="B28" s="3" t="s">
        <v>2539</v>
      </c>
      <c r="C28" s="3">
        <v>2</v>
      </c>
      <c r="K28" s="54"/>
      <c r="L28" s="16"/>
      <c r="M28" s="54"/>
      <c r="N28" s="54"/>
      <c r="O28" s="54"/>
      <c r="P28" s="11"/>
      <c r="R28" s="11"/>
    </row>
    <row r="29" spans="1:41" x14ac:dyDescent="0.2">
      <c r="B29" s="3" t="s">
        <v>495</v>
      </c>
      <c r="C29" s="22">
        <f>9258000-P6</f>
        <v>0</v>
      </c>
      <c r="D29" s="3" t="s">
        <v>28</v>
      </c>
      <c r="K29" s="54"/>
      <c r="L29" s="16"/>
      <c r="M29" s="54"/>
      <c r="N29" s="54"/>
      <c r="O29" s="3" t="s">
        <v>292</v>
      </c>
      <c r="P29" s="22" t="e">
        <f>#REF!</f>
        <v>#REF!</v>
      </c>
    </row>
    <row r="30" spans="1:41" x14ac:dyDescent="0.2">
      <c r="B30" s="3" t="s">
        <v>2518</v>
      </c>
      <c r="C30" s="22">
        <v>4767000</v>
      </c>
      <c r="D30" s="244">
        <v>44520</v>
      </c>
      <c r="K30" s="54"/>
      <c r="L30" s="103"/>
      <c r="M30" s="54"/>
      <c r="N30" s="54"/>
      <c r="O30" s="22" t="s">
        <v>294</v>
      </c>
      <c r="P30" s="22" t="e">
        <f>#REF!</f>
        <v>#REF!</v>
      </c>
    </row>
    <row r="31" spans="1:41" x14ac:dyDescent="0.2">
      <c r="B31" s="3" t="s">
        <v>514</v>
      </c>
      <c r="C31" s="22">
        <v>3623000</v>
      </c>
      <c r="K31" s="54"/>
      <c r="L31" s="103"/>
      <c r="M31" s="54"/>
      <c r="N31" s="54"/>
      <c r="O31" s="22" t="s">
        <v>2550</v>
      </c>
      <c r="P31" s="22" t="e">
        <f>#REF!</f>
        <v>#REF!</v>
      </c>
    </row>
    <row r="32" spans="1:41" x14ac:dyDescent="0.2">
      <c r="B32" s="3" t="s">
        <v>2519</v>
      </c>
      <c r="C32" s="22">
        <v>2619207</v>
      </c>
      <c r="D32" s="244">
        <v>44519</v>
      </c>
      <c r="K32" s="54"/>
      <c r="L32" s="103"/>
      <c r="M32" s="54"/>
      <c r="N32" s="54"/>
      <c r="O32" s="22"/>
      <c r="P32" s="22"/>
    </row>
    <row r="33" spans="2:17" x14ac:dyDescent="0.2">
      <c r="B33" s="3" t="s">
        <v>293</v>
      </c>
      <c r="C33" s="46">
        <f>1000000</f>
        <v>1000000</v>
      </c>
      <c r="D33" s="3" t="s">
        <v>2422</v>
      </c>
      <c r="K33" s="54"/>
      <c r="L33" s="103"/>
      <c r="M33" s="54"/>
      <c r="N33" s="54"/>
      <c r="O33" s="22"/>
      <c r="P33" s="22"/>
    </row>
    <row r="34" spans="2:17" x14ac:dyDescent="0.2">
      <c r="B34" s="24" t="s">
        <v>295</v>
      </c>
      <c r="C34" s="46">
        <v>0</v>
      </c>
      <c r="K34" s="54"/>
      <c r="L34" s="16"/>
      <c r="M34" s="54"/>
      <c r="N34" s="54"/>
      <c r="P34" s="11"/>
    </row>
    <row r="35" spans="2:17" x14ac:dyDescent="0.2">
      <c r="K35" s="54"/>
      <c r="L35" s="16"/>
      <c r="M35" s="54"/>
      <c r="N35" s="54"/>
      <c r="P35" s="11"/>
    </row>
    <row r="36" spans="2:17" x14ac:dyDescent="0.2">
      <c r="B36" s="5" t="s">
        <v>1875</v>
      </c>
      <c r="K36" s="54"/>
      <c r="L36" s="54"/>
      <c r="M36" s="104"/>
      <c r="N36" s="54"/>
      <c r="O36" s="22"/>
      <c r="P36" s="11"/>
      <c r="Q36" s="5"/>
    </row>
    <row r="37" spans="2:17" x14ac:dyDescent="0.2">
      <c r="B37" s="3" t="s">
        <v>296</v>
      </c>
      <c r="C37" s="41">
        <f>48/(48+24)</f>
        <v>0.66666666666666663</v>
      </c>
      <c r="D37" s="3" t="s">
        <v>393</v>
      </c>
      <c r="K37" s="57"/>
      <c r="L37" s="54"/>
      <c r="M37" s="104"/>
      <c r="N37" s="54"/>
      <c r="O37" s="22"/>
      <c r="P37" s="11"/>
      <c r="Q37" s="5"/>
    </row>
    <row r="38" spans="2:17" x14ac:dyDescent="0.2">
      <c r="B38" s="3" t="s">
        <v>298</v>
      </c>
      <c r="C38" s="110">
        <v>112.8</v>
      </c>
      <c r="D38" s="3" t="s">
        <v>1953</v>
      </c>
      <c r="K38" s="54"/>
      <c r="L38" s="57"/>
      <c r="M38" s="54"/>
      <c r="N38" s="54"/>
      <c r="O38" s="22"/>
      <c r="P38" s="22"/>
    </row>
    <row r="39" spans="2:17" x14ac:dyDescent="0.2">
      <c r="B39" s="3" t="s">
        <v>299</v>
      </c>
      <c r="C39" s="110">
        <v>106.5</v>
      </c>
      <c r="D39" s="3" t="s">
        <v>1953</v>
      </c>
      <c r="K39" s="57"/>
      <c r="L39" s="57"/>
      <c r="M39" s="54"/>
      <c r="N39" s="54"/>
    </row>
    <row r="40" spans="2:17" x14ac:dyDescent="0.2">
      <c r="B40" s="3" t="s">
        <v>300</v>
      </c>
      <c r="C40" s="110">
        <f>C38-C39</f>
        <v>6.2999999999999972</v>
      </c>
      <c r="D40" s="3" t="s">
        <v>1956</v>
      </c>
      <c r="K40" s="57"/>
      <c r="L40" s="57"/>
      <c r="M40" s="54"/>
      <c r="N40" s="54"/>
      <c r="O40" s="54"/>
    </row>
    <row r="41" spans="2:17" x14ac:dyDescent="0.2">
      <c r="B41" s="3" t="s">
        <v>301</v>
      </c>
      <c r="C41" s="36">
        <v>99.92</v>
      </c>
      <c r="D41" s="3" t="s">
        <v>1986</v>
      </c>
      <c r="K41" s="57"/>
      <c r="L41" s="57"/>
      <c r="M41" s="54"/>
      <c r="N41" s="54"/>
      <c r="O41" s="54"/>
    </row>
    <row r="42" spans="2:17" x14ac:dyDescent="0.2">
      <c r="K42" s="54"/>
      <c r="L42" s="57"/>
      <c r="M42" s="54"/>
      <c r="N42" s="54"/>
      <c r="O42" s="54"/>
    </row>
    <row r="43" spans="2:17" x14ac:dyDescent="0.2">
      <c r="B43" s="3" t="s">
        <v>302</v>
      </c>
      <c r="K43" s="54"/>
      <c r="L43" s="54"/>
      <c r="M43" s="54"/>
      <c r="N43" s="54"/>
      <c r="O43" s="54"/>
    </row>
    <row r="44" spans="2:17" x14ac:dyDescent="0.2">
      <c r="B44" s="3" t="s">
        <v>2423</v>
      </c>
      <c r="L44" s="54"/>
      <c r="M44" s="54"/>
      <c r="N44" s="54"/>
      <c r="O44" s="54"/>
    </row>
    <row r="45" spans="2:17" x14ac:dyDescent="0.2">
      <c r="B45" s="3" t="s">
        <v>2716</v>
      </c>
      <c r="L45" s="54"/>
      <c r="M45" s="54"/>
      <c r="N45" s="54"/>
      <c r="O45" s="54"/>
    </row>
    <row r="46" spans="2:17" x14ac:dyDescent="0.2">
      <c r="B46" s="3" t="s">
        <v>2717</v>
      </c>
      <c r="L46" s="54"/>
      <c r="M46" s="54"/>
      <c r="N46" s="54"/>
      <c r="O46" s="54"/>
    </row>
    <row r="48" spans="2:17" x14ac:dyDescent="0.2">
      <c r="B48" s="3" t="s">
        <v>310</v>
      </c>
    </row>
    <row r="49" spans="2:9" x14ac:dyDescent="0.2">
      <c r="B49" s="3" t="s">
        <v>1089</v>
      </c>
    </row>
    <row r="51" spans="2:9" x14ac:dyDescent="0.2">
      <c r="B51" s="5" t="s">
        <v>1989</v>
      </c>
    </row>
    <row r="52" spans="2:9" x14ac:dyDescent="0.2">
      <c r="B52" s="39" t="s">
        <v>314</v>
      </c>
      <c r="C52" s="3">
        <v>48</v>
      </c>
      <c r="D52" s="3">
        <v>24</v>
      </c>
      <c r="E52" s="3" t="s">
        <v>393</v>
      </c>
      <c r="G52" s="3" t="s">
        <v>394</v>
      </c>
      <c r="I52" s="3" t="s">
        <v>2123</v>
      </c>
    </row>
    <row r="53" spans="2:9" x14ac:dyDescent="0.2">
      <c r="B53" s="40" t="s">
        <v>317</v>
      </c>
      <c r="C53" s="3">
        <v>49</v>
      </c>
      <c r="D53" s="3">
        <v>33</v>
      </c>
      <c r="E53" s="3" t="s">
        <v>326</v>
      </c>
      <c r="G53" s="3" t="s">
        <v>394</v>
      </c>
      <c r="I53" s="3" t="s">
        <v>395</v>
      </c>
    </row>
    <row r="54" spans="2:9" x14ac:dyDescent="0.2">
      <c r="B54" s="40" t="s">
        <v>319</v>
      </c>
      <c r="C54" s="3">
        <v>55</v>
      </c>
      <c r="D54" s="3">
        <v>27</v>
      </c>
      <c r="E54" s="3" t="s">
        <v>396</v>
      </c>
      <c r="G54" s="3" t="s">
        <v>394</v>
      </c>
      <c r="I54" s="3" t="s">
        <v>397</v>
      </c>
    </row>
    <row r="55" spans="2:9" x14ac:dyDescent="0.2">
      <c r="B55" s="40" t="s">
        <v>322</v>
      </c>
      <c r="C55" s="3">
        <v>53</v>
      </c>
      <c r="D55" s="3">
        <v>29</v>
      </c>
      <c r="E55" s="3" t="s">
        <v>329</v>
      </c>
      <c r="G55" s="3" t="s">
        <v>394</v>
      </c>
      <c r="I55" s="3" t="s">
        <v>398</v>
      </c>
    </row>
    <row r="56" spans="2:9" x14ac:dyDescent="0.2">
      <c r="B56" s="40" t="s">
        <v>325</v>
      </c>
      <c r="C56" s="3">
        <v>48</v>
      </c>
      <c r="D56" s="3">
        <v>34</v>
      </c>
      <c r="E56" s="3" t="s">
        <v>323</v>
      </c>
      <c r="G56" s="3" t="s">
        <v>394</v>
      </c>
      <c r="I56" s="3" t="s">
        <v>399</v>
      </c>
    </row>
    <row r="57" spans="2:9" x14ac:dyDescent="0.2">
      <c r="B57" s="40" t="s">
        <v>328</v>
      </c>
      <c r="C57" s="3">
        <v>40</v>
      </c>
      <c r="D57" s="3">
        <v>42</v>
      </c>
      <c r="E57" s="3" t="s">
        <v>400</v>
      </c>
      <c r="G57" s="3" t="s">
        <v>394</v>
      </c>
      <c r="I57" s="3" t="s">
        <v>401</v>
      </c>
    </row>
    <row r="58" spans="2:9" x14ac:dyDescent="0.2">
      <c r="B58" s="40" t="s">
        <v>331</v>
      </c>
      <c r="C58" s="3">
        <v>25</v>
      </c>
      <c r="D58" s="3">
        <v>57</v>
      </c>
      <c r="E58" s="3" t="s">
        <v>318</v>
      </c>
      <c r="G58" s="3" t="s">
        <v>394</v>
      </c>
      <c r="I58" s="3" t="s">
        <v>316</v>
      </c>
    </row>
    <row r="59" spans="2:9" x14ac:dyDescent="0.2">
      <c r="B59" s="40" t="s">
        <v>334</v>
      </c>
      <c r="C59" s="3">
        <v>41</v>
      </c>
      <c r="D59" s="3">
        <v>40</v>
      </c>
      <c r="E59" s="3" t="s">
        <v>400</v>
      </c>
      <c r="G59" s="3" t="s">
        <v>402</v>
      </c>
      <c r="I59" s="3" t="s">
        <v>403</v>
      </c>
    </row>
    <row r="60" spans="2:9" x14ac:dyDescent="0.2">
      <c r="B60" s="40" t="s">
        <v>338</v>
      </c>
      <c r="C60" s="3">
        <v>39</v>
      </c>
      <c r="D60" s="3">
        <v>27</v>
      </c>
      <c r="E60" s="3" t="s">
        <v>326</v>
      </c>
      <c r="G60" s="3" t="s">
        <v>402</v>
      </c>
      <c r="I60" s="3" t="s">
        <v>404</v>
      </c>
    </row>
    <row r="61" spans="2:9" x14ac:dyDescent="0.2">
      <c r="B61" s="40" t="s">
        <v>340</v>
      </c>
      <c r="C61" s="3">
        <v>56</v>
      </c>
      <c r="D61" s="3">
        <v>26</v>
      </c>
      <c r="E61" s="3" t="s">
        <v>393</v>
      </c>
      <c r="G61" s="3" t="s">
        <v>402</v>
      </c>
      <c r="I61" s="3" t="s">
        <v>405</v>
      </c>
    </row>
    <row r="62" spans="2:9" x14ac:dyDescent="0.2">
      <c r="B62" s="3" t="s">
        <v>342</v>
      </c>
      <c r="C62" s="3">
        <f>SUM(C52:C61)</f>
        <v>454</v>
      </c>
      <c r="D62" s="3">
        <f>SUM(D52:D61)</f>
        <v>339</v>
      </c>
      <c r="E62" s="41">
        <f>C62/(D62+C62)</f>
        <v>0.57250945775535944</v>
      </c>
    </row>
    <row r="63" spans="2:9" x14ac:dyDescent="0.2">
      <c r="E63" s="41"/>
    </row>
    <row r="64" spans="2:9" x14ac:dyDescent="0.2">
      <c r="E64" s="41"/>
    </row>
  </sheetData>
  <pageMargins left="0.7" right="0.7" top="0.75" bottom="0.75" header="0.3" footer="0.3"/>
  <ignoredErrors>
    <ignoredError sqref="B14 I14:L14 W14:AP14 Q14:U14 D14:G14" numberStoredAsText="1"/>
    <ignoredError sqref="J23:J24" formulaRange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7880-37BA-F644-AB25-EF6E9E3ED666}">
  <dimension ref="A1:AQ63"/>
  <sheetViews>
    <sheetView zoomScaleNormal="100" workbookViewId="0"/>
  </sheetViews>
  <sheetFormatPr baseColWidth="10" defaultColWidth="11" defaultRowHeight="16" x14ac:dyDescent="0.2"/>
  <cols>
    <col min="1" max="1" width="5.1640625" customWidth="1"/>
    <col min="2" max="2" width="19.1640625" customWidth="1"/>
    <col min="3" max="3" width="13" customWidth="1"/>
    <col min="4" max="4" width="7.1640625" customWidth="1"/>
    <col min="6" max="6" width="8.33203125" customWidth="1"/>
    <col min="7" max="7" width="10.5" customWidth="1"/>
    <col min="8" max="8" width="6.1640625" customWidth="1"/>
    <col min="9" max="9" width="19.83203125" customWidth="1"/>
    <col min="10" max="10" width="10.83203125" customWidth="1"/>
    <col min="11" max="11" width="11.5" customWidth="1"/>
    <col min="12" max="12" width="5" customWidth="1"/>
    <col min="13" max="13" width="26.83203125" customWidth="1"/>
    <col min="14" max="14" width="19.6640625" customWidth="1"/>
    <col min="15" max="15" width="37.33203125" customWidth="1"/>
    <col min="16" max="16" width="13.1640625" customWidth="1"/>
    <col min="17" max="17" width="12.83203125" customWidth="1"/>
    <col min="18" max="18" width="12.6640625" customWidth="1"/>
    <col min="19" max="19" width="12.1640625" customWidth="1"/>
    <col min="20" max="20" width="12.5" customWidth="1"/>
    <col min="22" max="22" width="71.6640625" customWidth="1"/>
    <col min="23" max="23" width="22" customWidth="1"/>
    <col min="24" max="24" width="10" customWidth="1"/>
    <col min="25" max="25" width="3.6640625" customWidth="1"/>
    <col min="26" max="26" width="7.6640625" customWidth="1"/>
    <col min="27" max="27" width="5.6640625" customWidth="1"/>
    <col min="28" max="28" width="5.83203125" customWidth="1"/>
    <col min="29" max="29" width="7.83203125" customWidth="1"/>
    <col min="30" max="30" width="5.1640625" customWidth="1"/>
    <col min="31" max="31" width="5" customWidth="1"/>
    <col min="32" max="32" width="6.1640625" customWidth="1"/>
    <col min="33" max="33" width="7.5" customWidth="1"/>
    <col min="34" max="34" width="5.5" customWidth="1"/>
    <col min="35" max="35" width="5.6640625" customWidth="1"/>
    <col min="36" max="36" width="7" customWidth="1"/>
    <col min="37" max="38" width="6.5" customWidth="1"/>
    <col min="39" max="39" width="5.83203125" customWidth="1"/>
    <col min="40" max="40" width="4.5" customWidth="1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59"/>
      <c r="AQ1" s="59"/>
    </row>
    <row r="2" spans="1:43" x14ac:dyDescent="0.2">
      <c r="A2" s="3">
        <v>30</v>
      </c>
      <c r="B2" s="3" t="s">
        <v>208</v>
      </c>
      <c r="C2" s="3" t="s">
        <v>234</v>
      </c>
      <c r="D2" s="105">
        <v>68</v>
      </c>
      <c r="E2" s="105">
        <v>70</v>
      </c>
      <c r="F2" s="106">
        <v>250</v>
      </c>
      <c r="G2" s="4">
        <v>34667</v>
      </c>
      <c r="H2" s="110">
        <f t="shared" ref="H2:H19" ca="1" si="0">ROUNDDOWN(YEARFRAC($G$24,G2),1)</f>
        <v>25.9</v>
      </c>
      <c r="I2" s="3" t="s">
        <v>266</v>
      </c>
      <c r="J2" s="3">
        <v>7</v>
      </c>
      <c r="K2" s="3">
        <v>2014</v>
      </c>
      <c r="L2" s="59">
        <v>7</v>
      </c>
      <c r="M2" s="3" t="s">
        <v>418</v>
      </c>
      <c r="N2" s="3" t="s">
        <v>279</v>
      </c>
      <c r="O2" s="11" t="s">
        <v>2425</v>
      </c>
      <c r="P2" s="11">
        <v>18900000</v>
      </c>
      <c r="Q2" s="15">
        <v>19800000</v>
      </c>
      <c r="R2" s="14">
        <f>Q2*1.5</f>
        <v>29700000</v>
      </c>
      <c r="S2" s="3"/>
      <c r="V2" t="s">
        <v>1338</v>
      </c>
      <c r="W2" t="s">
        <v>1339</v>
      </c>
      <c r="X2" s="69">
        <v>4</v>
      </c>
      <c r="Y2" s="69">
        <v>64</v>
      </c>
      <c r="Z2" s="65">
        <f>21/64</f>
        <v>0.328125</v>
      </c>
      <c r="AA2" s="119">
        <v>105.7</v>
      </c>
      <c r="AB2" s="119">
        <v>111.6</v>
      </c>
      <c r="AC2" s="119">
        <f t="shared" ref="AC2:AC19" si="1">AA2-AB2</f>
        <v>-5.8999999999999915</v>
      </c>
      <c r="AD2" s="119">
        <v>32.5</v>
      </c>
      <c r="AE2" s="119">
        <v>17.5</v>
      </c>
      <c r="AF2" s="65">
        <v>0.53800000000000003</v>
      </c>
      <c r="AG2" s="119">
        <v>27.6</v>
      </c>
      <c r="AH2" s="119">
        <v>1</v>
      </c>
      <c r="AI2" s="119">
        <v>1.7</v>
      </c>
      <c r="AJ2" s="65">
        <v>6.2E-2</v>
      </c>
      <c r="AK2" s="119">
        <v>0.7</v>
      </c>
      <c r="AL2" s="119">
        <v>-1</v>
      </c>
      <c r="AM2" s="119">
        <v>0.9</v>
      </c>
      <c r="AN2" s="119">
        <v>13.1</v>
      </c>
    </row>
    <row r="3" spans="1:43" x14ac:dyDescent="0.2">
      <c r="A3" s="3">
        <v>9</v>
      </c>
      <c r="B3" s="3" t="s">
        <v>1346</v>
      </c>
      <c r="C3" s="3" t="s">
        <v>252</v>
      </c>
      <c r="D3" s="105">
        <v>66</v>
      </c>
      <c r="E3" s="105">
        <v>610</v>
      </c>
      <c r="F3" s="106">
        <v>214</v>
      </c>
      <c r="G3" s="4">
        <v>36691</v>
      </c>
      <c r="H3" s="110">
        <f t="shared" ca="1" si="0"/>
        <v>20.399999999999999</v>
      </c>
      <c r="I3" s="3" t="s">
        <v>253</v>
      </c>
      <c r="J3" s="3">
        <v>2</v>
      </c>
      <c r="K3" s="3">
        <v>2019</v>
      </c>
      <c r="L3" s="59">
        <v>3</v>
      </c>
      <c r="M3" s="3" t="s">
        <v>1347</v>
      </c>
      <c r="N3" s="3" t="s">
        <v>244</v>
      </c>
      <c r="O3" s="11" t="s">
        <v>1970</v>
      </c>
      <c r="P3" s="11">
        <v>8231760</v>
      </c>
      <c r="Q3" s="50">
        <v>8623920</v>
      </c>
      <c r="R3" s="50">
        <v>10900635</v>
      </c>
      <c r="S3" s="49">
        <v>32701905</v>
      </c>
      <c r="W3" t="s">
        <v>1348</v>
      </c>
      <c r="X3" s="69">
        <v>2</v>
      </c>
      <c r="Y3" s="69">
        <v>56</v>
      </c>
      <c r="Z3" s="65">
        <f>17/56</f>
        <v>0.30357142857142855</v>
      </c>
      <c r="AA3" s="119">
        <v>105.4</v>
      </c>
      <c r="AB3" s="119">
        <v>114.5</v>
      </c>
      <c r="AC3" s="119">
        <f t="shared" si="1"/>
        <v>-9.0999999999999943</v>
      </c>
      <c r="AD3" s="119">
        <v>30.4</v>
      </c>
      <c r="AE3" s="119">
        <v>10.7</v>
      </c>
      <c r="AF3" s="65">
        <v>0.47899999999999998</v>
      </c>
      <c r="AG3" s="119">
        <v>24</v>
      </c>
      <c r="AH3" s="119">
        <v>-1.6</v>
      </c>
      <c r="AI3" s="119">
        <v>1.1000000000000001</v>
      </c>
      <c r="AJ3" s="65">
        <v>-1.4999999999999999E-2</v>
      </c>
      <c r="AK3" s="119">
        <v>-2.8</v>
      </c>
      <c r="AL3" s="119">
        <v>-1.5</v>
      </c>
      <c r="AM3" s="119">
        <v>-1</v>
      </c>
      <c r="AN3" s="119">
        <v>7.2</v>
      </c>
    </row>
    <row r="4" spans="1:43" x14ac:dyDescent="0.2">
      <c r="A4" s="3">
        <v>11</v>
      </c>
      <c r="B4" s="3" t="s">
        <v>1349</v>
      </c>
      <c r="C4" s="3" t="s">
        <v>247</v>
      </c>
      <c r="D4" s="105">
        <v>64</v>
      </c>
      <c r="E4" s="105">
        <v>71</v>
      </c>
      <c r="F4" s="106">
        <v>200</v>
      </c>
      <c r="G4" s="4">
        <v>36004</v>
      </c>
      <c r="H4" s="110">
        <f t="shared" ca="1" si="0"/>
        <v>22.3</v>
      </c>
      <c r="I4" s="3" t="s">
        <v>1350</v>
      </c>
      <c r="J4" s="3">
        <v>4</v>
      </c>
      <c r="K4" s="3">
        <v>2017</v>
      </c>
      <c r="L4" s="59">
        <v>8</v>
      </c>
      <c r="M4" s="3" t="s">
        <v>1351</v>
      </c>
      <c r="N4" s="3" t="s">
        <v>244</v>
      </c>
      <c r="O4" s="11" t="s">
        <v>2426</v>
      </c>
      <c r="P4" s="11">
        <v>6176578</v>
      </c>
      <c r="Q4" s="49">
        <f>P4*3</f>
        <v>18529734</v>
      </c>
      <c r="R4" s="3"/>
      <c r="S4" s="3"/>
      <c r="W4" t="s">
        <v>1352</v>
      </c>
      <c r="X4" s="69">
        <v>1</v>
      </c>
      <c r="Y4" s="69">
        <v>57</v>
      </c>
      <c r="Z4" s="65">
        <f>19/57</f>
        <v>0.33333333333333331</v>
      </c>
      <c r="AA4" s="119">
        <v>104.8</v>
      </c>
      <c r="AB4" s="119">
        <v>108.7</v>
      </c>
      <c r="AC4" s="119">
        <f t="shared" si="1"/>
        <v>-3.9000000000000057</v>
      </c>
      <c r="AD4" s="119">
        <v>20.8</v>
      </c>
      <c r="AE4" s="119">
        <v>9.8000000000000007</v>
      </c>
      <c r="AF4" s="65">
        <v>0.497</v>
      </c>
      <c r="AG4" s="119">
        <v>15.4</v>
      </c>
      <c r="AH4" s="119">
        <v>0.1</v>
      </c>
      <c r="AI4" s="119">
        <v>0.8</v>
      </c>
      <c r="AJ4" s="65">
        <v>3.6999999999999998E-2</v>
      </c>
      <c r="AK4" s="119">
        <v>-3.6</v>
      </c>
      <c r="AL4" s="119">
        <v>0.4</v>
      </c>
      <c r="AM4" s="119">
        <v>-0.4</v>
      </c>
      <c r="AN4" s="119">
        <v>6.3</v>
      </c>
    </row>
    <row r="5" spans="1:43" x14ac:dyDescent="0.2">
      <c r="A5" s="3"/>
      <c r="B5" s="3" t="s">
        <v>140</v>
      </c>
      <c r="C5" s="3" t="s">
        <v>230</v>
      </c>
      <c r="D5" s="105">
        <v>66</v>
      </c>
      <c r="E5" s="105">
        <v>610</v>
      </c>
      <c r="F5" s="106">
        <v>214</v>
      </c>
      <c r="G5" s="4">
        <v>33439</v>
      </c>
      <c r="H5" s="110">
        <f t="shared" ca="1" si="0"/>
        <v>29.3</v>
      </c>
      <c r="I5" s="3" t="s">
        <v>411</v>
      </c>
      <c r="J5" s="3">
        <v>10</v>
      </c>
      <c r="K5" s="3">
        <v>2011</v>
      </c>
      <c r="L5" s="3">
        <v>12</v>
      </c>
      <c r="M5" s="3" t="s">
        <v>2625</v>
      </c>
      <c r="N5" s="3" t="s">
        <v>279</v>
      </c>
      <c r="O5" s="3" t="s">
        <v>2460</v>
      </c>
      <c r="P5" s="11">
        <v>6000000</v>
      </c>
      <c r="Q5" s="14">
        <f>P5*1.3</f>
        <v>7800000</v>
      </c>
      <c r="R5" s="3"/>
      <c r="S5" s="3"/>
      <c r="T5" s="3"/>
      <c r="U5" s="3"/>
      <c r="V5" s="3"/>
      <c r="W5" s="3" t="s">
        <v>1512</v>
      </c>
      <c r="X5" s="107">
        <v>3</v>
      </c>
      <c r="Y5" s="107">
        <v>11</v>
      </c>
      <c r="Z5" s="41">
        <f>6/11</f>
        <v>0.54545454545454541</v>
      </c>
      <c r="AA5" s="110">
        <v>103.2</v>
      </c>
      <c r="AB5" s="110">
        <v>106.3</v>
      </c>
      <c r="AC5" s="110">
        <f t="shared" si="1"/>
        <v>-3.0999999999999943</v>
      </c>
      <c r="AD5" s="110">
        <v>20.100000000000001</v>
      </c>
      <c r="AE5" s="110">
        <v>14.9</v>
      </c>
      <c r="AF5" s="41">
        <v>0.52700000000000002</v>
      </c>
      <c r="AG5" s="110">
        <v>23.5</v>
      </c>
      <c r="AH5" s="110">
        <v>0.2</v>
      </c>
      <c r="AI5" s="110">
        <v>0.2</v>
      </c>
      <c r="AJ5" s="41">
        <v>0.10299999999999999</v>
      </c>
      <c r="AK5" s="110">
        <v>-0.2</v>
      </c>
      <c r="AL5" s="110">
        <v>-1.5</v>
      </c>
      <c r="AM5" s="110">
        <v>0</v>
      </c>
      <c r="AN5" s="110">
        <v>11.3</v>
      </c>
    </row>
    <row r="6" spans="1:43" x14ac:dyDescent="0.2">
      <c r="A6" s="3">
        <v>5</v>
      </c>
      <c r="B6" s="3" t="s">
        <v>1353</v>
      </c>
      <c r="C6" s="3" t="s">
        <v>247</v>
      </c>
      <c r="D6" s="105">
        <v>62</v>
      </c>
      <c r="E6" s="105">
        <v>63</v>
      </c>
      <c r="F6" s="106">
        <v>205</v>
      </c>
      <c r="G6" s="4">
        <v>35759</v>
      </c>
      <c r="H6" s="110">
        <f t="shared" ca="1" si="0"/>
        <v>23</v>
      </c>
      <c r="I6" s="3" t="s">
        <v>963</v>
      </c>
      <c r="J6" s="3">
        <v>4</v>
      </c>
      <c r="K6" s="3">
        <v>2017</v>
      </c>
      <c r="L6" s="59">
        <v>9</v>
      </c>
      <c r="M6" s="3" t="s">
        <v>1354</v>
      </c>
      <c r="N6" s="3" t="s">
        <v>1355</v>
      </c>
      <c r="O6" s="11" t="s">
        <v>2427</v>
      </c>
      <c r="P6" s="11">
        <v>5686677</v>
      </c>
      <c r="Q6" s="49">
        <v>17060031</v>
      </c>
      <c r="R6" s="3"/>
      <c r="S6" s="3"/>
      <c r="W6" s="132" t="s">
        <v>284</v>
      </c>
      <c r="X6" s="69">
        <v>1</v>
      </c>
      <c r="Y6" s="69">
        <v>34</v>
      </c>
      <c r="Z6" s="65">
        <f>7/34</f>
        <v>0.20588235294117646</v>
      </c>
      <c r="AA6" s="119">
        <v>95.7</v>
      </c>
      <c r="AB6" s="119">
        <v>112.8</v>
      </c>
      <c r="AC6" s="119">
        <f t="shared" si="1"/>
        <v>-17.099999999999994</v>
      </c>
      <c r="AD6" s="119">
        <v>15.8</v>
      </c>
      <c r="AE6" s="119">
        <v>7.5</v>
      </c>
      <c r="AF6" s="65">
        <v>0.39900000000000002</v>
      </c>
      <c r="AG6" s="119">
        <v>23.1</v>
      </c>
      <c r="AH6" s="119">
        <v>-1.3</v>
      </c>
      <c r="AI6" s="119">
        <v>0.5</v>
      </c>
      <c r="AJ6" s="65">
        <v>-7.9000000000000001E-2</v>
      </c>
      <c r="AK6" s="119">
        <v>-5.2</v>
      </c>
      <c r="AL6" s="119">
        <v>-0.9</v>
      </c>
      <c r="AM6" s="119">
        <v>-0.6</v>
      </c>
      <c r="AN6" s="119">
        <v>4.9000000000000004</v>
      </c>
    </row>
    <row r="7" spans="1:43" x14ac:dyDescent="0.2">
      <c r="A7" s="107"/>
      <c r="B7" s="3" t="s">
        <v>129</v>
      </c>
      <c r="C7" s="3" t="s">
        <v>234</v>
      </c>
      <c r="D7" s="105">
        <v>610</v>
      </c>
      <c r="E7" s="105">
        <v>74</v>
      </c>
      <c r="F7" s="106">
        <v>220</v>
      </c>
      <c r="G7" s="4">
        <v>34434</v>
      </c>
      <c r="H7" s="119">
        <f t="shared" ca="1" si="0"/>
        <v>26.6</v>
      </c>
      <c r="I7" t="s">
        <v>266</v>
      </c>
      <c r="J7" s="3">
        <v>8</v>
      </c>
      <c r="K7" s="107">
        <v>2013</v>
      </c>
      <c r="L7" s="107">
        <v>6</v>
      </c>
      <c r="M7" s="2" t="s">
        <v>2506</v>
      </c>
      <c r="N7" s="3" t="s">
        <v>279</v>
      </c>
      <c r="O7" s="11" t="s">
        <v>2474</v>
      </c>
      <c r="P7" s="11">
        <v>5000000</v>
      </c>
      <c r="Q7" s="14">
        <f>P7*1.3</f>
        <v>6500000</v>
      </c>
      <c r="R7" s="12"/>
      <c r="S7" s="12"/>
      <c r="T7" s="12"/>
      <c r="W7" s="132" t="s">
        <v>1404</v>
      </c>
      <c r="X7" s="69">
        <v>5</v>
      </c>
      <c r="Y7" s="69">
        <v>55</v>
      </c>
      <c r="Z7" s="65">
        <f>35/55</f>
        <v>0.63636363636363635</v>
      </c>
      <c r="AA7" s="119">
        <v>107.5</v>
      </c>
      <c r="AB7" s="119">
        <v>105.7</v>
      </c>
      <c r="AC7" s="119">
        <f t="shared" si="1"/>
        <v>1.7999999999999972</v>
      </c>
      <c r="AD7" s="119">
        <v>18.399999999999999</v>
      </c>
      <c r="AE7" s="119">
        <v>21.7</v>
      </c>
      <c r="AF7" s="65">
        <v>0.71399999999999997</v>
      </c>
      <c r="AG7" s="119">
        <v>15.3</v>
      </c>
      <c r="AH7" s="119">
        <v>2.7</v>
      </c>
      <c r="AI7" s="119">
        <v>2.1</v>
      </c>
      <c r="AJ7" s="65">
        <v>0.22500000000000001</v>
      </c>
      <c r="AK7" s="119">
        <v>0.5</v>
      </c>
      <c r="AL7" s="119">
        <v>3.4</v>
      </c>
      <c r="AM7" s="119">
        <v>1.5</v>
      </c>
      <c r="AN7" s="119">
        <v>13.2</v>
      </c>
    </row>
    <row r="8" spans="1:43" x14ac:dyDescent="0.2">
      <c r="A8" s="6">
        <v>1</v>
      </c>
      <c r="B8" s="3" t="s">
        <v>2260</v>
      </c>
      <c r="C8" s="3" t="s">
        <v>234</v>
      </c>
      <c r="D8" s="105">
        <v>68</v>
      </c>
      <c r="E8" s="105">
        <v>72</v>
      </c>
      <c r="F8" s="106">
        <v>220</v>
      </c>
      <c r="G8" s="62">
        <v>35858</v>
      </c>
      <c r="H8" s="110">
        <f t="shared" ca="1" si="0"/>
        <v>22.7</v>
      </c>
      <c r="I8" s="3" t="s">
        <v>222</v>
      </c>
      <c r="J8" s="3">
        <v>1</v>
      </c>
      <c r="K8" s="3">
        <v>2020</v>
      </c>
      <c r="L8" s="3">
        <v>8</v>
      </c>
      <c r="M8" s="3" t="s">
        <v>2261</v>
      </c>
      <c r="N8" s="3" t="s">
        <v>244</v>
      </c>
      <c r="O8" s="3" t="s">
        <v>2262</v>
      </c>
      <c r="P8" s="11">
        <v>4862040</v>
      </c>
      <c r="Q8" s="11">
        <v>5105160</v>
      </c>
      <c r="R8" s="50">
        <v>5348280</v>
      </c>
      <c r="S8" s="50">
        <f>R8*1.272</f>
        <v>6803012.1600000001</v>
      </c>
      <c r="T8" s="49">
        <f>S8*3</f>
        <v>20409036.48</v>
      </c>
      <c r="X8" s="69"/>
      <c r="Y8" s="69"/>
      <c r="Z8" s="65"/>
      <c r="AA8" s="119"/>
      <c r="AB8" s="119"/>
      <c r="AC8" s="119"/>
      <c r="AD8" s="119"/>
      <c r="AE8" s="119"/>
      <c r="AF8" s="65"/>
      <c r="AG8" s="119"/>
      <c r="AH8" s="119"/>
      <c r="AI8" s="119"/>
      <c r="AJ8" s="65"/>
      <c r="AK8" s="119"/>
      <c r="AL8" s="119"/>
      <c r="AM8" s="119"/>
      <c r="AN8" s="119"/>
    </row>
    <row r="9" spans="1:43" x14ac:dyDescent="0.2">
      <c r="A9" s="3">
        <v>6</v>
      </c>
      <c r="B9" s="3" t="s">
        <v>121</v>
      </c>
      <c r="C9" s="3" t="s">
        <v>247</v>
      </c>
      <c r="D9" s="105">
        <v>63</v>
      </c>
      <c r="E9" s="105">
        <v>68</v>
      </c>
      <c r="F9" s="106">
        <v>195</v>
      </c>
      <c r="G9" s="4">
        <v>34387</v>
      </c>
      <c r="H9" s="110">
        <f t="shared" ca="1" si="0"/>
        <v>26.7</v>
      </c>
      <c r="I9" s="3" t="s">
        <v>1345</v>
      </c>
      <c r="J9" s="3">
        <v>7</v>
      </c>
      <c r="K9" s="3">
        <v>2014</v>
      </c>
      <c r="L9" s="59">
        <v>10</v>
      </c>
      <c r="M9" s="3" t="s">
        <v>418</v>
      </c>
      <c r="N9" s="3" t="s">
        <v>291</v>
      </c>
      <c r="O9" s="11" t="s">
        <v>2474</v>
      </c>
      <c r="P9" s="11">
        <f>4767000</f>
        <v>4767000</v>
      </c>
      <c r="Q9" s="14">
        <f>P9*1.3</f>
        <v>6197100</v>
      </c>
      <c r="R9" s="3"/>
      <c r="S9" s="3"/>
      <c r="V9" t="s">
        <v>2530</v>
      </c>
      <c r="W9" s="132" t="s">
        <v>284</v>
      </c>
      <c r="X9" s="69">
        <v>1</v>
      </c>
      <c r="Y9" s="69">
        <v>45</v>
      </c>
      <c r="Z9" s="65">
        <f>17/45</f>
        <v>0.37777777777777777</v>
      </c>
      <c r="AA9" s="119">
        <v>109.4</v>
      </c>
      <c r="AB9" s="119">
        <v>112.3</v>
      </c>
      <c r="AC9" s="119">
        <f t="shared" ref="AC9" si="2">AA9-AB9</f>
        <v>-2.8999999999999915</v>
      </c>
      <c r="AD9" s="119">
        <v>27.7</v>
      </c>
      <c r="AE9" s="119">
        <v>16</v>
      </c>
      <c r="AF9" s="65">
        <v>0.47</v>
      </c>
      <c r="AG9" s="119">
        <v>19.5</v>
      </c>
      <c r="AH9" s="119">
        <v>0.5</v>
      </c>
      <c r="AI9" s="119">
        <v>1.2</v>
      </c>
      <c r="AJ9" s="65">
        <v>6.5000000000000002E-2</v>
      </c>
      <c r="AK9" s="119">
        <v>-0.3</v>
      </c>
      <c r="AL9" s="119">
        <v>0.3</v>
      </c>
      <c r="AM9" s="119">
        <v>0.6</v>
      </c>
      <c r="AN9" s="119">
        <v>11.1</v>
      </c>
    </row>
    <row r="10" spans="1:43" x14ac:dyDescent="0.2">
      <c r="A10" s="3">
        <v>20</v>
      </c>
      <c r="B10" s="3" t="s">
        <v>1356</v>
      </c>
      <c r="C10" s="3" t="s">
        <v>241</v>
      </c>
      <c r="D10" s="105">
        <v>67</v>
      </c>
      <c r="E10" s="105">
        <v>611</v>
      </c>
      <c r="F10" s="106">
        <v>215</v>
      </c>
      <c r="G10" s="4">
        <v>36383</v>
      </c>
      <c r="H10" s="110">
        <f t="shared" ca="1" si="0"/>
        <v>21.2</v>
      </c>
      <c r="I10" s="3" t="s">
        <v>266</v>
      </c>
      <c r="J10" s="3">
        <v>3</v>
      </c>
      <c r="K10" s="3">
        <v>2018</v>
      </c>
      <c r="L10" s="59">
        <v>9</v>
      </c>
      <c r="M10" s="3" t="s">
        <v>1357</v>
      </c>
      <c r="N10" s="3" t="s">
        <v>244</v>
      </c>
      <c r="O10" s="11" t="s">
        <v>2428</v>
      </c>
      <c r="P10" s="11">
        <v>4588680</v>
      </c>
      <c r="Q10" s="50">
        <v>5845978</v>
      </c>
      <c r="R10" s="49">
        <v>17537934</v>
      </c>
      <c r="S10" s="3"/>
      <c r="W10" t="s">
        <v>1358</v>
      </c>
      <c r="X10" s="69">
        <v>3</v>
      </c>
      <c r="Y10" s="69">
        <v>65</v>
      </c>
      <c r="Z10" s="65">
        <f>21/65</f>
        <v>0.32307692307692309</v>
      </c>
      <c r="AA10" s="119">
        <v>101.3</v>
      </c>
      <c r="AB10" s="119">
        <v>108.6</v>
      </c>
      <c r="AC10" s="119">
        <f t="shared" si="1"/>
        <v>-7.2999999999999972</v>
      </c>
      <c r="AD10" s="119">
        <v>17.899999999999999</v>
      </c>
      <c r="AE10" s="119">
        <v>8.4</v>
      </c>
      <c r="AF10" s="65">
        <v>0.47</v>
      </c>
      <c r="AG10" s="119">
        <v>17.8</v>
      </c>
      <c r="AH10" s="119">
        <v>-0.5</v>
      </c>
      <c r="AI10" s="119">
        <v>0.7</v>
      </c>
      <c r="AJ10" s="65">
        <v>6.0000000000000001E-3</v>
      </c>
      <c r="AK10" s="119">
        <v>-3.1</v>
      </c>
      <c r="AL10" s="119">
        <v>-1.1000000000000001</v>
      </c>
      <c r="AM10" s="119">
        <v>-0.6</v>
      </c>
      <c r="AN10" s="119">
        <v>5.6</v>
      </c>
    </row>
    <row r="11" spans="1:43" x14ac:dyDescent="0.2">
      <c r="A11" s="3">
        <v>25</v>
      </c>
      <c r="B11" s="3" t="s">
        <v>123</v>
      </c>
      <c r="C11" s="3" t="s">
        <v>252</v>
      </c>
      <c r="D11" s="105">
        <v>66</v>
      </c>
      <c r="E11" s="105">
        <v>69</v>
      </c>
      <c r="F11" s="106">
        <v>205</v>
      </c>
      <c r="G11" s="4">
        <v>33313</v>
      </c>
      <c r="H11" s="110">
        <f t="shared" ca="1" si="0"/>
        <v>29.6</v>
      </c>
      <c r="I11" s="3" t="s">
        <v>275</v>
      </c>
      <c r="J11" s="3">
        <v>8</v>
      </c>
      <c r="K11" s="3">
        <v>2013</v>
      </c>
      <c r="L11" s="59">
        <v>25</v>
      </c>
      <c r="M11" s="3" t="s">
        <v>1234</v>
      </c>
      <c r="N11" s="3" t="s">
        <v>291</v>
      </c>
      <c r="O11" s="11" t="s">
        <v>2105</v>
      </c>
      <c r="P11" s="221">
        <v>4200000</v>
      </c>
      <c r="Q11" s="14">
        <f>P11*1.3</f>
        <v>5460000</v>
      </c>
      <c r="R11" s="3"/>
      <c r="S11" s="3"/>
      <c r="W11" t="s">
        <v>1359</v>
      </c>
      <c r="X11" s="69">
        <v>2</v>
      </c>
      <c r="Y11" s="69">
        <v>29</v>
      </c>
      <c r="Z11" s="65">
        <f>9/29</f>
        <v>0.31034482758620691</v>
      </c>
      <c r="AA11" s="119">
        <v>103.8</v>
      </c>
      <c r="AB11" s="119">
        <v>109.6</v>
      </c>
      <c r="AC11" s="119">
        <f t="shared" si="1"/>
        <v>-5.7999999999999972</v>
      </c>
      <c r="AD11" s="119">
        <v>23.6</v>
      </c>
      <c r="AE11" s="119">
        <v>9.3000000000000007</v>
      </c>
      <c r="AF11" s="65">
        <v>0.502</v>
      </c>
      <c r="AG11" s="119">
        <v>15.6</v>
      </c>
      <c r="AH11" s="119">
        <v>0.2</v>
      </c>
      <c r="AI11" s="119">
        <v>0.3</v>
      </c>
      <c r="AJ11" s="65">
        <v>3.5999999999999997E-2</v>
      </c>
      <c r="AK11" s="119">
        <v>-2.7</v>
      </c>
      <c r="AL11" s="119">
        <v>-0.3</v>
      </c>
      <c r="AM11" s="119">
        <v>-0.2</v>
      </c>
      <c r="AN11" s="119">
        <v>5.8</v>
      </c>
    </row>
    <row r="12" spans="1:43" x14ac:dyDescent="0.2">
      <c r="A12" s="3"/>
      <c r="B12" s="3" t="s">
        <v>60</v>
      </c>
      <c r="C12" s="3" t="s">
        <v>252</v>
      </c>
      <c r="D12" s="105">
        <v>63</v>
      </c>
      <c r="E12" s="105">
        <v>67</v>
      </c>
      <c r="F12" s="106">
        <v>200</v>
      </c>
      <c r="G12" s="4">
        <v>33817</v>
      </c>
      <c r="H12" s="110">
        <f t="shared" ca="1" si="0"/>
        <v>28.3</v>
      </c>
      <c r="I12" s="3" t="s">
        <v>253</v>
      </c>
      <c r="J12" s="3">
        <v>9</v>
      </c>
      <c r="K12" s="109">
        <v>2012</v>
      </c>
      <c r="L12" s="109">
        <v>10</v>
      </c>
      <c r="M12" s="3" t="s">
        <v>2514</v>
      </c>
      <c r="N12" s="3" t="s">
        <v>279</v>
      </c>
      <c r="O12" s="3" t="s">
        <v>2451</v>
      </c>
      <c r="P12" s="11">
        <v>3174603</v>
      </c>
      <c r="Q12" s="15">
        <v>3333333</v>
      </c>
      <c r="R12" s="15">
        <v>3492063</v>
      </c>
      <c r="S12" s="14">
        <f>R12*1.9</f>
        <v>6634919.6999999993</v>
      </c>
      <c r="T12" s="3"/>
      <c r="W12" t="s">
        <v>913</v>
      </c>
      <c r="X12" s="69">
        <v>2</v>
      </c>
      <c r="Y12" s="69">
        <v>60</v>
      </c>
      <c r="Z12" s="65">
        <f>39/60</f>
        <v>0.65</v>
      </c>
      <c r="AA12" s="119">
        <v>114.4</v>
      </c>
      <c r="AB12" s="119">
        <v>110.3</v>
      </c>
      <c r="AC12" s="119">
        <f t="shared" si="1"/>
        <v>4.1000000000000085</v>
      </c>
      <c r="AD12" s="119">
        <v>23.4</v>
      </c>
      <c r="AE12" s="119">
        <v>10.3</v>
      </c>
      <c r="AF12" s="65">
        <v>0.53800000000000003</v>
      </c>
      <c r="AG12" s="119">
        <v>14.9</v>
      </c>
      <c r="AH12" s="119">
        <v>1.3</v>
      </c>
      <c r="AI12" s="119">
        <v>1</v>
      </c>
      <c r="AJ12" s="65">
        <v>7.6999999999999999E-2</v>
      </c>
      <c r="AK12" s="119">
        <v>-1.9</v>
      </c>
      <c r="AL12" s="119">
        <v>-0.4</v>
      </c>
      <c r="AM12" s="119">
        <v>-0.1</v>
      </c>
      <c r="AN12" s="119">
        <v>6</v>
      </c>
    </row>
    <row r="13" spans="1:43" x14ac:dyDescent="0.2">
      <c r="B13" s="2" t="s">
        <v>2310</v>
      </c>
      <c r="C13" s="3" t="s">
        <v>2280</v>
      </c>
      <c r="D13" s="105">
        <v>63</v>
      </c>
      <c r="E13" s="105">
        <v>68</v>
      </c>
      <c r="F13" s="106">
        <v>188</v>
      </c>
      <c r="G13" s="62">
        <v>36328</v>
      </c>
      <c r="H13" s="110">
        <f t="shared" ca="1" si="0"/>
        <v>21.4</v>
      </c>
      <c r="I13" s="3" t="s">
        <v>266</v>
      </c>
      <c r="J13" s="3">
        <v>1</v>
      </c>
      <c r="K13" s="3">
        <v>2020</v>
      </c>
      <c r="L13" s="3">
        <v>25</v>
      </c>
      <c r="M13" s="3" t="s">
        <v>2311</v>
      </c>
      <c r="N13" s="3" t="s">
        <v>244</v>
      </c>
      <c r="O13" s="187" t="s">
        <v>2304</v>
      </c>
      <c r="P13" s="11">
        <v>2105520</v>
      </c>
      <c r="Q13" s="11">
        <v>2210640</v>
      </c>
      <c r="R13" s="50">
        <v>2316240</v>
      </c>
      <c r="S13" s="50">
        <v>4171548</v>
      </c>
      <c r="T13" s="49">
        <f>S13*3</f>
        <v>12514644</v>
      </c>
      <c r="X13" s="69"/>
      <c r="Y13" s="69"/>
      <c r="Z13" s="65"/>
      <c r="AA13" s="119"/>
      <c r="AB13" s="119"/>
      <c r="AC13" s="119"/>
      <c r="AD13" s="119"/>
      <c r="AE13" s="119"/>
      <c r="AF13" s="65"/>
      <c r="AG13" s="119"/>
      <c r="AH13" s="119"/>
      <c r="AI13" s="119"/>
      <c r="AJ13" s="65"/>
      <c r="AK13" s="119"/>
      <c r="AL13" s="119"/>
      <c r="AM13" s="119"/>
      <c r="AN13" s="119"/>
    </row>
    <row r="14" spans="1:43" ht="17" x14ac:dyDescent="0.2">
      <c r="A14" s="3"/>
      <c r="B14" s="3" t="s">
        <v>1273</v>
      </c>
      <c r="C14" s="3" t="s">
        <v>252</v>
      </c>
      <c r="D14" s="142">
        <v>64</v>
      </c>
      <c r="E14" s="142">
        <v>69</v>
      </c>
      <c r="F14" s="143">
        <v>210</v>
      </c>
      <c r="G14" s="4">
        <v>35599</v>
      </c>
      <c r="H14" s="119">
        <f t="shared" ca="1" si="0"/>
        <v>23.4</v>
      </c>
      <c r="I14" s="59" t="s">
        <v>1274</v>
      </c>
      <c r="J14" s="3">
        <v>3</v>
      </c>
      <c r="K14" s="107">
        <v>2018</v>
      </c>
      <c r="L14" s="107">
        <v>28</v>
      </c>
      <c r="M14" s="3" t="s">
        <v>2690</v>
      </c>
      <c r="N14" s="3" t="s">
        <v>271</v>
      </c>
      <c r="O14" s="59" t="s">
        <v>1904</v>
      </c>
      <c r="P14" s="11">
        <v>2017320</v>
      </c>
      <c r="Q14" s="50">
        <v>3641263</v>
      </c>
      <c r="R14" s="148">
        <f>Q14*3</f>
        <v>10923789</v>
      </c>
      <c r="S14" s="59"/>
      <c r="T14" s="150"/>
      <c r="U14" s="59"/>
      <c r="V14" s="59"/>
      <c r="W14" s="71" t="s">
        <v>581</v>
      </c>
      <c r="X14" s="69">
        <v>2</v>
      </c>
      <c r="Y14" s="69">
        <v>27</v>
      </c>
      <c r="Z14" s="65">
        <f>11/49</f>
        <v>0.22448979591836735</v>
      </c>
      <c r="AA14" s="119">
        <v>98.2</v>
      </c>
      <c r="AB14" s="119">
        <v>110.5</v>
      </c>
      <c r="AC14" s="119">
        <f t="shared" ref="AC14:AC15" si="3">AA14-AB14</f>
        <v>-12.299999999999997</v>
      </c>
      <c r="AD14" s="119">
        <v>15.3</v>
      </c>
      <c r="AE14" s="119">
        <v>5.7</v>
      </c>
      <c r="AF14" s="65">
        <v>0.439</v>
      </c>
      <c r="AG14" s="119">
        <v>17.600000000000001</v>
      </c>
      <c r="AH14" s="119">
        <v>-0.6</v>
      </c>
      <c r="AI14" s="119">
        <v>0.2</v>
      </c>
      <c r="AJ14" s="65">
        <v>-5.3999999999999999E-2</v>
      </c>
      <c r="AK14" s="119">
        <v>-5.7</v>
      </c>
      <c r="AL14" s="119">
        <v>-1.3</v>
      </c>
      <c r="AM14" s="119">
        <v>-0.5</v>
      </c>
      <c r="AN14" s="119">
        <v>3.4</v>
      </c>
    </row>
    <row r="15" spans="1:43" ht="17" x14ac:dyDescent="0.2">
      <c r="A15" s="3"/>
      <c r="B15" s="3" t="s">
        <v>1275</v>
      </c>
      <c r="C15" s="3" t="s">
        <v>234</v>
      </c>
      <c r="D15" s="142">
        <v>68</v>
      </c>
      <c r="E15" s="142">
        <v>72</v>
      </c>
      <c r="F15" s="143">
        <v>245</v>
      </c>
      <c r="G15" s="4">
        <v>35632</v>
      </c>
      <c r="H15" s="119">
        <f t="shared" ca="1" si="0"/>
        <v>23.3</v>
      </c>
      <c r="I15" s="59" t="s">
        <v>559</v>
      </c>
      <c r="J15" s="3">
        <v>3</v>
      </c>
      <c r="K15" s="107">
        <v>2018</v>
      </c>
      <c r="L15" s="107">
        <v>30</v>
      </c>
      <c r="M15" s="3" t="s">
        <v>2690</v>
      </c>
      <c r="N15" s="3" t="s">
        <v>1276</v>
      </c>
      <c r="O15" s="59" t="s">
        <v>1904</v>
      </c>
      <c r="P15" s="11">
        <v>1988280</v>
      </c>
      <c r="Q15" s="50">
        <v>3588845</v>
      </c>
      <c r="R15" s="148">
        <f>Q15*3</f>
        <v>10766535</v>
      </c>
      <c r="S15" s="59"/>
      <c r="T15" s="125"/>
      <c r="U15" s="59"/>
      <c r="V15" s="59"/>
      <c r="W15" s="59" t="s">
        <v>1277</v>
      </c>
      <c r="X15" s="69">
        <v>4</v>
      </c>
      <c r="Y15" s="69">
        <v>49</v>
      </c>
      <c r="Z15" s="65">
        <f>7/27</f>
        <v>0.25925925925925924</v>
      </c>
      <c r="AA15" s="119">
        <v>101.2</v>
      </c>
      <c r="AB15" s="119">
        <v>109.7</v>
      </c>
      <c r="AC15" s="119">
        <f t="shared" si="3"/>
        <v>-8.5</v>
      </c>
      <c r="AD15" s="119">
        <v>18.100000000000001</v>
      </c>
      <c r="AE15" s="119">
        <v>14.4</v>
      </c>
      <c r="AF15" s="65">
        <v>0.55100000000000005</v>
      </c>
      <c r="AG15" s="119">
        <v>18.8</v>
      </c>
      <c r="AH15" s="119">
        <v>0.5</v>
      </c>
      <c r="AI15" s="119">
        <v>0.7</v>
      </c>
      <c r="AJ15" s="65">
        <v>6.5000000000000002E-2</v>
      </c>
      <c r="AK15" s="119">
        <v>-0.7</v>
      </c>
      <c r="AL15" s="119">
        <v>-1</v>
      </c>
      <c r="AM15" s="119">
        <v>0.1</v>
      </c>
      <c r="AN15" s="119">
        <v>9.8000000000000007</v>
      </c>
    </row>
    <row r="16" spans="1:43" x14ac:dyDescent="0.2">
      <c r="A16" s="3">
        <v>23</v>
      </c>
      <c r="B16" s="3" t="s">
        <v>125</v>
      </c>
      <c r="C16" s="3" t="s">
        <v>234</v>
      </c>
      <c r="D16" s="105">
        <v>70</v>
      </c>
      <c r="E16" s="105">
        <v>74</v>
      </c>
      <c r="F16" s="106">
        <v>240</v>
      </c>
      <c r="G16" s="4">
        <v>35886</v>
      </c>
      <c r="H16" s="110">
        <f t="shared" ca="1" si="0"/>
        <v>22.6</v>
      </c>
      <c r="I16" s="3" t="s">
        <v>669</v>
      </c>
      <c r="J16" s="3">
        <v>3</v>
      </c>
      <c r="K16" s="3">
        <v>2018</v>
      </c>
      <c r="L16" s="59">
        <v>36</v>
      </c>
      <c r="M16" s="3" t="s">
        <v>1362</v>
      </c>
      <c r="N16" s="3" t="s">
        <v>495</v>
      </c>
      <c r="O16" s="11" t="s">
        <v>1918</v>
      </c>
      <c r="P16" s="16">
        <v>1663861</v>
      </c>
      <c r="Q16" s="48">
        <v>1802057</v>
      </c>
      <c r="R16" s="14">
        <v>1931714</v>
      </c>
      <c r="S16" s="3"/>
      <c r="W16" s="132" t="s">
        <v>238</v>
      </c>
      <c r="X16" s="69">
        <v>5</v>
      </c>
      <c r="Y16" s="69">
        <v>61</v>
      </c>
      <c r="Z16" s="65">
        <f>20/61</f>
        <v>0.32786885245901637</v>
      </c>
      <c r="AA16" s="119">
        <v>106.1</v>
      </c>
      <c r="AB16" s="119">
        <v>109.1</v>
      </c>
      <c r="AC16" s="119">
        <f t="shared" si="1"/>
        <v>-3</v>
      </c>
      <c r="AD16" s="119">
        <v>23.2</v>
      </c>
      <c r="AE16" s="119">
        <v>23.5</v>
      </c>
      <c r="AF16" s="65">
        <v>0.72599999999999998</v>
      </c>
      <c r="AG16" s="119">
        <v>13.3</v>
      </c>
      <c r="AH16" s="119">
        <v>4.8</v>
      </c>
      <c r="AI16" s="119">
        <v>2</v>
      </c>
      <c r="AJ16" s="65">
        <v>0.23</v>
      </c>
      <c r="AK16" s="119">
        <v>1.6</v>
      </c>
      <c r="AL16" s="119">
        <v>1.3</v>
      </c>
      <c r="AM16" s="119">
        <v>1.8</v>
      </c>
      <c r="AN16" s="119">
        <v>12.9</v>
      </c>
    </row>
    <row r="17" spans="1:42" x14ac:dyDescent="0.2">
      <c r="A17" s="3">
        <v>17</v>
      </c>
      <c r="B17" s="3" t="s">
        <v>1363</v>
      </c>
      <c r="C17" s="3" t="s">
        <v>241</v>
      </c>
      <c r="D17" s="105">
        <v>66</v>
      </c>
      <c r="E17" s="105">
        <v>69</v>
      </c>
      <c r="F17" s="106">
        <v>221</v>
      </c>
      <c r="G17" s="4">
        <v>36168</v>
      </c>
      <c r="H17" s="110">
        <f t="shared" ca="1" si="0"/>
        <v>21.8</v>
      </c>
      <c r="I17" s="3" t="s">
        <v>425</v>
      </c>
      <c r="J17" s="3">
        <v>2</v>
      </c>
      <c r="K17" s="3">
        <v>2019</v>
      </c>
      <c r="L17" s="59">
        <v>47</v>
      </c>
      <c r="M17" s="3" t="s">
        <v>1364</v>
      </c>
      <c r="N17" s="3" t="s">
        <v>279</v>
      </c>
      <c r="O17" s="11" t="s">
        <v>750</v>
      </c>
      <c r="P17" s="11">
        <v>1517981</v>
      </c>
      <c r="Q17" s="48">
        <v>1782621</v>
      </c>
      <c r="R17" s="49">
        <v>2228276</v>
      </c>
      <c r="S17" s="3"/>
      <c r="W17" t="s">
        <v>1365</v>
      </c>
      <c r="X17" s="69">
        <v>3</v>
      </c>
      <c r="Y17" s="69">
        <v>9</v>
      </c>
      <c r="Z17" s="65">
        <f>1/9</f>
        <v>0.1111111111111111</v>
      </c>
      <c r="AA17" s="119">
        <v>109.7</v>
      </c>
      <c r="AB17" s="119">
        <v>116.8</v>
      </c>
      <c r="AC17" s="119">
        <f t="shared" si="1"/>
        <v>-7.0999999999999943</v>
      </c>
      <c r="AD17" s="119">
        <v>5.9</v>
      </c>
      <c r="AE17" s="119">
        <v>3.3</v>
      </c>
      <c r="AF17" s="65">
        <v>0.35099999999999998</v>
      </c>
      <c r="AG17" s="119">
        <v>21</v>
      </c>
      <c r="AH17" s="119">
        <v>-0.1</v>
      </c>
      <c r="AI17" s="119">
        <v>0</v>
      </c>
      <c r="AJ17" s="65">
        <v>-0.109</v>
      </c>
      <c r="AK17" s="119">
        <v>-5</v>
      </c>
      <c r="AL17" s="119">
        <v>-3.9</v>
      </c>
      <c r="AM17" s="119">
        <v>-0.1</v>
      </c>
      <c r="AN17" s="119">
        <v>1.8</v>
      </c>
    </row>
    <row r="18" spans="1:42" x14ac:dyDescent="0.2">
      <c r="A18" s="3"/>
      <c r="B18" s="3" t="s">
        <v>439</v>
      </c>
      <c r="C18" s="3" t="s">
        <v>230</v>
      </c>
      <c r="D18" s="105">
        <v>65</v>
      </c>
      <c r="E18" s="105">
        <v>611</v>
      </c>
      <c r="F18" s="106">
        <v>212</v>
      </c>
      <c r="G18" s="4">
        <v>35008</v>
      </c>
      <c r="H18" s="110">
        <f t="shared" ca="1" si="0"/>
        <v>25</v>
      </c>
      <c r="I18" s="3" t="s">
        <v>275</v>
      </c>
      <c r="J18" s="3">
        <v>3</v>
      </c>
      <c r="K18" s="109">
        <v>2018</v>
      </c>
      <c r="L18" s="109"/>
      <c r="M18" s="3" t="s">
        <v>1861</v>
      </c>
      <c r="N18" s="3" t="s">
        <v>288</v>
      </c>
      <c r="O18" s="3" t="s">
        <v>2516</v>
      </c>
      <c r="P18" s="16" t="s">
        <v>288</v>
      </c>
      <c r="Q18" s="49"/>
      <c r="R18" s="12"/>
      <c r="S18" s="12"/>
      <c r="T18" s="53"/>
      <c r="U18" s="3"/>
      <c r="V18" s="3"/>
      <c r="W18" s="3" t="s">
        <v>440</v>
      </c>
      <c r="X18" s="107">
        <v>2</v>
      </c>
      <c r="Y18" s="107">
        <v>33</v>
      </c>
      <c r="Z18" s="41">
        <f>15/33</f>
        <v>0.45454545454545453</v>
      </c>
      <c r="AA18" s="110">
        <v>95.1</v>
      </c>
      <c r="AB18" s="110">
        <v>99.67</v>
      </c>
      <c r="AC18" s="110">
        <f t="shared" si="1"/>
        <v>-4.5700000000000074</v>
      </c>
      <c r="AD18" s="110">
        <v>11.1</v>
      </c>
      <c r="AE18" s="110">
        <v>5.2</v>
      </c>
      <c r="AF18" s="41">
        <v>0.37</v>
      </c>
      <c r="AG18" s="110">
        <v>22.4</v>
      </c>
      <c r="AH18" s="110">
        <v>-1</v>
      </c>
      <c r="AI18" s="110">
        <v>0.5</v>
      </c>
      <c r="AJ18" s="41">
        <v>-7.3999999999999996E-2</v>
      </c>
      <c r="AK18" s="110">
        <v>-6.9</v>
      </c>
      <c r="AL18" s="110">
        <v>-0.2</v>
      </c>
      <c r="AM18" s="110">
        <v>-0.5</v>
      </c>
      <c r="AN18" s="110">
        <v>5.0999999999999996</v>
      </c>
      <c r="AO18" s="3"/>
      <c r="AP18" s="3"/>
    </row>
    <row r="19" spans="1:42" x14ac:dyDescent="0.2">
      <c r="A19" s="3">
        <v>12</v>
      </c>
      <c r="B19" s="3" t="s">
        <v>1850</v>
      </c>
      <c r="C19" s="3" t="s">
        <v>247</v>
      </c>
      <c r="D19" s="105">
        <v>510</v>
      </c>
      <c r="E19" s="105">
        <v>69</v>
      </c>
      <c r="F19" s="106">
        <v>175</v>
      </c>
      <c r="G19" s="4">
        <v>35687</v>
      </c>
      <c r="H19" s="110">
        <f t="shared" ca="1" si="0"/>
        <v>23.2</v>
      </c>
      <c r="I19" s="3" t="s">
        <v>227</v>
      </c>
      <c r="J19" s="3">
        <v>2</v>
      </c>
      <c r="K19" s="3">
        <v>2019</v>
      </c>
      <c r="L19" s="59"/>
      <c r="M19" s="3" t="s">
        <v>2098</v>
      </c>
      <c r="N19" s="3" t="s">
        <v>288</v>
      </c>
      <c r="O19" s="3" t="s">
        <v>2516</v>
      </c>
      <c r="P19" s="16" t="s">
        <v>288</v>
      </c>
      <c r="Q19" s="49"/>
      <c r="R19" s="3"/>
      <c r="S19" s="3"/>
      <c r="W19" s="132" t="s">
        <v>284</v>
      </c>
      <c r="X19" s="69">
        <v>1</v>
      </c>
      <c r="Y19" s="69">
        <v>3</v>
      </c>
      <c r="Z19" s="65">
        <f>1/3</f>
        <v>0.33333333333333331</v>
      </c>
      <c r="AA19" s="119">
        <v>83.3</v>
      </c>
      <c r="AB19" s="119">
        <v>144.4</v>
      </c>
      <c r="AC19" s="119">
        <f t="shared" si="1"/>
        <v>-61.100000000000009</v>
      </c>
      <c r="AD19" s="119">
        <v>2.6</v>
      </c>
      <c r="AE19" s="119">
        <v>-5.3</v>
      </c>
      <c r="AF19" s="65">
        <v>0.25</v>
      </c>
      <c r="AG19" s="119">
        <v>21.3</v>
      </c>
      <c r="AH19" s="119">
        <v>0</v>
      </c>
      <c r="AI19" s="119">
        <v>0</v>
      </c>
      <c r="AJ19" s="65">
        <v>-0.253</v>
      </c>
      <c r="AK19" s="119">
        <v>-10.199999999999999</v>
      </c>
      <c r="AL19" s="119">
        <v>-5.7</v>
      </c>
      <c r="AM19" s="119">
        <v>0</v>
      </c>
      <c r="AN19" s="119">
        <v>-2.6</v>
      </c>
    </row>
    <row r="20" spans="1:42" x14ac:dyDescent="0.2">
      <c r="A20" s="3"/>
      <c r="B20" s="3" t="s">
        <v>290</v>
      </c>
      <c r="C20" s="3"/>
      <c r="D20" s="3"/>
      <c r="E20" s="3"/>
      <c r="F20" s="3"/>
      <c r="G20" s="3"/>
      <c r="H20" s="110"/>
      <c r="I20" s="3"/>
      <c r="J20" s="3"/>
      <c r="K20" s="3"/>
      <c r="M20" s="3"/>
      <c r="N20" s="3"/>
      <c r="O20" s="3"/>
      <c r="P20" s="11">
        <f>6431667+1000000+1000000+1000000</f>
        <v>9431667</v>
      </c>
      <c r="Q20" s="11">
        <v>6431666</v>
      </c>
      <c r="R20" s="11"/>
      <c r="S20" s="11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2" x14ac:dyDescent="0.2">
      <c r="A21" s="3"/>
      <c r="B21" s="3"/>
      <c r="C21" s="3"/>
      <c r="J21" s="59"/>
      <c r="M21" s="237"/>
      <c r="N21" s="237"/>
      <c r="O21" s="237"/>
      <c r="P21" s="168"/>
      <c r="Q21" s="3"/>
      <c r="R21" s="3"/>
      <c r="S21" s="75"/>
      <c r="T21" s="75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2" x14ac:dyDescent="0.2">
      <c r="A22" s="3">
        <v>67</v>
      </c>
      <c r="B22" s="3" t="s">
        <v>120</v>
      </c>
      <c r="C22" s="3" t="s">
        <v>234</v>
      </c>
      <c r="D22" s="105">
        <v>69</v>
      </c>
      <c r="E22" s="105">
        <v>72</v>
      </c>
      <c r="F22" s="106">
        <v>232</v>
      </c>
      <c r="G22" s="4">
        <v>31222</v>
      </c>
      <c r="H22" s="110">
        <f ca="1">ROUNDDOWN(YEARFRAC($G$24,G22),1)</f>
        <v>35.4</v>
      </c>
      <c r="I22" s="3" t="s">
        <v>224</v>
      </c>
      <c r="J22" s="3">
        <v>12</v>
      </c>
      <c r="K22" s="3">
        <v>2009</v>
      </c>
      <c r="L22" s="59">
        <v>26</v>
      </c>
      <c r="M22" s="3" t="s">
        <v>418</v>
      </c>
      <c r="N22" s="3"/>
      <c r="O22" s="168"/>
      <c r="P22" s="14">
        <f>8437500*1.2</f>
        <v>10125000</v>
      </c>
      <c r="Q22" s="16"/>
      <c r="R22" s="3"/>
      <c r="S22" s="3"/>
      <c r="W22" t="s">
        <v>1343</v>
      </c>
      <c r="X22" s="69">
        <v>5</v>
      </c>
      <c r="Y22" s="69">
        <v>62</v>
      </c>
      <c r="Z22" s="65">
        <f>21/62</f>
        <v>0.33870967741935482</v>
      </c>
      <c r="AA22" s="119">
        <v>101.2</v>
      </c>
      <c r="AB22" s="119">
        <v>113.7</v>
      </c>
      <c r="AC22" s="119">
        <f t="shared" ref="AC22" si="4">AA22-AB22</f>
        <v>-12.5</v>
      </c>
      <c r="AD22" s="119">
        <v>16.5</v>
      </c>
      <c r="AE22" s="119">
        <v>16.100000000000001</v>
      </c>
      <c r="AF22" s="65">
        <v>0.61</v>
      </c>
      <c r="AG22" s="119">
        <v>14.8</v>
      </c>
      <c r="AH22" s="119">
        <v>1.8</v>
      </c>
      <c r="AI22" s="119">
        <v>0.8</v>
      </c>
      <c r="AJ22" s="65">
        <v>0.12</v>
      </c>
      <c r="AK22" s="119">
        <v>-0.7</v>
      </c>
      <c r="AL22" s="119">
        <v>-0.4</v>
      </c>
      <c r="AM22" s="119">
        <v>0.2</v>
      </c>
      <c r="AN22" s="119">
        <v>9.6999999999999993</v>
      </c>
    </row>
    <row r="23" spans="1:42" x14ac:dyDescent="0.2">
      <c r="A23" s="3"/>
      <c r="B23" s="3"/>
      <c r="C23" s="3"/>
      <c r="J23" s="59"/>
      <c r="M23" s="3"/>
      <c r="N23" s="3"/>
      <c r="O23" s="3"/>
      <c r="P23" s="168"/>
      <c r="Q23" s="3"/>
      <c r="R23" s="3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2" x14ac:dyDescent="0.2">
      <c r="G24" s="62">
        <f ca="1">TODAY()</f>
        <v>44162</v>
      </c>
      <c r="H24" s="63">
        <f ca="1">AVERAGE(H2:H17)</f>
        <v>24.281249999999996</v>
      </c>
      <c r="J24" s="63">
        <f>AVERAGE(J2:J17)</f>
        <v>4.6875</v>
      </c>
      <c r="M24" s="3"/>
      <c r="N24" s="3"/>
      <c r="O24" s="3"/>
      <c r="P24" s="3"/>
      <c r="Q24" s="3"/>
      <c r="R24" s="3"/>
      <c r="X24" s="69"/>
      <c r="Y24" s="69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2" x14ac:dyDescent="0.2">
      <c r="H25" s="63">
        <f ca="1">MEDIAN(H2:H17)</f>
        <v>23.15</v>
      </c>
      <c r="J25" s="69">
        <f>MEDIAN(J2:J17)</f>
        <v>3.5</v>
      </c>
      <c r="P25" s="64"/>
      <c r="X25" s="69"/>
      <c r="Y25" s="69"/>
      <c r="Z25" s="65"/>
      <c r="AA25" s="119"/>
      <c r="AB25" s="119"/>
      <c r="AC25" s="119"/>
      <c r="AD25" s="119"/>
      <c r="AE25" s="119"/>
      <c r="AF25" s="119"/>
      <c r="AG25" s="119"/>
      <c r="AH25" s="119"/>
      <c r="AI25" s="119"/>
      <c r="AJ25" s="65"/>
      <c r="AK25" s="119"/>
      <c r="AL25" s="119"/>
      <c r="AM25" s="119"/>
      <c r="AN25" s="119"/>
    </row>
    <row r="26" spans="1:42" x14ac:dyDescent="0.2">
      <c r="B26" s="197" t="s">
        <v>1985</v>
      </c>
      <c r="C26" s="59"/>
      <c r="H26" s="59"/>
      <c r="J26" s="59"/>
      <c r="P26" s="121">
        <f>SUM(P2:P20)</f>
        <v>90311967</v>
      </c>
      <c r="Q26" s="60"/>
      <c r="X26" s="69"/>
      <c r="Y26" s="69"/>
      <c r="Z26" s="65"/>
      <c r="AA26" s="119"/>
      <c r="AB26" s="119"/>
      <c r="AC26" s="119"/>
      <c r="AD26" s="119"/>
      <c r="AE26" s="119"/>
      <c r="AF26" s="119"/>
      <c r="AG26" s="119"/>
      <c r="AH26" s="119"/>
      <c r="AI26" s="119"/>
      <c r="AJ26" s="65"/>
      <c r="AK26" s="119"/>
      <c r="AL26" s="119"/>
      <c r="AM26" s="119"/>
      <c r="AN26" s="119"/>
    </row>
    <row r="27" spans="1:42" x14ac:dyDescent="0.2">
      <c r="B27" s="3" t="s">
        <v>1876</v>
      </c>
      <c r="C27" s="59">
        <v>16</v>
      </c>
      <c r="H27" s="197"/>
      <c r="I27" s="197"/>
      <c r="J27" s="59"/>
      <c r="P27" s="156"/>
      <c r="Q27" s="60"/>
      <c r="X27" s="69"/>
      <c r="Y27" s="6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65"/>
      <c r="AK27" s="119"/>
      <c r="AL27" s="119"/>
      <c r="AM27" s="119"/>
      <c r="AN27" s="119"/>
    </row>
    <row r="28" spans="1:42" x14ac:dyDescent="0.2">
      <c r="B28" s="3" t="s">
        <v>2457</v>
      </c>
      <c r="C28" s="59">
        <v>0</v>
      </c>
      <c r="H28" s="3"/>
      <c r="I28" s="3"/>
      <c r="J28" s="59"/>
      <c r="O28" s="3" t="s">
        <v>292</v>
      </c>
      <c r="P28" s="22" t="e">
        <f>#REF!</f>
        <v>#REF!</v>
      </c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65"/>
      <c r="AK28" s="119"/>
      <c r="AL28" s="119"/>
      <c r="AM28" s="119"/>
      <c r="AN28" s="119"/>
    </row>
    <row r="29" spans="1:42" x14ac:dyDescent="0.2">
      <c r="B29" s="3" t="s">
        <v>2539</v>
      </c>
      <c r="C29" s="59">
        <v>2</v>
      </c>
      <c r="D29" s="62"/>
      <c r="H29" s="3"/>
      <c r="I29" s="3"/>
      <c r="O29" s="22" t="s">
        <v>294</v>
      </c>
      <c r="P29" s="22" t="e">
        <f>#REF!</f>
        <v>#REF!</v>
      </c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65"/>
      <c r="AK29" s="119"/>
      <c r="AL29" s="119"/>
      <c r="AM29" s="119"/>
      <c r="AN29" s="119"/>
    </row>
    <row r="30" spans="1:42" x14ac:dyDescent="0.2">
      <c r="B30" s="3" t="s">
        <v>291</v>
      </c>
      <c r="C30" s="64">
        <f>4767000-P9</f>
        <v>0</v>
      </c>
      <c r="D30" s="62" t="s">
        <v>121</v>
      </c>
      <c r="H30" s="3"/>
      <c r="I30" s="3"/>
      <c r="O30" s="22"/>
      <c r="P30" s="22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65"/>
      <c r="AK30" s="119"/>
      <c r="AL30" s="119"/>
      <c r="AM30" s="119"/>
      <c r="AN30" s="119"/>
    </row>
    <row r="31" spans="1:42" x14ac:dyDescent="0.2">
      <c r="B31" s="3" t="s">
        <v>293</v>
      </c>
      <c r="C31" s="60">
        <v>0</v>
      </c>
      <c r="H31" s="3"/>
      <c r="I31" s="3"/>
      <c r="O31" s="3"/>
      <c r="P31" s="22"/>
      <c r="AJ31" s="124"/>
    </row>
    <row r="32" spans="1:42" x14ac:dyDescent="0.2">
      <c r="B32" s="3" t="s">
        <v>295</v>
      </c>
      <c r="C32" s="60">
        <v>0</v>
      </c>
      <c r="H32" s="3"/>
      <c r="I32" s="3"/>
      <c r="O32" s="22"/>
      <c r="P32" s="22"/>
    </row>
    <row r="33" spans="2:10" x14ac:dyDescent="0.2">
      <c r="B33" s="3"/>
      <c r="H33" s="3"/>
      <c r="I33" s="3"/>
      <c r="J33" s="60"/>
    </row>
    <row r="34" spans="2:10" x14ac:dyDescent="0.2">
      <c r="B34" s="5" t="s">
        <v>1875</v>
      </c>
      <c r="H34" s="3"/>
      <c r="I34" s="3"/>
    </row>
    <row r="35" spans="2:10" x14ac:dyDescent="0.2">
      <c r="B35" s="3" t="s">
        <v>296</v>
      </c>
      <c r="C35" s="65">
        <f>21/(21+45)</f>
        <v>0.31818181818181818</v>
      </c>
      <c r="D35" t="s">
        <v>318</v>
      </c>
      <c r="H35" s="5"/>
      <c r="I35" s="5"/>
    </row>
    <row r="36" spans="2:10" x14ac:dyDescent="0.2">
      <c r="B36" s="3" t="s">
        <v>298</v>
      </c>
      <c r="C36" s="59">
        <v>105.9</v>
      </c>
      <c r="D36" t="s">
        <v>1957</v>
      </c>
      <c r="H36" s="3"/>
      <c r="I36" s="3"/>
    </row>
    <row r="37" spans="2:10" x14ac:dyDescent="0.2">
      <c r="B37" s="3" t="s">
        <v>299</v>
      </c>
      <c r="C37" s="59">
        <v>112.4</v>
      </c>
      <c r="D37" t="s">
        <v>2006</v>
      </c>
      <c r="H37" s="3"/>
      <c r="I37" s="3"/>
    </row>
    <row r="38" spans="2:10" x14ac:dyDescent="0.2">
      <c r="B38" s="3" t="s">
        <v>300</v>
      </c>
      <c r="C38" s="59">
        <f>C36-C37</f>
        <v>-6.5</v>
      </c>
      <c r="D38" t="s">
        <v>2005</v>
      </c>
      <c r="H38" s="3"/>
      <c r="I38" s="3"/>
    </row>
    <row r="39" spans="2:10" x14ac:dyDescent="0.2">
      <c r="B39" s="3" t="s">
        <v>301</v>
      </c>
      <c r="C39" s="59">
        <v>99.11</v>
      </c>
      <c r="D39" t="s">
        <v>1688</v>
      </c>
      <c r="H39" s="3"/>
      <c r="I39" s="3"/>
    </row>
    <row r="40" spans="2:10" x14ac:dyDescent="0.2">
      <c r="H40" s="3"/>
      <c r="I40" s="3"/>
    </row>
    <row r="41" spans="2:10" x14ac:dyDescent="0.2">
      <c r="B41" s="2" t="s">
        <v>302</v>
      </c>
    </row>
    <row r="42" spans="2:10" x14ac:dyDescent="0.2">
      <c r="B42" s="3" t="s">
        <v>2595</v>
      </c>
    </row>
    <row r="43" spans="2:10" x14ac:dyDescent="0.2">
      <c r="B43" s="2" t="s">
        <v>1368</v>
      </c>
    </row>
    <row r="44" spans="2:10" x14ac:dyDescent="0.2">
      <c r="B44" s="2" t="s">
        <v>1369</v>
      </c>
    </row>
    <row r="45" spans="2:10" x14ac:dyDescent="0.2">
      <c r="B45" s="2" t="s">
        <v>1370</v>
      </c>
    </row>
    <row r="46" spans="2:10" x14ac:dyDescent="0.2">
      <c r="B46" s="2" t="s">
        <v>1371</v>
      </c>
    </row>
    <row r="47" spans="2:10" x14ac:dyDescent="0.2">
      <c r="B47" s="2" t="s">
        <v>1372</v>
      </c>
    </row>
    <row r="48" spans="2:10" x14ac:dyDescent="0.2">
      <c r="B48" s="10"/>
    </row>
    <row r="49" spans="2:10" x14ac:dyDescent="0.2">
      <c r="B49" s="2" t="s">
        <v>310</v>
      </c>
    </row>
    <row r="50" spans="2:10" x14ac:dyDescent="0.2">
      <c r="B50" s="2" t="s">
        <v>766</v>
      </c>
    </row>
    <row r="51" spans="2:10" x14ac:dyDescent="0.2">
      <c r="B51" s="2"/>
    </row>
    <row r="52" spans="2:10" x14ac:dyDescent="0.2">
      <c r="B52" s="194" t="s">
        <v>1989</v>
      </c>
    </row>
    <row r="53" spans="2:10" x14ac:dyDescent="0.2">
      <c r="B53" s="37" t="s">
        <v>314</v>
      </c>
      <c r="C53" s="59">
        <v>21</v>
      </c>
      <c r="D53" s="59">
        <v>45</v>
      </c>
      <c r="E53" t="s">
        <v>318</v>
      </c>
      <c r="G53" t="s">
        <v>1373</v>
      </c>
      <c r="J53" s="141" t="s">
        <v>316</v>
      </c>
    </row>
    <row r="54" spans="2:10" x14ac:dyDescent="0.2">
      <c r="B54" s="37" t="s">
        <v>317</v>
      </c>
      <c r="C54" s="59">
        <v>17</v>
      </c>
      <c r="D54" s="59">
        <v>65</v>
      </c>
      <c r="E54" t="s">
        <v>320</v>
      </c>
      <c r="G54" t="s">
        <v>1156</v>
      </c>
      <c r="J54" s="141" t="s">
        <v>316</v>
      </c>
    </row>
    <row r="55" spans="2:10" x14ac:dyDescent="0.2">
      <c r="B55" s="37" t="s">
        <v>319</v>
      </c>
      <c r="C55" s="59">
        <v>29</v>
      </c>
      <c r="D55" s="59">
        <v>53</v>
      </c>
      <c r="E55" s="59" t="s">
        <v>523</v>
      </c>
      <c r="G55" t="s">
        <v>1374</v>
      </c>
      <c r="J55" s="141" t="s">
        <v>316</v>
      </c>
    </row>
    <row r="56" spans="2:10" x14ac:dyDescent="0.2">
      <c r="B56" s="37" t="s">
        <v>322</v>
      </c>
      <c r="C56" s="59">
        <v>31</v>
      </c>
      <c r="D56" s="59">
        <v>51</v>
      </c>
      <c r="E56" t="s">
        <v>318</v>
      </c>
      <c r="G56" t="s">
        <v>1374</v>
      </c>
      <c r="J56" s="141" t="s">
        <v>316</v>
      </c>
    </row>
    <row r="57" spans="2:10" x14ac:dyDescent="0.2">
      <c r="B57" s="37" t="s">
        <v>325</v>
      </c>
      <c r="C57" s="59">
        <v>32</v>
      </c>
      <c r="D57" s="59">
        <v>50</v>
      </c>
      <c r="E57" t="s">
        <v>586</v>
      </c>
      <c r="G57" t="s">
        <v>1375</v>
      </c>
      <c r="J57" s="141" t="s">
        <v>316</v>
      </c>
    </row>
    <row r="58" spans="2:10" x14ac:dyDescent="0.2">
      <c r="B58" s="37" t="s">
        <v>328</v>
      </c>
      <c r="C58" s="59">
        <v>17</v>
      </c>
      <c r="D58" s="59">
        <v>65</v>
      </c>
      <c r="E58" t="s">
        <v>320</v>
      </c>
      <c r="G58" t="s">
        <v>1376</v>
      </c>
      <c r="J58" s="141" t="s">
        <v>316</v>
      </c>
    </row>
    <row r="59" spans="2:10" x14ac:dyDescent="0.2">
      <c r="B59" s="37" t="s">
        <v>331</v>
      </c>
      <c r="C59" s="59">
        <v>37</v>
      </c>
      <c r="D59" s="59">
        <v>45</v>
      </c>
      <c r="E59" t="s">
        <v>521</v>
      </c>
      <c r="G59" t="s">
        <v>1377</v>
      </c>
      <c r="J59" s="141" t="s">
        <v>316</v>
      </c>
    </row>
    <row r="60" spans="2:10" x14ac:dyDescent="0.2">
      <c r="B60" s="37" t="s">
        <v>334</v>
      </c>
      <c r="C60" s="59">
        <v>54</v>
      </c>
      <c r="D60" s="59">
        <v>28</v>
      </c>
      <c r="E60" t="s">
        <v>396</v>
      </c>
      <c r="G60" t="s">
        <v>1377</v>
      </c>
      <c r="J60" t="s">
        <v>1378</v>
      </c>
    </row>
    <row r="61" spans="2:10" x14ac:dyDescent="0.2">
      <c r="B61" s="37" t="s">
        <v>338</v>
      </c>
      <c r="C61" s="59">
        <v>36</v>
      </c>
      <c r="D61" s="59">
        <v>30</v>
      </c>
      <c r="E61" t="s">
        <v>400</v>
      </c>
      <c r="G61" t="s">
        <v>1379</v>
      </c>
      <c r="J61" t="s">
        <v>1380</v>
      </c>
    </row>
    <row r="62" spans="2:10" x14ac:dyDescent="0.2">
      <c r="B62" s="37" t="s">
        <v>340</v>
      </c>
      <c r="C62" s="59">
        <v>42</v>
      </c>
      <c r="D62" s="59">
        <v>40</v>
      </c>
      <c r="E62" t="s">
        <v>335</v>
      </c>
      <c r="G62" t="s">
        <v>934</v>
      </c>
      <c r="J62" t="s">
        <v>999</v>
      </c>
    </row>
    <row r="63" spans="2:10" x14ac:dyDescent="0.2">
      <c r="B63" t="s">
        <v>342</v>
      </c>
      <c r="C63" s="59">
        <f>SUM(C53:C62)</f>
        <v>316</v>
      </c>
      <c r="D63" s="59">
        <f>SUM(D53:D62)</f>
        <v>472</v>
      </c>
      <c r="E63" s="65">
        <f>C63/(C63+D63)</f>
        <v>0.40101522842639592</v>
      </c>
    </row>
  </sheetData>
  <hyperlinks>
    <hyperlink ref="B53" r:id="rId1" xr:uid="{8DB47AD0-E010-2D4A-98AA-0CE1D5576C1C}"/>
    <hyperlink ref="B54" r:id="rId2" xr:uid="{64342AD0-307D-6844-9731-DF881AB105F3}"/>
    <hyperlink ref="B55" r:id="rId3" xr:uid="{7035BB0C-63FA-8841-AEB8-2B803856D0B9}"/>
    <hyperlink ref="B56" r:id="rId4" xr:uid="{BCFC1EE2-9DB6-BB4A-9D06-3C40F8122D43}"/>
    <hyperlink ref="B57" r:id="rId5" xr:uid="{13453439-51E9-C348-B753-5232D46C1F2F}"/>
    <hyperlink ref="B58" r:id="rId6" xr:uid="{8EAF0856-A1FF-494A-BA80-9C34BFD4B47A}"/>
    <hyperlink ref="B59" r:id="rId7" xr:uid="{8A641AA0-7EB2-3840-80F1-74D4A45F4749}"/>
    <hyperlink ref="B60" r:id="rId8" xr:uid="{C0E08A23-05DE-EF45-81C8-9423A2FB7CCF}"/>
    <hyperlink ref="B61" r:id="rId9" xr:uid="{5549FF67-612D-974A-947B-DC1F41AC6314}"/>
    <hyperlink ref="B62" r:id="rId10" xr:uid="{D62E69D1-1A6C-7741-A948-C67E244A2A04}"/>
  </hyperlinks>
  <pageMargins left="0.7" right="0.7" top="0.75" bottom="0.75" header="0.3" footer="0.3"/>
  <ignoredErrors>
    <ignoredError sqref="J24:J25" formulaRange="1"/>
  </ignoredErrors>
  <legacyDrawing r:id="rId1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84B1-98DC-0546-BCE6-65C5488349AA}">
  <dimension ref="A1:AS85"/>
  <sheetViews>
    <sheetView zoomScaleNormal="100" workbookViewId="0"/>
  </sheetViews>
  <sheetFormatPr baseColWidth="10" defaultColWidth="11" defaultRowHeight="16" x14ac:dyDescent="0.2"/>
  <cols>
    <col min="1" max="1" width="4.6640625" customWidth="1"/>
    <col min="2" max="2" width="21.1640625" customWidth="1"/>
    <col min="3" max="3" width="11.6640625" customWidth="1"/>
    <col min="4" max="4" width="9" bestFit="1" customWidth="1"/>
    <col min="5" max="5" width="11.33203125" customWidth="1"/>
    <col min="6" max="6" width="7.6640625" customWidth="1"/>
    <col min="7" max="7" width="10.83203125" customWidth="1"/>
    <col min="8" max="8" width="5.83203125" customWidth="1"/>
    <col min="9" max="9" width="30.33203125" customWidth="1"/>
    <col min="10" max="10" width="10.83203125" customWidth="1"/>
    <col min="11" max="11" width="11.83203125" customWidth="1"/>
    <col min="12" max="12" width="5.1640625" customWidth="1"/>
    <col min="13" max="13" width="36.33203125" bestFit="1" customWidth="1"/>
    <col min="14" max="14" width="18.33203125" customWidth="1"/>
    <col min="15" max="15" width="46.83203125" customWidth="1"/>
    <col min="16" max="16" width="13.5" customWidth="1"/>
    <col min="17" max="17" width="12.6640625" customWidth="1"/>
    <col min="18" max="18" width="12.5" customWidth="1"/>
    <col min="19" max="19" width="12.5" bestFit="1" customWidth="1"/>
    <col min="20" max="20" width="12.33203125" bestFit="1" customWidth="1"/>
    <col min="21" max="21" width="10.1640625" customWidth="1"/>
    <col min="22" max="22" width="14.5" customWidth="1"/>
    <col min="23" max="23" width="28.1640625" customWidth="1"/>
    <col min="24" max="24" width="10.6640625" bestFit="1" customWidth="1"/>
    <col min="25" max="25" width="3.83203125" customWidth="1"/>
    <col min="26" max="26" width="8" customWidth="1"/>
    <col min="27" max="27" width="6" customWidth="1"/>
    <col min="28" max="28" width="6.33203125" customWidth="1"/>
    <col min="29" max="29" width="7.5" customWidth="1"/>
    <col min="30" max="31" width="5.1640625" customWidth="1"/>
    <col min="32" max="32" width="5.83203125" customWidth="1"/>
    <col min="33" max="33" width="7.6640625" customWidth="1"/>
    <col min="34" max="34" width="5.5" customWidth="1"/>
    <col min="35" max="35" width="5.1640625" customWidth="1"/>
    <col min="36" max="36" width="6.6640625" customWidth="1"/>
    <col min="37" max="37" width="6.33203125" customWidth="1"/>
    <col min="38" max="39" width="6" customWidth="1"/>
    <col min="40" max="40" width="5" customWidth="1"/>
  </cols>
  <sheetData>
    <row r="1" spans="1:45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5" x14ac:dyDescent="0.2">
      <c r="A2" s="3"/>
      <c r="B2" s="3" t="s">
        <v>1495</v>
      </c>
      <c r="C2" s="3" t="s">
        <v>234</v>
      </c>
      <c r="D2" s="105">
        <v>69</v>
      </c>
      <c r="E2" s="105">
        <v>71</v>
      </c>
      <c r="F2" s="106">
        <v>240</v>
      </c>
      <c r="G2" s="4">
        <v>31566</v>
      </c>
      <c r="H2" s="110">
        <f t="shared" ref="H2:H17" ca="1" si="0">ROUNDDOWN(YEARFRAC($G$33,G2),1)</f>
        <v>34.4</v>
      </c>
      <c r="I2" s="3" t="s">
        <v>449</v>
      </c>
      <c r="J2" s="3">
        <v>14</v>
      </c>
      <c r="K2" s="3">
        <v>2007</v>
      </c>
      <c r="L2" s="3">
        <v>3</v>
      </c>
      <c r="M2" s="3" t="s">
        <v>2226</v>
      </c>
      <c r="N2" s="3" t="s">
        <v>2227</v>
      </c>
      <c r="O2" s="3" t="s">
        <v>2053</v>
      </c>
      <c r="P2" s="16">
        <v>27500000</v>
      </c>
      <c r="Q2" s="11">
        <v>27000000</v>
      </c>
      <c r="R2" s="15">
        <v>26500000</v>
      </c>
      <c r="S2" s="14">
        <f>R2*1.5</f>
        <v>39750000</v>
      </c>
      <c r="T2" s="3"/>
      <c r="U2" s="3"/>
      <c r="V2" s="3"/>
      <c r="W2" s="3" t="s">
        <v>1496</v>
      </c>
      <c r="X2" s="107">
        <v>5</v>
      </c>
      <c r="Y2" s="107">
        <v>60</v>
      </c>
      <c r="Z2" s="41">
        <f>35/60</f>
        <v>0.58333333333333337</v>
      </c>
      <c r="AA2" s="110">
        <v>109.5</v>
      </c>
      <c r="AB2" s="110">
        <v>106</v>
      </c>
      <c r="AC2" s="110">
        <f t="shared" ref="AC2:AC19" si="1">AA2-AB2</f>
        <v>3.5</v>
      </c>
      <c r="AD2" s="110">
        <v>30.8</v>
      </c>
      <c r="AE2" s="110">
        <v>15.6</v>
      </c>
      <c r="AF2" s="41">
        <v>0.52600000000000002</v>
      </c>
      <c r="AG2" s="110">
        <v>17.600000000000001</v>
      </c>
      <c r="AH2" s="110">
        <v>2.5</v>
      </c>
      <c r="AI2" s="110">
        <v>2.5</v>
      </c>
      <c r="AJ2" s="41">
        <v>0.13</v>
      </c>
      <c r="AK2" s="110">
        <v>1.1000000000000001</v>
      </c>
      <c r="AL2" s="110">
        <v>1.1000000000000001</v>
      </c>
      <c r="AM2" s="110">
        <v>2</v>
      </c>
      <c r="AN2" s="110">
        <v>11.1</v>
      </c>
      <c r="AO2" s="3"/>
      <c r="AP2" s="3"/>
    </row>
    <row r="3" spans="1:45" x14ac:dyDescent="0.2">
      <c r="A3" s="82"/>
      <c r="B3" s="70" t="s">
        <v>151</v>
      </c>
      <c r="C3" s="82" t="s">
        <v>252</v>
      </c>
      <c r="D3" s="83">
        <v>68</v>
      </c>
      <c r="E3" s="83">
        <v>72</v>
      </c>
      <c r="F3" s="84">
        <v>215</v>
      </c>
      <c r="G3" s="85">
        <v>31228</v>
      </c>
      <c r="H3" s="86">
        <f t="shared" ca="1" si="0"/>
        <v>35.4</v>
      </c>
      <c r="I3" s="82" t="s">
        <v>534</v>
      </c>
      <c r="J3" s="82">
        <v>17</v>
      </c>
      <c r="K3" s="82">
        <v>2004</v>
      </c>
      <c r="L3" s="82">
        <v>43</v>
      </c>
      <c r="M3" s="82" t="s">
        <v>2296</v>
      </c>
      <c r="N3" s="82" t="s">
        <v>239</v>
      </c>
      <c r="O3" s="82" t="s">
        <v>2185</v>
      </c>
      <c r="P3" s="81">
        <v>12800000</v>
      </c>
      <c r="Q3" s="88">
        <f>P3*1.3</f>
        <v>16640000</v>
      </c>
      <c r="R3" s="82"/>
      <c r="S3" s="82"/>
      <c r="T3" s="82"/>
      <c r="U3" s="82"/>
      <c r="V3" s="82"/>
      <c r="W3" s="82" t="s">
        <v>1585</v>
      </c>
      <c r="X3" s="95">
        <v>3</v>
      </c>
      <c r="Y3" s="95">
        <v>21</v>
      </c>
      <c r="Z3" s="94">
        <f>10/21</f>
        <v>0.47619047619047616</v>
      </c>
      <c r="AA3" s="86">
        <v>116.7</v>
      </c>
      <c r="AB3" s="86">
        <v>114.1</v>
      </c>
      <c r="AC3" s="86">
        <f t="shared" si="1"/>
        <v>2.6000000000000085</v>
      </c>
      <c r="AD3" s="86">
        <v>33.4</v>
      </c>
      <c r="AE3" s="86">
        <v>12.8</v>
      </c>
      <c r="AF3" s="94">
        <v>0.64300000000000002</v>
      </c>
      <c r="AG3" s="86">
        <v>12.6</v>
      </c>
      <c r="AH3" s="86">
        <v>1</v>
      </c>
      <c r="AI3" s="86">
        <v>0.5</v>
      </c>
      <c r="AJ3" s="94">
        <v>0.10100000000000001</v>
      </c>
      <c r="AK3" s="86">
        <v>-1</v>
      </c>
      <c r="AL3" s="86">
        <v>0.5</v>
      </c>
      <c r="AM3" s="86">
        <v>0.3</v>
      </c>
      <c r="AN3" s="86">
        <v>7.6</v>
      </c>
      <c r="AO3" s="82"/>
    </row>
    <row r="4" spans="1:45" x14ac:dyDescent="0.2">
      <c r="A4" s="3"/>
      <c r="B4" s="3" t="s">
        <v>1221</v>
      </c>
      <c r="C4" s="59" t="s">
        <v>230</v>
      </c>
      <c r="D4" s="142">
        <v>63</v>
      </c>
      <c r="E4" s="142">
        <v>69</v>
      </c>
      <c r="F4" s="143">
        <v>188</v>
      </c>
      <c r="G4" s="4">
        <v>31536</v>
      </c>
      <c r="H4" s="119">
        <f t="shared" ca="1" si="0"/>
        <v>34.5</v>
      </c>
      <c r="I4" s="59" t="s">
        <v>1222</v>
      </c>
      <c r="J4" s="3">
        <v>13</v>
      </c>
      <c r="K4" s="107">
        <v>2008</v>
      </c>
      <c r="L4" s="107">
        <v>26</v>
      </c>
      <c r="M4" s="3" t="s">
        <v>2587</v>
      </c>
      <c r="N4" s="3" t="s">
        <v>2190</v>
      </c>
      <c r="O4" s="59" t="s">
        <v>2084</v>
      </c>
      <c r="P4" s="11">
        <v>9590602</v>
      </c>
      <c r="Q4" s="15">
        <v>10047297</v>
      </c>
      <c r="R4" s="14">
        <f>Q4*1.9</f>
        <v>19089864.300000001</v>
      </c>
      <c r="S4" s="12"/>
      <c r="T4" s="12"/>
      <c r="U4" s="59"/>
      <c r="V4" s="59"/>
      <c r="W4" s="59" t="s">
        <v>1223</v>
      </c>
      <c r="X4" s="69">
        <v>1</v>
      </c>
      <c r="Y4" s="69">
        <v>52</v>
      </c>
      <c r="Z4" s="65">
        <f>44/52</f>
        <v>0.84615384615384615</v>
      </c>
      <c r="AA4" s="119">
        <v>113</v>
      </c>
      <c r="AB4" s="119">
        <v>101.4</v>
      </c>
      <c r="AC4" s="119">
        <f t="shared" si="1"/>
        <v>11.599999999999994</v>
      </c>
      <c r="AD4" s="119">
        <v>21.2</v>
      </c>
      <c r="AE4" s="119">
        <v>17.5</v>
      </c>
      <c r="AF4" s="65">
        <v>0.66800000000000004</v>
      </c>
      <c r="AG4" s="119">
        <v>15.8</v>
      </c>
      <c r="AH4" s="119">
        <v>3.2</v>
      </c>
      <c r="AI4" s="119">
        <v>1.9</v>
      </c>
      <c r="AJ4" s="65">
        <v>0.22</v>
      </c>
      <c r="AK4" s="119">
        <v>1.8</v>
      </c>
      <c r="AL4" s="119">
        <v>1.4</v>
      </c>
      <c r="AM4" s="119">
        <v>1.5</v>
      </c>
      <c r="AN4" s="119">
        <v>11.9</v>
      </c>
      <c r="AO4" s="59"/>
    </row>
    <row r="5" spans="1:45" x14ac:dyDescent="0.2">
      <c r="A5" s="3"/>
      <c r="B5" s="3" t="s">
        <v>114</v>
      </c>
      <c r="C5" s="2" t="s">
        <v>241</v>
      </c>
      <c r="D5" s="105">
        <v>66</v>
      </c>
      <c r="E5" s="105">
        <v>69</v>
      </c>
      <c r="F5" s="106">
        <v>225</v>
      </c>
      <c r="G5" s="4">
        <v>32953</v>
      </c>
      <c r="H5" s="119">
        <f t="shared" ca="1" si="0"/>
        <v>30.6</v>
      </c>
      <c r="I5" t="s">
        <v>359</v>
      </c>
      <c r="J5" s="3">
        <v>7</v>
      </c>
      <c r="K5" s="107">
        <v>2012</v>
      </c>
      <c r="L5" s="107">
        <v>46</v>
      </c>
      <c r="M5" s="2" t="s">
        <v>2588</v>
      </c>
      <c r="N5" s="2" t="s">
        <v>2547</v>
      </c>
      <c r="O5" s="155" t="s">
        <v>2548</v>
      </c>
      <c r="P5" s="16">
        <v>7000000</v>
      </c>
      <c r="Q5" s="14">
        <f>P5*1.9</f>
        <v>13300000</v>
      </c>
      <c r="R5" s="12"/>
      <c r="S5" s="12"/>
      <c r="T5" s="12"/>
      <c r="W5" t="s">
        <v>1309</v>
      </c>
      <c r="X5" s="107">
        <v>3</v>
      </c>
      <c r="Y5" s="107">
        <v>69</v>
      </c>
      <c r="Z5" s="41">
        <f>31/69</f>
        <v>0.44927536231884058</v>
      </c>
      <c r="AA5" s="110">
        <v>109.6</v>
      </c>
      <c r="AB5" s="110">
        <v>109.8</v>
      </c>
      <c r="AC5" s="110">
        <f t="shared" si="1"/>
        <v>-0.20000000000000284</v>
      </c>
      <c r="AD5" s="110">
        <v>25.5</v>
      </c>
      <c r="AE5" s="110">
        <v>8.4</v>
      </c>
      <c r="AF5" s="41">
        <v>0.55000000000000004</v>
      </c>
      <c r="AG5" s="110">
        <v>13.4</v>
      </c>
      <c r="AH5" s="110">
        <v>1.1000000000000001</v>
      </c>
      <c r="AI5" s="110">
        <v>0.6</v>
      </c>
      <c r="AJ5" s="41">
        <v>4.4999999999999998E-2</v>
      </c>
      <c r="AK5" s="110">
        <v>-2.1</v>
      </c>
      <c r="AL5" s="110">
        <v>-0.8</v>
      </c>
      <c r="AM5" s="110">
        <v>-0.4</v>
      </c>
      <c r="AN5" s="110">
        <v>4.8</v>
      </c>
    </row>
    <row r="6" spans="1:45" x14ac:dyDescent="0.2">
      <c r="A6" s="3"/>
      <c r="B6" s="3" t="s">
        <v>693</v>
      </c>
      <c r="C6" s="3" t="s">
        <v>241</v>
      </c>
      <c r="D6" s="105">
        <v>67</v>
      </c>
      <c r="E6" s="105">
        <v>611</v>
      </c>
      <c r="F6" s="106">
        <v>220</v>
      </c>
      <c r="G6" s="4">
        <v>34786</v>
      </c>
      <c r="H6" s="110">
        <f t="shared" ca="1" si="0"/>
        <v>25.6</v>
      </c>
      <c r="I6" s="3" t="s">
        <v>275</v>
      </c>
      <c r="J6" s="3">
        <v>4</v>
      </c>
      <c r="K6" s="109">
        <v>2017</v>
      </c>
      <c r="L6" s="131">
        <v>15</v>
      </c>
      <c r="M6" s="3" t="s">
        <v>2329</v>
      </c>
      <c r="N6" s="3" t="s">
        <v>268</v>
      </c>
      <c r="O6" s="3" t="s">
        <v>1973</v>
      </c>
      <c r="P6" s="221">
        <v>5029650</v>
      </c>
      <c r="Q6" s="49">
        <f>P6*3</f>
        <v>15088950</v>
      </c>
      <c r="R6" s="12"/>
      <c r="S6" s="12"/>
      <c r="T6" s="80"/>
      <c r="U6" s="3"/>
      <c r="W6" t="s">
        <v>694</v>
      </c>
      <c r="X6" s="69">
        <v>4</v>
      </c>
      <c r="Y6" s="69">
        <v>58</v>
      </c>
      <c r="Z6" s="65">
        <f>36/58</f>
        <v>0.62068965517241381</v>
      </c>
      <c r="AA6" s="119">
        <v>112</v>
      </c>
      <c r="AB6" s="119">
        <v>111.3</v>
      </c>
      <c r="AC6" s="119">
        <f t="shared" si="1"/>
        <v>0.70000000000000284</v>
      </c>
      <c r="AD6" s="119">
        <v>16</v>
      </c>
      <c r="AE6" s="119">
        <v>10</v>
      </c>
      <c r="AF6" s="65">
        <v>0.498</v>
      </c>
      <c r="AG6" s="119">
        <v>15.8</v>
      </c>
      <c r="AH6" s="119">
        <v>0.7</v>
      </c>
      <c r="AI6" s="119">
        <v>0.6</v>
      </c>
      <c r="AJ6" s="65">
        <v>6.6000000000000003E-2</v>
      </c>
      <c r="AK6" s="119">
        <v>-1.7</v>
      </c>
      <c r="AL6" s="119">
        <v>-1.2</v>
      </c>
      <c r="AM6" s="119">
        <v>-0.2</v>
      </c>
      <c r="AN6" s="119">
        <v>6.5</v>
      </c>
    </row>
    <row r="7" spans="1:45" x14ac:dyDescent="0.2">
      <c r="A7" s="3"/>
      <c r="B7" s="3" t="s">
        <v>980</v>
      </c>
      <c r="C7" s="3" t="s">
        <v>234</v>
      </c>
      <c r="D7" s="105">
        <v>610</v>
      </c>
      <c r="E7" s="105">
        <v>611</v>
      </c>
      <c r="F7" s="106">
        <v>222</v>
      </c>
      <c r="G7" s="4">
        <v>35550</v>
      </c>
      <c r="H7" s="110">
        <f t="shared" ca="1" si="0"/>
        <v>23.5</v>
      </c>
      <c r="I7" s="3" t="s">
        <v>534</v>
      </c>
      <c r="J7" s="3">
        <v>4</v>
      </c>
      <c r="K7" s="109">
        <v>2017</v>
      </c>
      <c r="L7" s="109">
        <v>18</v>
      </c>
      <c r="M7" s="3" t="s">
        <v>2599</v>
      </c>
      <c r="N7" s="3" t="s">
        <v>2600</v>
      </c>
      <c r="O7" s="3" t="s">
        <v>2043</v>
      </c>
      <c r="P7" s="11">
        <v>4326825</v>
      </c>
      <c r="Q7" s="49">
        <v>12980475</v>
      </c>
      <c r="R7" s="12"/>
      <c r="S7" s="12"/>
      <c r="T7" s="12"/>
      <c r="U7" s="59"/>
      <c r="V7" s="59"/>
      <c r="W7" s="59" t="s">
        <v>981</v>
      </c>
      <c r="X7" s="69">
        <v>4</v>
      </c>
      <c r="Y7" s="69">
        <v>25</v>
      </c>
      <c r="Z7" s="65">
        <f>14/25</f>
        <v>0.56000000000000005</v>
      </c>
      <c r="AA7" s="119">
        <v>95.8</v>
      </c>
      <c r="AB7" s="119">
        <v>97.6</v>
      </c>
      <c r="AC7" s="119">
        <f t="shared" si="1"/>
        <v>-1.7999999999999972</v>
      </c>
      <c r="AD7" s="119">
        <v>7.7</v>
      </c>
      <c r="AE7" s="119">
        <v>13.8</v>
      </c>
      <c r="AF7" s="65">
        <v>0.48499999999999999</v>
      </c>
      <c r="AG7" s="119">
        <v>18.5</v>
      </c>
      <c r="AH7" s="119">
        <v>0</v>
      </c>
      <c r="AI7" s="119">
        <v>0.3</v>
      </c>
      <c r="AJ7" s="65">
        <v>8.7999999999999995E-2</v>
      </c>
      <c r="AK7" s="119">
        <v>-1.4</v>
      </c>
      <c r="AL7" s="119">
        <v>-0.1</v>
      </c>
      <c r="AM7" s="119">
        <v>0</v>
      </c>
      <c r="AN7" s="119">
        <v>10.199999999999999</v>
      </c>
      <c r="AO7" s="59"/>
      <c r="AP7" s="59"/>
    </row>
    <row r="8" spans="1:45" x14ac:dyDescent="0.2">
      <c r="A8" s="107">
        <v>2</v>
      </c>
      <c r="B8" s="3" t="s">
        <v>1393</v>
      </c>
      <c r="C8" s="3" t="s">
        <v>252</v>
      </c>
      <c r="D8" s="105">
        <v>65</v>
      </c>
      <c r="E8" s="105">
        <v>70</v>
      </c>
      <c r="F8" s="106">
        <v>180</v>
      </c>
      <c r="G8" s="4">
        <v>35988</v>
      </c>
      <c r="H8" s="119">
        <f t="shared" ca="1" si="0"/>
        <v>22.3</v>
      </c>
      <c r="I8" t="s">
        <v>266</v>
      </c>
      <c r="J8" s="3">
        <v>3</v>
      </c>
      <c r="K8" s="107">
        <v>2018</v>
      </c>
      <c r="L8" s="107">
        <v>11</v>
      </c>
      <c r="M8" s="2" t="s">
        <v>1387</v>
      </c>
      <c r="N8" s="2" t="s">
        <v>1394</v>
      </c>
      <c r="O8" s="2" t="s">
        <v>1886</v>
      </c>
      <c r="P8" s="16">
        <v>4141320</v>
      </c>
      <c r="Q8" s="50">
        <v>5495532</v>
      </c>
      <c r="R8" s="49">
        <f>Q8*3</f>
        <v>16486596</v>
      </c>
      <c r="S8" s="12"/>
      <c r="T8" s="12"/>
      <c r="W8" s="132" t="s">
        <v>1395</v>
      </c>
      <c r="X8" s="69">
        <v>2</v>
      </c>
      <c r="Y8" s="69">
        <v>63</v>
      </c>
      <c r="Z8" s="65">
        <f>39/63</f>
        <v>0.61904761904761907</v>
      </c>
      <c r="AA8" s="119">
        <v>113</v>
      </c>
      <c r="AB8" s="119">
        <v>109.4</v>
      </c>
      <c r="AC8" s="119">
        <f t="shared" si="1"/>
        <v>3.5999999999999943</v>
      </c>
      <c r="AD8" s="119">
        <v>35.1</v>
      </c>
      <c r="AE8" s="119">
        <v>17.8</v>
      </c>
      <c r="AF8" s="65">
        <v>0.56599999999999995</v>
      </c>
      <c r="AG8" s="119">
        <v>23.7</v>
      </c>
      <c r="AH8" s="119">
        <v>2.9</v>
      </c>
      <c r="AI8" s="119">
        <v>2.6</v>
      </c>
      <c r="AJ8" s="65">
        <v>0.12</v>
      </c>
      <c r="AK8" s="119">
        <v>1.4</v>
      </c>
      <c r="AL8" s="119">
        <v>0.2</v>
      </c>
      <c r="AM8" s="119">
        <v>2</v>
      </c>
      <c r="AN8" s="119">
        <v>12.3</v>
      </c>
    </row>
    <row r="9" spans="1:45" x14ac:dyDescent="0.2">
      <c r="A9" s="61">
        <v>17</v>
      </c>
      <c r="B9" s="228" t="s">
        <v>2286</v>
      </c>
      <c r="C9" s="59" t="s">
        <v>234</v>
      </c>
      <c r="D9" s="105">
        <v>70</v>
      </c>
      <c r="E9" s="105">
        <v>73</v>
      </c>
      <c r="F9" s="106">
        <v>208</v>
      </c>
      <c r="G9" s="62">
        <v>37251</v>
      </c>
      <c r="H9" s="119">
        <f t="shared" ca="1" si="0"/>
        <v>18.899999999999999</v>
      </c>
      <c r="I9" s="59" t="s">
        <v>1466</v>
      </c>
      <c r="J9" s="59">
        <v>1</v>
      </c>
      <c r="K9" s="59">
        <v>2020</v>
      </c>
      <c r="L9" s="59">
        <v>17</v>
      </c>
      <c r="M9" s="59" t="s">
        <v>2287</v>
      </c>
      <c r="N9" s="59" t="s">
        <v>244</v>
      </c>
      <c r="O9" s="59" t="s">
        <v>2288</v>
      </c>
      <c r="P9" s="11">
        <v>2964840</v>
      </c>
      <c r="Q9" s="11">
        <v>3113160</v>
      </c>
      <c r="R9" s="50">
        <v>3261480</v>
      </c>
      <c r="S9" s="50">
        <v>5009633</v>
      </c>
      <c r="T9" s="49">
        <f>S9*3</f>
        <v>15028899</v>
      </c>
      <c r="U9" s="59"/>
      <c r="V9" s="59"/>
      <c r="W9" s="59"/>
      <c r="X9" s="69"/>
      <c r="Y9" s="69"/>
      <c r="Z9" s="65"/>
      <c r="AA9" s="119"/>
      <c r="AB9" s="119"/>
      <c r="AC9" s="119"/>
      <c r="AD9" s="119"/>
      <c r="AE9" s="119"/>
      <c r="AF9" s="65"/>
      <c r="AG9" s="119"/>
      <c r="AH9" s="119"/>
      <c r="AI9" s="119"/>
      <c r="AJ9" s="65"/>
      <c r="AK9" s="119"/>
      <c r="AL9" s="119"/>
      <c r="AM9" s="119"/>
      <c r="AN9" s="119"/>
    </row>
    <row r="10" spans="1:45" x14ac:dyDescent="0.2">
      <c r="A10" s="107"/>
      <c r="B10" s="24" t="s">
        <v>365</v>
      </c>
      <c r="C10" s="3" t="s">
        <v>234</v>
      </c>
      <c r="D10" s="105">
        <v>70</v>
      </c>
      <c r="E10" s="105"/>
      <c r="F10" s="106">
        <v>235</v>
      </c>
      <c r="G10" s="4">
        <v>34259</v>
      </c>
      <c r="H10" s="110">
        <f t="shared" ca="1" si="0"/>
        <v>27.1</v>
      </c>
      <c r="I10" s="3" t="s">
        <v>366</v>
      </c>
      <c r="J10" s="3">
        <v>2</v>
      </c>
      <c r="K10" s="109">
        <v>2015</v>
      </c>
      <c r="L10" s="109"/>
      <c r="M10" s="3" t="s">
        <v>2480</v>
      </c>
      <c r="N10" s="3" t="s">
        <v>1405</v>
      </c>
      <c r="O10" s="3" t="s">
        <v>1902</v>
      </c>
      <c r="P10" s="16">
        <v>2619207</v>
      </c>
      <c r="Q10" s="32">
        <f>P10*1.3</f>
        <v>3404969.1</v>
      </c>
      <c r="R10" s="3"/>
      <c r="S10" s="3"/>
      <c r="T10" s="3"/>
      <c r="U10" s="3"/>
      <c r="V10" s="11"/>
      <c r="W10" s="5" t="s">
        <v>238</v>
      </c>
      <c r="X10" s="107">
        <v>5</v>
      </c>
      <c r="Y10" s="107">
        <v>21</v>
      </c>
      <c r="Z10" s="41">
        <f>18/21</f>
        <v>0.8571428571428571</v>
      </c>
      <c r="AA10" s="110">
        <v>104.3</v>
      </c>
      <c r="AB10" s="110">
        <v>108.1</v>
      </c>
      <c r="AC10" s="110">
        <f t="shared" si="1"/>
        <v>-3.7999999999999972</v>
      </c>
      <c r="AD10" s="110">
        <v>5.4</v>
      </c>
      <c r="AE10" s="110">
        <v>12.8</v>
      </c>
      <c r="AF10" s="41">
        <v>0.54</v>
      </c>
      <c r="AG10" s="110">
        <v>15.8</v>
      </c>
      <c r="AH10" s="110">
        <v>0.1</v>
      </c>
      <c r="AI10" s="110">
        <v>0.2</v>
      </c>
      <c r="AJ10" s="41">
        <v>0.124</v>
      </c>
      <c r="AK10" s="110">
        <v>-4.5</v>
      </c>
      <c r="AL10" s="110">
        <v>0.7</v>
      </c>
      <c r="AM10" s="110">
        <v>-0.1</v>
      </c>
      <c r="AN10" s="110">
        <v>7</v>
      </c>
      <c r="AO10" s="3"/>
      <c r="AP10" s="3"/>
      <c r="AQ10" s="3"/>
      <c r="AR10" s="3"/>
      <c r="AS10" s="3"/>
    </row>
    <row r="11" spans="1:45" x14ac:dyDescent="0.2">
      <c r="A11" s="107">
        <v>7</v>
      </c>
      <c r="B11" s="3" t="s">
        <v>1399</v>
      </c>
      <c r="C11" s="3" t="s">
        <v>234</v>
      </c>
      <c r="D11" s="105">
        <v>68</v>
      </c>
      <c r="E11" s="105">
        <v>70</v>
      </c>
      <c r="F11" s="106">
        <v>208</v>
      </c>
      <c r="G11" s="4">
        <v>36689</v>
      </c>
      <c r="H11" s="119">
        <f t="shared" ca="1" si="0"/>
        <v>20.399999999999999</v>
      </c>
      <c r="I11" t="s">
        <v>1400</v>
      </c>
      <c r="J11" s="3">
        <v>2</v>
      </c>
      <c r="K11" s="107">
        <v>2019</v>
      </c>
      <c r="L11" s="107">
        <v>23</v>
      </c>
      <c r="M11" s="2" t="s">
        <v>1401</v>
      </c>
      <c r="N11" s="2" t="s">
        <v>244</v>
      </c>
      <c r="O11" s="9" t="s">
        <v>1888</v>
      </c>
      <c r="P11" s="16">
        <v>2399160</v>
      </c>
      <c r="Q11" s="50">
        <v>2513040</v>
      </c>
      <c r="R11" s="50">
        <v>4264629</v>
      </c>
      <c r="S11" s="49">
        <f>R11*3</f>
        <v>12793887</v>
      </c>
      <c r="T11" s="3"/>
      <c r="W11" s="132" t="s">
        <v>1402</v>
      </c>
      <c r="X11" s="69">
        <v>4</v>
      </c>
      <c r="Y11" s="69">
        <v>53</v>
      </c>
      <c r="Z11" s="65">
        <f>32/53</f>
        <v>0.60377358490566035</v>
      </c>
      <c r="AA11" s="119">
        <v>98.3</v>
      </c>
      <c r="AB11" s="119">
        <v>101.6</v>
      </c>
      <c r="AC11" s="119">
        <f t="shared" si="1"/>
        <v>-3.2999999999999972</v>
      </c>
      <c r="AD11" s="119">
        <v>17.2</v>
      </c>
      <c r="AE11" s="119">
        <v>8.1</v>
      </c>
      <c r="AF11" s="65">
        <v>0.47499999999999998</v>
      </c>
      <c r="AG11" s="119">
        <v>14.1</v>
      </c>
      <c r="AH11" s="119">
        <v>-0.8</v>
      </c>
      <c r="AI11" s="119">
        <v>1.2</v>
      </c>
      <c r="AJ11" s="65">
        <v>1.9E-2</v>
      </c>
      <c r="AK11" s="119">
        <v>-3.1</v>
      </c>
      <c r="AL11" s="119">
        <v>0.6</v>
      </c>
      <c r="AM11" s="119">
        <v>-0.1</v>
      </c>
      <c r="AN11" s="119">
        <v>7.7</v>
      </c>
    </row>
    <row r="12" spans="1:45" x14ac:dyDescent="0.2">
      <c r="A12" s="3"/>
      <c r="B12" s="3" t="s">
        <v>1556</v>
      </c>
      <c r="C12" s="59" t="s">
        <v>230</v>
      </c>
      <c r="D12" s="142">
        <v>65</v>
      </c>
      <c r="E12" s="142">
        <v>64</v>
      </c>
      <c r="F12" s="143">
        <v>195</v>
      </c>
      <c r="G12" s="4">
        <v>35619</v>
      </c>
      <c r="H12" s="119">
        <f t="shared" ca="1" si="0"/>
        <v>23.3</v>
      </c>
      <c r="I12" s="59" t="s">
        <v>242</v>
      </c>
      <c r="J12" s="3">
        <v>2</v>
      </c>
      <c r="K12" s="59">
        <v>2019</v>
      </c>
      <c r="L12" s="59">
        <v>24</v>
      </c>
      <c r="M12" s="3" t="s">
        <v>2200</v>
      </c>
      <c r="N12" s="3" t="s">
        <v>2177</v>
      </c>
      <c r="O12" s="232" t="s">
        <v>1888</v>
      </c>
      <c r="P12" s="16">
        <v>2303040</v>
      </c>
      <c r="Q12" s="50">
        <v>2412840</v>
      </c>
      <c r="R12" s="50">
        <v>4220057</v>
      </c>
      <c r="S12" s="49">
        <v>12660171</v>
      </c>
      <c r="T12" s="12"/>
      <c r="U12" s="59"/>
      <c r="V12" s="59"/>
      <c r="W12" s="59" t="s">
        <v>1557</v>
      </c>
      <c r="X12" s="69">
        <v>2</v>
      </c>
      <c r="Y12" s="69">
        <v>28</v>
      </c>
      <c r="Z12" s="65">
        <f>13/28</f>
        <v>0.4642857142857143</v>
      </c>
      <c r="AA12" s="119">
        <v>97.6</v>
      </c>
      <c r="AB12" s="119">
        <v>112.5</v>
      </c>
      <c r="AC12" s="119">
        <f t="shared" si="1"/>
        <v>-14.900000000000006</v>
      </c>
      <c r="AD12" s="119">
        <v>11.2</v>
      </c>
      <c r="AE12" s="119">
        <v>8.1</v>
      </c>
      <c r="AF12" s="65">
        <v>0.437</v>
      </c>
      <c r="AG12" s="119">
        <v>17.600000000000001</v>
      </c>
      <c r="AH12" s="119">
        <v>-0.3</v>
      </c>
      <c r="AI12" s="119">
        <v>0.3</v>
      </c>
      <c r="AJ12" s="65">
        <v>-2E-3</v>
      </c>
      <c r="AK12" s="119">
        <v>-3.9</v>
      </c>
      <c r="AL12" s="119">
        <v>0</v>
      </c>
      <c r="AM12" s="119">
        <v>-0.1</v>
      </c>
      <c r="AN12" s="119">
        <v>6.6</v>
      </c>
      <c r="AO12" s="59"/>
      <c r="AP12" s="59"/>
      <c r="AQ12" s="59"/>
    </row>
    <row r="13" spans="1:45" x14ac:dyDescent="0.2">
      <c r="A13" s="107">
        <v>33</v>
      </c>
      <c r="B13" s="3" t="s">
        <v>128</v>
      </c>
      <c r="C13" s="3" t="s">
        <v>234</v>
      </c>
      <c r="D13" s="105">
        <v>610</v>
      </c>
      <c r="E13" s="105">
        <v>71</v>
      </c>
      <c r="F13" s="106">
        <v>240</v>
      </c>
      <c r="G13" s="4">
        <v>33420</v>
      </c>
      <c r="H13" s="119">
        <f t="shared" ca="1" si="0"/>
        <v>29.4</v>
      </c>
      <c r="I13" t="s">
        <v>1403</v>
      </c>
      <c r="J13" s="3">
        <v>8</v>
      </c>
      <c r="K13" s="107">
        <v>2013</v>
      </c>
      <c r="L13" s="107">
        <v>44</v>
      </c>
      <c r="M13" s="2" t="s">
        <v>685</v>
      </c>
      <c r="N13" s="2" t="s">
        <v>276</v>
      </c>
      <c r="O13" s="2" t="s">
        <v>2170</v>
      </c>
      <c r="P13" s="16">
        <v>2283034</v>
      </c>
      <c r="Q13" s="14">
        <v>1856061</v>
      </c>
      <c r="R13" s="12"/>
      <c r="S13" s="12"/>
      <c r="T13" s="12"/>
      <c r="W13" t="s">
        <v>545</v>
      </c>
      <c r="X13" s="69">
        <v>5</v>
      </c>
      <c r="Y13" s="69">
        <v>41</v>
      </c>
      <c r="Z13" s="65">
        <f>23/41</f>
        <v>0.56097560975609762</v>
      </c>
      <c r="AA13" s="119">
        <v>102.3</v>
      </c>
      <c r="AB13" s="119">
        <v>104.9</v>
      </c>
      <c r="AC13" s="119">
        <f t="shared" si="1"/>
        <v>-2.6000000000000085</v>
      </c>
      <c r="AD13" s="119">
        <v>12</v>
      </c>
      <c r="AE13" s="119">
        <v>12.2</v>
      </c>
      <c r="AF13" s="65">
        <v>0.56000000000000005</v>
      </c>
      <c r="AG13" s="119">
        <v>16.399999999999999</v>
      </c>
      <c r="AH13" s="119">
        <v>0.5</v>
      </c>
      <c r="AI13" s="119">
        <v>0.5</v>
      </c>
      <c r="AJ13" s="65">
        <v>0.10199999999999999</v>
      </c>
      <c r="AK13" s="119">
        <v>-0.1</v>
      </c>
      <c r="AL13" s="119">
        <v>-0.1</v>
      </c>
      <c r="AM13" s="119">
        <v>0.2</v>
      </c>
      <c r="AN13" s="119">
        <v>8.1999999999999993</v>
      </c>
    </row>
    <row r="14" spans="1:45" x14ac:dyDescent="0.2">
      <c r="A14" s="107">
        <v>6</v>
      </c>
      <c r="B14" s="3" t="s">
        <v>131</v>
      </c>
      <c r="C14" s="3" t="s">
        <v>252</v>
      </c>
      <c r="D14" s="105">
        <v>65</v>
      </c>
      <c r="E14" s="105">
        <v>611</v>
      </c>
      <c r="F14" s="106">
        <v>202</v>
      </c>
      <c r="G14" s="4">
        <v>36007</v>
      </c>
      <c r="H14" s="119">
        <f t="shared" ca="1" si="0"/>
        <v>22.3</v>
      </c>
      <c r="I14" t="s">
        <v>266</v>
      </c>
      <c r="J14" s="3">
        <v>3</v>
      </c>
      <c r="K14" s="107">
        <v>2018</v>
      </c>
      <c r="L14" s="107">
        <v>45</v>
      </c>
      <c r="M14" s="2" t="s">
        <v>1412</v>
      </c>
      <c r="N14" s="2" t="s">
        <v>495</v>
      </c>
      <c r="O14" s="2" t="s">
        <v>1955</v>
      </c>
      <c r="P14" s="19">
        <v>1663861</v>
      </c>
      <c r="Q14" s="49">
        <v>2122822</v>
      </c>
      <c r="R14" s="12"/>
      <c r="S14" s="12"/>
      <c r="T14" s="12"/>
      <c r="W14" t="s">
        <v>1413</v>
      </c>
      <c r="X14" s="69">
        <v>3</v>
      </c>
      <c r="Y14" s="69">
        <v>38</v>
      </c>
      <c r="Z14" s="65">
        <f>21/38</f>
        <v>0.55263157894736847</v>
      </c>
      <c r="AA14" s="119">
        <v>104.3</v>
      </c>
      <c r="AB14" s="119">
        <v>102.4</v>
      </c>
      <c r="AC14" s="119">
        <f t="shared" si="1"/>
        <v>1.8999999999999915</v>
      </c>
      <c r="AD14" s="119">
        <v>18.399999999999999</v>
      </c>
      <c r="AE14" s="119">
        <v>8.4</v>
      </c>
      <c r="AF14" s="65">
        <v>0.48799999999999999</v>
      </c>
      <c r="AG14" s="119">
        <v>17.399999999999999</v>
      </c>
      <c r="AH14" s="119">
        <v>-0.6</v>
      </c>
      <c r="AI14" s="119">
        <v>0.8</v>
      </c>
      <c r="AJ14" s="65">
        <v>1.4E-2</v>
      </c>
      <c r="AK14" s="119">
        <v>-5</v>
      </c>
      <c r="AL14" s="119">
        <v>0.3</v>
      </c>
      <c r="AM14" s="119">
        <v>-0.5</v>
      </c>
      <c r="AN14" s="119">
        <v>5.3</v>
      </c>
    </row>
    <row r="15" spans="1:45" x14ac:dyDescent="0.2">
      <c r="A15" s="3">
        <v>34</v>
      </c>
      <c r="B15" s="3" t="s">
        <v>117</v>
      </c>
      <c r="C15" s="2" t="s">
        <v>234</v>
      </c>
      <c r="D15" s="105">
        <v>66</v>
      </c>
      <c r="E15" s="105">
        <v>68</v>
      </c>
      <c r="F15" s="106">
        <v>210</v>
      </c>
      <c r="G15" s="4">
        <v>34670</v>
      </c>
      <c r="H15" s="119">
        <f t="shared" ca="1" si="0"/>
        <v>25.9</v>
      </c>
      <c r="I15" t="s">
        <v>1321</v>
      </c>
      <c r="J15" s="3">
        <v>3</v>
      </c>
      <c r="K15" s="107">
        <v>2018</v>
      </c>
      <c r="L15" s="107"/>
      <c r="M15" s="2" t="s">
        <v>2674</v>
      </c>
      <c r="N15" s="3" t="s">
        <v>2589</v>
      </c>
      <c r="O15" s="3" t="s">
        <v>2581</v>
      </c>
      <c r="P15" s="11">
        <v>2000000</v>
      </c>
      <c r="Q15" s="15">
        <v>2000000</v>
      </c>
      <c r="R15" s="15">
        <v>2000000</v>
      </c>
      <c r="S15" s="14">
        <f>R15*1.9</f>
        <v>3800000</v>
      </c>
      <c r="T15" s="12"/>
      <c r="W15" t="s">
        <v>1322</v>
      </c>
      <c r="X15" s="107">
        <v>4</v>
      </c>
      <c r="Y15" s="107">
        <v>35</v>
      </c>
      <c r="Z15" s="41">
        <f>12/35</f>
        <v>0.34285714285714286</v>
      </c>
      <c r="AA15" s="110">
        <v>105.8</v>
      </c>
      <c r="AB15" s="110">
        <v>108.2</v>
      </c>
      <c r="AC15" s="110">
        <f t="shared" si="1"/>
        <v>-2.4000000000000057</v>
      </c>
      <c r="AD15" s="110">
        <v>22.3</v>
      </c>
      <c r="AE15" s="110">
        <v>7.6</v>
      </c>
      <c r="AF15" s="41">
        <v>0.43</v>
      </c>
      <c r="AG15" s="110">
        <v>9.1999999999999993</v>
      </c>
      <c r="AH15" s="110">
        <v>0.1</v>
      </c>
      <c r="AI15" s="110">
        <v>0.8</v>
      </c>
      <c r="AJ15" s="41">
        <v>5.1999999999999998E-2</v>
      </c>
      <c r="AK15" s="110">
        <v>-3.3</v>
      </c>
      <c r="AL15" s="110">
        <v>1</v>
      </c>
      <c r="AM15" s="110">
        <v>-0.1</v>
      </c>
      <c r="AN15" s="110">
        <v>5.4</v>
      </c>
    </row>
    <row r="16" spans="1:45" x14ac:dyDescent="0.2">
      <c r="A16" s="3">
        <v>5</v>
      </c>
      <c r="B16" s="3" t="s">
        <v>1324</v>
      </c>
      <c r="C16" s="2" t="s">
        <v>247</v>
      </c>
      <c r="D16" s="105">
        <v>60</v>
      </c>
      <c r="E16" s="105">
        <v>65</v>
      </c>
      <c r="F16" s="106">
        <v>180</v>
      </c>
      <c r="G16" s="4">
        <v>34221</v>
      </c>
      <c r="H16" s="119">
        <f t="shared" ca="1" si="0"/>
        <v>27.2</v>
      </c>
      <c r="I16" t="s">
        <v>1325</v>
      </c>
      <c r="J16" s="3">
        <v>3</v>
      </c>
      <c r="K16" s="107">
        <v>2016</v>
      </c>
      <c r="L16" s="107"/>
      <c r="M16" s="2" t="s">
        <v>2674</v>
      </c>
      <c r="N16" s="3" t="s">
        <v>2589</v>
      </c>
      <c r="O16" s="3" t="s">
        <v>2590</v>
      </c>
      <c r="P16" s="11">
        <v>1620564</v>
      </c>
      <c r="Q16" s="253"/>
      <c r="R16" s="253"/>
      <c r="S16" s="236"/>
      <c r="T16" s="12"/>
      <c r="X16" s="107"/>
      <c r="Y16" s="107">
        <v>2</v>
      </c>
      <c r="Z16" s="41"/>
      <c r="AA16" s="110"/>
      <c r="AB16" s="110"/>
      <c r="AC16" s="110"/>
      <c r="AD16" s="110"/>
      <c r="AE16" s="110"/>
      <c r="AF16" s="41"/>
      <c r="AG16" s="110"/>
      <c r="AH16" s="110"/>
      <c r="AI16" s="110"/>
      <c r="AJ16" s="41"/>
      <c r="AK16" s="110"/>
      <c r="AL16" s="110"/>
      <c r="AM16" s="110"/>
      <c r="AN16" s="110"/>
    </row>
    <row r="17" spans="1:42" x14ac:dyDescent="0.2">
      <c r="A17" s="107">
        <v>5</v>
      </c>
      <c r="B17" s="3" t="s">
        <v>1417</v>
      </c>
      <c r="C17" s="3" t="s">
        <v>252</v>
      </c>
      <c r="D17" s="105">
        <v>63</v>
      </c>
      <c r="E17" s="105">
        <v>69</v>
      </c>
      <c r="F17" s="106">
        <v>215</v>
      </c>
      <c r="G17" s="4">
        <v>36269</v>
      </c>
      <c r="H17" s="119">
        <f t="shared" ca="1" si="0"/>
        <v>21.6</v>
      </c>
      <c r="I17" t="s">
        <v>900</v>
      </c>
      <c r="J17" s="3">
        <v>2</v>
      </c>
      <c r="K17" s="107">
        <v>2019</v>
      </c>
      <c r="L17" s="107"/>
      <c r="M17" s="2" t="s">
        <v>415</v>
      </c>
      <c r="N17" s="2" t="s">
        <v>495</v>
      </c>
      <c r="O17" s="2" t="s">
        <v>1889</v>
      </c>
      <c r="P17" s="57">
        <v>1517981</v>
      </c>
      <c r="Q17" s="56">
        <v>1782621</v>
      </c>
      <c r="R17" s="58">
        <v>1930861</v>
      </c>
      <c r="S17" s="51">
        <v>2046307</v>
      </c>
      <c r="T17" s="12"/>
      <c r="W17" s="155" t="s">
        <v>1418</v>
      </c>
      <c r="X17" s="69">
        <v>3</v>
      </c>
      <c r="Y17" s="69">
        <v>29</v>
      </c>
      <c r="Z17" s="65">
        <f>22/29</f>
        <v>0.75862068965517238</v>
      </c>
      <c r="AA17" s="119">
        <v>112.5</v>
      </c>
      <c r="AB17" s="119">
        <v>107.8</v>
      </c>
      <c r="AC17" s="119">
        <f t="shared" si="1"/>
        <v>4.7000000000000028</v>
      </c>
      <c r="AD17" s="119">
        <v>22</v>
      </c>
      <c r="AE17" s="119">
        <v>7.3</v>
      </c>
      <c r="AF17" s="65">
        <v>0.52100000000000002</v>
      </c>
      <c r="AG17" s="119">
        <v>13</v>
      </c>
      <c r="AH17" s="119">
        <v>0.2</v>
      </c>
      <c r="AI17" s="119">
        <v>0.5</v>
      </c>
      <c r="AJ17" s="65">
        <v>5.1999999999999998E-2</v>
      </c>
      <c r="AK17" s="119">
        <v>-4.3</v>
      </c>
      <c r="AL17" s="119">
        <v>0.4</v>
      </c>
      <c r="AM17" s="119">
        <v>-0.3</v>
      </c>
      <c r="AN17" s="119">
        <v>3.1</v>
      </c>
    </row>
    <row r="18" spans="1:42" x14ac:dyDescent="0.2">
      <c r="A18" s="3">
        <v>1</v>
      </c>
      <c r="B18" s="3" t="s">
        <v>1812</v>
      </c>
      <c r="C18" s="3" t="s">
        <v>241</v>
      </c>
      <c r="D18" s="105">
        <v>65</v>
      </c>
      <c r="E18" s="105">
        <v>610</v>
      </c>
      <c r="F18" s="106">
        <v>241</v>
      </c>
      <c r="G18" s="4">
        <v>35519</v>
      </c>
      <c r="H18" s="110">
        <f ca="1">ROUNDDOWN(YEARFRAC(G18,$G$33),1)</f>
        <v>23.6</v>
      </c>
      <c r="I18" s="3" t="s">
        <v>369</v>
      </c>
      <c r="J18" s="3">
        <v>2</v>
      </c>
      <c r="K18" s="3">
        <v>2019</v>
      </c>
      <c r="L18" s="3"/>
      <c r="M18" s="3" t="s">
        <v>2481</v>
      </c>
      <c r="N18" s="3" t="s">
        <v>2421</v>
      </c>
      <c r="O18" s="3" t="s">
        <v>750</v>
      </c>
      <c r="P18" s="11">
        <v>1517981</v>
      </c>
      <c r="Q18" s="15">
        <v>1782621</v>
      </c>
      <c r="R18" s="49">
        <v>2228276</v>
      </c>
      <c r="S18" s="3"/>
      <c r="T18" s="3"/>
      <c r="U18" s="3"/>
      <c r="V18" s="3"/>
      <c r="W18" s="3" t="s">
        <v>1813</v>
      </c>
      <c r="X18" s="107">
        <v>4</v>
      </c>
      <c r="Y18" s="107">
        <v>27</v>
      </c>
      <c r="Z18" s="41">
        <f>9/27</f>
        <v>0.33333333333333331</v>
      </c>
      <c r="AA18" s="110">
        <v>104.1</v>
      </c>
      <c r="AB18" s="110">
        <v>109</v>
      </c>
      <c r="AC18" s="110">
        <f t="shared" si="1"/>
        <v>-4.9000000000000057</v>
      </c>
      <c r="AD18" s="110">
        <v>10.8</v>
      </c>
      <c r="AE18" s="110">
        <v>6.8</v>
      </c>
      <c r="AF18" s="41">
        <v>0.51400000000000001</v>
      </c>
      <c r="AG18" s="110">
        <v>12.5</v>
      </c>
      <c r="AH18" s="110">
        <v>0.1</v>
      </c>
      <c r="AI18" s="110">
        <v>0</v>
      </c>
      <c r="AJ18" s="41">
        <v>0.02</v>
      </c>
      <c r="AK18" s="110">
        <v>-4.2</v>
      </c>
      <c r="AL18" s="110">
        <v>-1.1000000000000001</v>
      </c>
      <c r="AM18" s="110">
        <v>-0.2</v>
      </c>
      <c r="AN18" s="110">
        <v>3.7</v>
      </c>
    </row>
    <row r="19" spans="1:42" x14ac:dyDescent="0.2">
      <c r="A19" s="107">
        <v>9</v>
      </c>
      <c r="B19" s="3" t="s">
        <v>1407</v>
      </c>
      <c r="C19" s="3" t="s">
        <v>234</v>
      </c>
      <c r="D19" s="105">
        <v>68</v>
      </c>
      <c r="E19" s="105">
        <v>71</v>
      </c>
      <c r="F19" s="106">
        <v>230</v>
      </c>
      <c r="G19" s="4">
        <v>35829</v>
      </c>
      <c r="H19" s="119">
        <f ca="1">ROUNDDOWN(YEARFRAC($G$33,G19),1)</f>
        <v>22.8</v>
      </c>
      <c r="I19" t="s">
        <v>1408</v>
      </c>
      <c r="J19" s="3">
        <v>2</v>
      </c>
      <c r="K19" s="107">
        <v>2019</v>
      </c>
      <c r="L19" s="107">
        <v>45</v>
      </c>
      <c r="M19" s="2" t="s">
        <v>1409</v>
      </c>
      <c r="N19" s="2" t="s">
        <v>1410</v>
      </c>
      <c r="O19" s="2" t="s">
        <v>1890</v>
      </c>
      <c r="P19" s="16">
        <v>1517981</v>
      </c>
      <c r="Q19" s="15">
        <v>1782621</v>
      </c>
      <c r="R19" s="48">
        <v>1930681</v>
      </c>
      <c r="S19" s="14">
        <v>2046307</v>
      </c>
      <c r="T19" s="12"/>
      <c r="W19" s="132" t="s">
        <v>1411</v>
      </c>
      <c r="X19" s="69">
        <v>4</v>
      </c>
      <c r="Y19" s="69">
        <v>3</v>
      </c>
      <c r="Z19" s="65">
        <f>2/3</f>
        <v>0.66666666666666663</v>
      </c>
      <c r="AA19" s="119">
        <v>88.5</v>
      </c>
      <c r="AB19" s="119">
        <v>100</v>
      </c>
      <c r="AC19" s="119">
        <f t="shared" si="1"/>
        <v>-11.5</v>
      </c>
      <c r="AD19" s="119">
        <v>3.8</v>
      </c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2" x14ac:dyDescent="0.2">
      <c r="A20" s="3">
        <v>45</v>
      </c>
      <c r="B20" s="3" t="s">
        <v>1323</v>
      </c>
      <c r="C20" s="2" t="s">
        <v>241</v>
      </c>
      <c r="D20" s="105">
        <v>65</v>
      </c>
      <c r="E20" s="105">
        <v>70</v>
      </c>
      <c r="F20" s="106">
        <v>220</v>
      </c>
      <c r="G20" s="4">
        <v>35020</v>
      </c>
      <c r="H20" s="119">
        <f ca="1">ROUNDDOWN(YEARFRAC($G$33,G20),1)</f>
        <v>25</v>
      </c>
      <c r="I20" t="s">
        <v>900</v>
      </c>
      <c r="J20" s="3">
        <v>2</v>
      </c>
      <c r="K20" s="107">
        <v>2019</v>
      </c>
      <c r="L20" s="107"/>
      <c r="M20" s="2" t="s">
        <v>2674</v>
      </c>
      <c r="N20" s="3" t="s">
        <v>2589</v>
      </c>
      <c r="O20" s="3" t="s">
        <v>2590</v>
      </c>
      <c r="P20" s="11">
        <v>1445697</v>
      </c>
      <c r="Q20" s="253"/>
      <c r="R20" s="253"/>
      <c r="S20" s="236"/>
      <c r="T20" s="12"/>
      <c r="X20" s="107"/>
      <c r="Y20" s="107">
        <v>3</v>
      </c>
      <c r="Z20" s="41"/>
      <c r="AA20" s="110"/>
      <c r="AB20" s="110"/>
      <c r="AC20" s="110"/>
      <c r="AD20" s="110"/>
      <c r="AE20" s="110"/>
      <c r="AF20" s="41"/>
      <c r="AG20" s="110"/>
      <c r="AH20" s="110"/>
      <c r="AI20" s="110"/>
      <c r="AJ20" s="41"/>
      <c r="AK20" s="110"/>
      <c r="AL20" s="110"/>
      <c r="AM20" s="110"/>
      <c r="AN20" s="110"/>
    </row>
    <row r="21" spans="1:42" x14ac:dyDescent="0.2">
      <c r="A21" s="3"/>
      <c r="B21" s="3" t="s">
        <v>1600</v>
      </c>
      <c r="C21" s="3" t="s">
        <v>234</v>
      </c>
      <c r="D21" s="105">
        <v>72</v>
      </c>
      <c r="E21" s="105">
        <v>74</v>
      </c>
      <c r="F21" s="106">
        <v>245</v>
      </c>
      <c r="G21" s="4">
        <v>36446</v>
      </c>
      <c r="H21" s="110">
        <f ca="1">ROUNDDOWN(YEARFRAC($G$33,G21),1)</f>
        <v>21.1</v>
      </c>
      <c r="I21" s="3" t="s">
        <v>534</v>
      </c>
      <c r="J21" s="3">
        <v>2</v>
      </c>
      <c r="K21" s="3">
        <v>2019</v>
      </c>
      <c r="L21" s="3"/>
      <c r="M21" s="3" t="s">
        <v>2515</v>
      </c>
      <c r="N21" s="3" t="s">
        <v>288</v>
      </c>
      <c r="O21" s="3" t="s">
        <v>2516</v>
      </c>
      <c r="P21" s="11" t="s">
        <v>288</v>
      </c>
      <c r="Q21" s="49"/>
      <c r="R21" s="3"/>
      <c r="S21" s="11"/>
      <c r="T21" s="3"/>
      <c r="U21" s="3"/>
      <c r="V21" s="3"/>
      <c r="W21" s="5" t="s">
        <v>238</v>
      </c>
      <c r="X21" s="107">
        <v>5</v>
      </c>
      <c r="Y21" s="107">
        <v>9</v>
      </c>
      <c r="Z21" s="41">
        <f>4/9</f>
        <v>0.44444444444444442</v>
      </c>
      <c r="AA21" s="110">
        <v>90.8</v>
      </c>
      <c r="AB21" s="110">
        <v>141.69999999999999</v>
      </c>
      <c r="AC21" s="110">
        <f t="shared" ref="AC21" si="2">AA21-AB21</f>
        <v>-50.899999999999991</v>
      </c>
      <c r="AD21" s="110">
        <v>3.6</v>
      </c>
      <c r="AE21" s="110">
        <v>6.7</v>
      </c>
      <c r="AF21" s="41">
        <v>0.40699999999999997</v>
      </c>
      <c r="AG21" s="110">
        <v>21.2</v>
      </c>
      <c r="AH21" s="110">
        <v>-0.1</v>
      </c>
      <c r="AI21" s="110">
        <v>0</v>
      </c>
      <c r="AJ21" s="41">
        <v>-6.2E-2</v>
      </c>
      <c r="AK21" s="110">
        <v>-8.1999999999999993</v>
      </c>
      <c r="AL21" s="110">
        <v>-1.7</v>
      </c>
      <c r="AM21" s="110">
        <v>-0.1</v>
      </c>
      <c r="AN21" s="110">
        <v>3.2</v>
      </c>
      <c r="AO21" s="3"/>
      <c r="AP21" s="3"/>
    </row>
    <row r="22" spans="1:42" x14ac:dyDescent="0.2">
      <c r="A22" s="107"/>
      <c r="B22" s="3" t="s">
        <v>2406</v>
      </c>
      <c r="C22" s="3" t="s">
        <v>241</v>
      </c>
      <c r="D22" s="105">
        <v>69</v>
      </c>
      <c r="E22" s="105"/>
      <c r="F22" s="106">
        <v>190</v>
      </c>
      <c r="G22" s="4">
        <v>36807</v>
      </c>
      <c r="H22" s="119">
        <f ca="1">ROUNDDOWN(YEARFRAC($G$33,G22),1)</f>
        <v>20.100000000000001</v>
      </c>
      <c r="I22" t="s">
        <v>2627</v>
      </c>
      <c r="J22" s="3">
        <v>1</v>
      </c>
      <c r="K22" s="107">
        <v>2020</v>
      </c>
      <c r="L22" s="107"/>
      <c r="M22" s="2" t="s">
        <v>2436</v>
      </c>
      <c r="N22" s="2" t="s">
        <v>288</v>
      </c>
      <c r="O22" s="2" t="s">
        <v>2516</v>
      </c>
      <c r="P22" s="11" t="s">
        <v>288</v>
      </c>
      <c r="Q22" s="49"/>
      <c r="R22" s="16"/>
      <c r="S22" s="16"/>
      <c r="T22" s="53"/>
      <c r="W22" s="132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2" x14ac:dyDescent="0.2">
      <c r="B23" s="3" t="s">
        <v>290</v>
      </c>
      <c r="C23" s="59"/>
      <c r="D23" s="105"/>
      <c r="E23" s="105"/>
      <c r="F23" s="106"/>
      <c r="G23" s="59"/>
      <c r="H23" s="119"/>
      <c r="J23" s="2"/>
      <c r="K23" s="2"/>
      <c r="L23" s="2"/>
      <c r="M23" s="2"/>
      <c r="N23" s="2"/>
      <c r="O23" s="2"/>
      <c r="P23" s="60">
        <f>999200+737067</f>
        <v>1736267</v>
      </c>
      <c r="Q23" s="60">
        <f>999200+737067</f>
        <v>1736267</v>
      </c>
      <c r="R23" s="60">
        <f>999200</f>
        <v>999200</v>
      </c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</row>
    <row r="24" spans="1:42" ht="17" x14ac:dyDescent="0.2">
      <c r="A24" s="3">
        <v>15</v>
      </c>
      <c r="B24" s="3" t="s">
        <v>116</v>
      </c>
      <c r="C24" s="2" t="s">
        <v>247</v>
      </c>
      <c r="D24" s="105">
        <v>63</v>
      </c>
      <c r="E24" s="105">
        <v>68</v>
      </c>
      <c r="F24" s="106">
        <v>205</v>
      </c>
      <c r="G24" s="4">
        <v>35919</v>
      </c>
      <c r="H24" s="119">
        <f ca="1">ROUNDDOWN(YEARFRAC($G$33,G24),1)</f>
        <v>22.5</v>
      </c>
      <c r="I24" t="s">
        <v>253</v>
      </c>
      <c r="J24" s="3">
        <v>4</v>
      </c>
      <c r="K24" s="107">
        <v>2017</v>
      </c>
      <c r="L24" s="107">
        <v>31</v>
      </c>
      <c r="M24" s="2" t="s">
        <v>1320</v>
      </c>
      <c r="N24" s="2"/>
      <c r="O24" s="140"/>
      <c r="P24" s="16"/>
      <c r="Q24" s="35"/>
      <c r="R24" s="35"/>
      <c r="S24" s="12"/>
      <c r="T24" s="12"/>
      <c r="W24" s="149" t="s">
        <v>284</v>
      </c>
      <c r="X24" s="107">
        <v>1</v>
      </c>
      <c r="Y24" s="107">
        <v>51</v>
      </c>
      <c r="Z24" s="41">
        <f>24/51</f>
        <v>0.47058823529411764</v>
      </c>
      <c r="AA24" s="110">
        <v>108.6</v>
      </c>
      <c r="AB24" s="110">
        <v>114.6</v>
      </c>
      <c r="AC24" s="110">
        <f t="shared" ref="AC24" si="3">AA24-AB24</f>
        <v>-6</v>
      </c>
      <c r="AD24" s="110">
        <v>12.9</v>
      </c>
      <c r="AE24" s="110">
        <v>7.7</v>
      </c>
      <c r="AF24" s="41">
        <v>0.5</v>
      </c>
      <c r="AG24" s="110">
        <v>20.399999999999999</v>
      </c>
      <c r="AH24" s="110">
        <v>-0.4</v>
      </c>
      <c r="AI24" s="110">
        <v>0.3</v>
      </c>
      <c r="AJ24" s="41">
        <v>-5.0000000000000001E-3</v>
      </c>
      <c r="AK24" s="110">
        <v>-4</v>
      </c>
      <c r="AL24" s="110">
        <v>-2</v>
      </c>
      <c r="AM24" s="110">
        <v>-0.7</v>
      </c>
      <c r="AN24" s="110">
        <v>4.3</v>
      </c>
    </row>
    <row r="25" spans="1:42" x14ac:dyDescent="0.2">
      <c r="A25" s="3"/>
      <c r="B25" s="3" t="s">
        <v>2330</v>
      </c>
      <c r="C25" s="3" t="s">
        <v>2280</v>
      </c>
      <c r="D25" s="105">
        <v>64</v>
      </c>
      <c r="E25" s="105">
        <v>68</v>
      </c>
      <c r="F25" s="106">
        <v>176</v>
      </c>
      <c r="G25" s="4">
        <v>37054</v>
      </c>
      <c r="H25" s="3">
        <f ca="1">ROUNDDOWN(YEARFRAC($G$33,G25),1)</f>
        <v>19.399999999999999</v>
      </c>
      <c r="I25" s="3" t="s">
        <v>2331</v>
      </c>
      <c r="J25" s="3">
        <v>1</v>
      </c>
      <c r="K25" s="54">
        <v>2020</v>
      </c>
      <c r="L25" s="59">
        <v>34</v>
      </c>
      <c r="M25" s="16" t="s">
        <v>2332</v>
      </c>
      <c r="N25" s="16"/>
      <c r="O25" s="16"/>
      <c r="P25" s="168">
        <v>898310</v>
      </c>
      <c r="Q25" s="11"/>
      <c r="R25" s="16"/>
      <c r="S25" s="16"/>
      <c r="T25" s="16"/>
      <c r="X25" s="134"/>
      <c r="Y25" s="134"/>
      <c r="Z25" s="124"/>
      <c r="AJ25" s="124"/>
    </row>
    <row r="26" spans="1:42" x14ac:dyDescent="0.2">
      <c r="A26" s="59"/>
      <c r="B26" s="3" t="s">
        <v>2336</v>
      </c>
      <c r="C26" s="59" t="s">
        <v>2280</v>
      </c>
      <c r="D26" s="105">
        <v>68</v>
      </c>
      <c r="E26" s="59"/>
      <c r="F26" s="143">
        <v>195</v>
      </c>
      <c r="G26" s="62">
        <v>36696</v>
      </c>
      <c r="H26" s="59">
        <f ca="1">ROUNDDOWN(YEARFRAC($G$33,G26),1)</f>
        <v>20.399999999999999</v>
      </c>
      <c r="I26" s="59" t="s">
        <v>2393</v>
      </c>
      <c r="J26" s="59">
        <v>1</v>
      </c>
      <c r="K26" s="59">
        <v>2020</v>
      </c>
      <c r="L26" s="59">
        <v>37</v>
      </c>
      <c r="M26" s="59" t="s">
        <v>2337</v>
      </c>
      <c r="N26" s="59"/>
      <c r="O26" s="64"/>
      <c r="P26" s="168">
        <v>898310</v>
      </c>
      <c r="Q26" s="11"/>
      <c r="R26" s="16"/>
      <c r="S26" s="16"/>
      <c r="T26" s="16"/>
      <c r="X26" s="134"/>
      <c r="Y26" s="134"/>
      <c r="Z26" s="124"/>
      <c r="AJ26" s="124"/>
    </row>
    <row r="27" spans="1:42" x14ac:dyDescent="0.2">
      <c r="B27" s="2"/>
      <c r="G27" s="62"/>
      <c r="J27" s="2"/>
      <c r="K27" s="2"/>
      <c r="L27" s="2"/>
      <c r="M27" s="2"/>
      <c r="N27" s="9"/>
      <c r="O27" s="187"/>
      <c r="P27" s="180"/>
      <c r="X27" s="134"/>
      <c r="Y27" s="134"/>
      <c r="Z27" s="124"/>
      <c r="AF27" s="124"/>
      <c r="AJ27" s="124"/>
    </row>
    <row r="28" spans="1:42" x14ac:dyDescent="0.2">
      <c r="A28" s="107">
        <v>21</v>
      </c>
      <c r="B28" s="3" t="s">
        <v>127</v>
      </c>
      <c r="C28" s="3" t="s">
        <v>252</v>
      </c>
      <c r="D28" s="105">
        <v>67</v>
      </c>
      <c r="E28" s="105">
        <v>611</v>
      </c>
      <c r="F28" s="106">
        <v>210</v>
      </c>
      <c r="G28" s="4">
        <v>33576</v>
      </c>
      <c r="H28" s="119">
        <f ca="1">ROUNDDOWN(YEARFRAC($G$33,G28),1)</f>
        <v>28.9</v>
      </c>
      <c r="I28" t="s">
        <v>411</v>
      </c>
      <c r="J28" s="3">
        <v>8</v>
      </c>
      <c r="K28" s="107">
        <v>2013</v>
      </c>
      <c r="L28" s="107">
        <v>26</v>
      </c>
      <c r="M28" s="2" t="s">
        <v>1391</v>
      </c>
      <c r="N28" s="2"/>
      <c r="O28" s="9"/>
      <c r="P28" s="14">
        <v>16111110</v>
      </c>
      <c r="Q28" s="12"/>
      <c r="R28" s="12"/>
      <c r="S28" s="12"/>
      <c r="T28" s="12"/>
      <c r="W28" t="s">
        <v>1392</v>
      </c>
      <c r="X28" s="69">
        <v>2</v>
      </c>
      <c r="Y28" s="69">
        <v>39</v>
      </c>
      <c r="Z28" s="65">
        <f>24/39</f>
        <v>0.61538461538461542</v>
      </c>
      <c r="AA28" s="119">
        <v>106.7</v>
      </c>
      <c r="AB28" s="119">
        <v>97.3</v>
      </c>
      <c r="AC28" s="119">
        <f t="shared" ref="AC28:AC31" si="4">AA28-AB28</f>
        <v>9.4000000000000057</v>
      </c>
      <c r="AD28" s="119">
        <v>26.6</v>
      </c>
      <c r="AE28" s="119">
        <v>10.9</v>
      </c>
      <c r="AF28" s="65">
        <v>0.54300000000000004</v>
      </c>
      <c r="AG28" s="119">
        <v>8.6</v>
      </c>
      <c r="AH28" s="119">
        <v>0.8</v>
      </c>
      <c r="AI28" s="119">
        <v>1.3</v>
      </c>
      <c r="AJ28" s="65">
        <v>0.1</v>
      </c>
      <c r="AK28" s="119">
        <v>-1.9</v>
      </c>
      <c r="AL28" s="119">
        <v>1.8</v>
      </c>
      <c r="AM28" s="119">
        <v>0.5</v>
      </c>
      <c r="AN28" s="119">
        <v>6.5</v>
      </c>
    </row>
    <row r="29" spans="1:42" x14ac:dyDescent="0.2">
      <c r="A29" s="107">
        <v>30</v>
      </c>
      <c r="B29" s="3" t="s">
        <v>132</v>
      </c>
      <c r="C29" s="3" t="s">
        <v>241</v>
      </c>
      <c r="D29" s="105">
        <v>64</v>
      </c>
      <c r="E29" s="105">
        <v>70</v>
      </c>
      <c r="F29" s="106">
        <v>240</v>
      </c>
      <c r="G29" s="4">
        <v>34365</v>
      </c>
      <c r="H29" s="119">
        <f ca="1">ROUNDDOWN(YEARFRAC($G$33,G29),1)</f>
        <v>26.8</v>
      </c>
      <c r="I29" t="s">
        <v>1414</v>
      </c>
      <c r="J29" s="3">
        <v>3</v>
      </c>
      <c r="K29" s="107">
        <v>2017</v>
      </c>
      <c r="L29" s="138"/>
      <c r="M29" s="2" t="s">
        <v>1415</v>
      </c>
      <c r="N29" s="2"/>
      <c r="O29" s="190"/>
      <c r="P29" s="49">
        <v>1663861</v>
      </c>
      <c r="Q29" s="16"/>
      <c r="R29" s="12"/>
      <c r="S29" s="12"/>
      <c r="T29" s="12"/>
      <c r="W29" s="155" t="s">
        <v>1416</v>
      </c>
      <c r="X29" s="69">
        <v>3</v>
      </c>
      <c r="Y29" s="69">
        <v>34</v>
      </c>
      <c r="Z29" s="65">
        <f>20/34</f>
        <v>0.58823529411764708</v>
      </c>
      <c r="AA29" s="119">
        <v>93.2</v>
      </c>
      <c r="AB29" s="119">
        <v>105.2</v>
      </c>
      <c r="AC29" s="119">
        <f t="shared" si="4"/>
        <v>-12</v>
      </c>
      <c r="AD29" s="119">
        <v>8.4</v>
      </c>
      <c r="AE29" s="119">
        <v>5.9</v>
      </c>
      <c r="AF29" s="65">
        <v>0.42599999999999999</v>
      </c>
      <c r="AG29" s="119">
        <v>19.3</v>
      </c>
      <c r="AH29" s="119">
        <v>-0.6</v>
      </c>
      <c r="AI29" s="119">
        <v>0.3</v>
      </c>
      <c r="AJ29" s="65">
        <v>-4.5999999999999999E-2</v>
      </c>
      <c r="AK29" s="119">
        <v>-5.5</v>
      </c>
      <c r="AL29" s="119">
        <v>-0.4</v>
      </c>
      <c r="AM29" s="119">
        <v>-0.3</v>
      </c>
      <c r="AN29" s="119">
        <v>4.3</v>
      </c>
    </row>
    <row r="30" spans="1:42" x14ac:dyDescent="0.2">
      <c r="A30" s="107">
        <v>15</v>
      </c>
      <c r="B30" s="3" t="s">
        <v>1419</v>
      </c>
      <c r="C30" s="3" t="s">
        <v>234</v>
      </c>
      <c r="D30" s="105">
        <v>69</v>
      </c>
      <c r="E30" s="105">
        <v>74</v>
      </c>
      <c r="F30" s="106">
        <v>230</v>
      </c>
      <c r="G30" s="4">
        <v>35255</v>
      </c>
      <c r="H30" s="119">
        <f ca="1">ROUNDDOWN(YEARFRAC($G$33,G30),1)</f>
        <v>24.3</v>
      </c>
      <c r="I30" t="s">
        <v>1420</v>
      </c>
      <c r="J30" s="3">
        <v>2</v>
      </c>
      <c r="K30" s="107">
        <v>2018</v>
      </c>
      <c r="L30" s="107">
        <v>57</v>
      </c>
      <c r="M30" s="3" t="s">
        <v>1421</v>
      </c>
      <c r="N30" s="2"/>
      <c r="O30" s="2"/>
      <c r="P30" s="68">
        <v>1445697</v>
      </c>
      <c r="Q30" s="53"/>
      <c r="R30" s="12"/>
      <c r="S30" s="12"/>
      <c r="T30" s="12"/>
      <c r="W30" s="155" t="s">
        <v>1422</v>
      </c>
      <c r="X30" s="69">
        <v>5</v>
      </c>
      <c r="Y30" s="69">
        <v>7</v>
      </c>
      <c r="Z30" s="65">
        <f>3/7</f>
        <v>0.42857142857142855</v>
      </c>
      <c r="AA30" s="119">
        <v>73.3</v>
      </c>
      <c r="AB30" s="119">
        <v>86.7</v>
      </c>
      <c r="AC30" s="119">
        <f t="shared" si="4"/>
        <v>-13.400000000000006</v>
      </c>
      <c r="AD30" s="119">
        <v>2.8</v>
      </c>
      <c r="AE30" s="119"/>
      <c r="AF30" s="65"/>
      <c r="AG30" s="119"/>
      <c r="AH30" s="119"/>
      <c r="AI30" s="119"/>
      <c r="AJ30" s="65"/>
      <c r="AK30" s="119"/>
      <c r="AL30" s="119"/>
      <c r="AM30" s="119"/>
      <c r="AN30" s="119"/>
    </row>
    <row r="31" spans="1:42" x14ac:dyDescent="0.2">
      <c r="A31" s="107">
        <v>14</v>
      </c>
      <c r="B31" s="3" t="s">
        <v>1852</v>
      </c>
      <c r="C31" s="3" t="s">
        <v>252</v>
      </c>
      <c r="D31" s="105">
        <v>65</v>
      </c>
      <c r="E31" s="105">
        <v>68</v>
      </c>
      <c r="F31" s="106">
        <v>215</v>
      </c>
      <c r="G31" s="4">
        <v>34887</v>
      </c>
      <c r="H31" s="119">
        <f ca="1">ROUNDDOWN(YEARFRAC($G$33,G31),1)</f>
        <v>25.3</v>
      </c>
      <c r="I31" t="s">
        <v>1853</v>
      </c>
      <c r="J31" s="3">
        <v>2</v>
      </c>
      <c r="K31" s="107">
        <v>2018</v>
      </c>
      <c r="L31" s="107">
        <v>53</v>
      </c>
      <c r="M31" s="3" t="s">
        <v>1854</v>
      </c>
      <c r="N31" s="2"/>
      <c r="O31" s="2"/>
      <c r="P31" s="68">
        <v>1445697</v>
      </c>
      <c r="Q31" s="53"/>
      <c r="R31" s="12"/>
      <c r="S31" s="12"/>
      <c r="T31" s="12"/>
      <c r="W31" s="155"/>
      <c r="X31" s="69"/>
      <c r="Y31" s="69">
        <v>5</v>
      </c>
      <c r="Z31" s="65">
        <f>3/5</f>
        <v>0.6</v>
      </c>
      <c r="AA31" s="119">
        <v>134.9</v>
      </c>
      <c r="AB31" s="119">
        <v>88.4</v>
      </c>
      <c r="AC31" s="119">
        <f t="shared" si="4"/>
        <v>46.5</v>
      </c>
      <c r="AD31" s="119">
        <v>3.9</v>
      </c>
      <c r="AE31" s="119"/>
      <c r="AF31" s="65"/>
      <c r="AG31" s="119"/>
      <c r="AH31" s="119"/>
      <c r="AI31" s="119"/>
      <c r="AJ31" s="65"/>
      <c r="AK31" s="119"/>
      <c r="AL31" s="119"/>
      <c r="AM31" s="119"/>
      <c r="AN31" s="119"/>
    </row>
    <row r="32" spans="1:42" x14ac:dyDescent="0.2">
      <c r="A32" s="107"/>
      <c r="B32" s="3"/>
      <c r="C32" s="3"/>
      <c r="D32" s="105"/>
      <c r="E32" s="105"/>
      <c r="F32" s="106"/>
      <c r="G32" s="4"/>
      <c r="H32" s="119"/>
      <c r="J32" s="3"/>
      <c r="K32" s="107"/>
      <c r="L32" s="107"/>
      <c r="M32" s="2"/>
      <c r="N32" s="2"/>
      <c r="O32" s="2"/>
      <c r="P32" s="16"/>
      <c r="Q32" s="12"/>
      <c r="R32" s="12"/>
      <c r="S32" s="12"/>
      <c r="T32" s="12"/>
      <c r="W32" s="132"/>
      <c r="X32" s="69"/>
      <c r="Y32" s="69"/>
      <c r="Z32" s="65"/>
      <c r="AA32" s="119"/>
      <c r="AB32" s="119"/>
      <c r="AC32" s="119"/>
      <c r="AD32" s="119"/>
      <c r="AE32" s="119"/>
      <c r="AF32" s="65"/>
      <c r="AG32" s="119"/>
      <c r="AH32" s="119"/>
      <c r="AI32" s="119"/>
      <c r="AJ32" s="65"/>
      <c r="AK32" s="119"/>
      <c r="AL32" s="119"/>
      <c r="AM32" s="119"/>
      <c r="AN32" s="119"/>
    </row>
    <row r="33" spans="2:32" x14ac:dyDescent="0.2">
      <c r="G33" s="62">
        <f ca="1">TODAY()</f>
        <v>44162</v>
      </c>
      <c r="H33" s="63">
        <f ca="1">AVERAGE(H2:H19)</f>
        <v>26.044444444444444</v>
      </c>
      <c r="J33" s="36">
        <f>AVERAGE(J2:J19)</f>
        <v>5.1111111111111107</v>
      </c>
      <c r="K33" s="2"/>
      <c r="L33" s="2"/>
      <c r="M33" s="2"/>
      <c r="N33" s="9"/>
      <c r="O33" s="9"/>
      <c r="X33" s="134"/>
      <c r="Y33" s="134"/>
      <c r="Z33" s="124"/>
      <c r="AF33" s="124"/>
    </row>
    <row r="34" spans="2:32" x14ac:dyDescent="0.2">
      <c r="H34" s="63">
        <f ca="1">MEDIAN(H2:H19)</f>
        <v>24.6</v>
      </c>
      <c r="J34" s="69">
        <f>MEDIAN(J2:J19)</f>
        <v>3</v>
      </c>
      <c r="P34" s="121">
        <f>SUM(P2:P23)</f>
        <v>95978010</v>
      </c>
      <c r="X34" s="134"/>
      <c r="Y34" s="134"/>
      <c r="Z34" s="124"/>
      <c r="AF34" s="124"/>
    </row>
    <row r="35" spans="2:32" x14ac:dyDescent="0.2">
      <c r="B35" s="197" t="s">
        <v>1985</v>
      </c>
      <c r="C35" s="4"/>
      <c r="M35" s="11"/>
      <c r="P35" s="64"/>
      <c r="X35" s="134"/>
      <c r="Y35" s="134"/>
      <c r="Z35" s="124"/>
    </row>
    <row r="36" spans="2:32" x14ac:dyDescent="0.2">
      <c r="B36" s="3" t="s">
        <v>1876</v>
      </c>
      <c r="C36" s="205">
        <v>8</v>
      </c>
      <c r="J36" s="4"/>
      <c r="K36" s="3"/>
      <c r="O36" s="3" t="s">
        <v>292</v>
      </c>
      <c r="P36" s="22" t="e">
        <f>#REF!</f>
        <v>#REF!</v>
      </c>
      <c r="X36" s="134"/>
      <c r="Y36" s="134"/>
      <c r="Z36" s="124"/>
    </row>
    <row r="37" spans="2:32" x14ac:dyDescent="0.2">
      <c r="B37" s="3" t="s">
        <v>1878</v>
      </c>
      <c r="C37" s="205">
        <v>4</v>
      </c>
      <c r="D37" s="62"/>
      <c r="I37" s="197"/>
      <c r="J37" s="4"/>
      <c r="K37" s="177"/>
      <c r="M37" s="7"/>
      <c r="N37" s="183"/>
      <c r="O37" s="22" t="s">
        <v>294</v>
      </c>
      <c r="P37" s="22" t="e">
        <f>#REF!</f>
        <v>#REF!</v>
      </c>
      <c r="X37" s="134"/>
      <c r="Y37" s="134"/>
      <c r="Z37" s="124"/>
    </row>
    <row r="38" spans="2:32" x14ac:dyDescent="0.2">
      <c r="B38" s="3" t="s">
        <v>1877</v>
      </c>
      <c r="C38" s="206">
        <v>3</v>
      </c>
      <c r="D38" s="62"/>
      <c r="I38" s="3"/>
      <c r="J38" s="205"/>
      <c r="K38" s="177"/>
      <c r="M38" s="16"/>
      <c r="O38" s="3" t="s">
        <v>2591</v>
      </c>
      <c r="P38" s="22">
        <f>138928000</f>
        <v>138928000</v>
      </c>
      <c r="Z38" s="124"/>
    </row>
    <row r="39" spans="2:32" x14ac:dyDescent="0.2">
      <c r="B39" s="3" t="s">
        <v>1979</v>
      </c>
      <c r="C39" t="s">
        <v>2214</v>
      </c>
      <c r="D39" s="62"/>
      <c r="I39" s="3"/>
      <c r="J39" s="205"/>
      <c r="K39" s="177"/>
      <c r="O39" s="22"/>
      <c r="P39" s="22"/>
      <c r="Z39" s="124"/>
    </row>
    <row r="40" spans="2:32" x14ac:dyDescent="0.2">
      <c r="B40" s="3" t="s">
        <v>293</v>
      </c>
      <c r="C40" s="60">
        <v>0</v>
      </c>
      <c r="D40" s="62"/>
      <c r="I40" s="3"/>
      <c r="J40" s="206"/>
      <c r="O40" s="22"/>
      <c r="P40" s="22"/>
      <c r="Z40" s="124"/>
    </row>
    <row r="41" spans="2:32" x14ac:dyDescent="0.2">
      <c r="B41" s="3" t="s">
        <v>295</v>
      </c>
      <c r="C41" s="60">
        <v>1000000</v>
      </c>
      <c r="D41" s="62" t="s">
        <v>2430</v>
      </c>
      <c r="I41" s="3"/>
      <c r="M41" s="139"/>
      <c r="O41" s="22"/>
      <c r="Z41" s="124"/>
    </row>
    <row r="42" spans="2:32" x14ac:dyDescent="0.2">
      <c r="B42" s="3"/>
      <c r="D42" s="62"/>
      <c r="I42" s="3"/>
      <c r="J42" s="60"/>
      <c r="O42" s="22"/>
      <c r="Z42" s="124"/>
    </row>
    <row r="43" spans="2:32" x14ac:dyDescent="0.2">
      <c r="B43" s="5" t="s">
        <v>1875</v>
      </c>
      <c r="C43" s="59"/>
      <c r="I43" s="3"/>
      <c r="J43" s="60"/>
    </row>
    <row r="44" spans="2:32" x14ac:dyDescent="0.2">
      <c r="B44" s="3" t="s">
        <v>296</v>
      </c>
      <c r="C44" s="65">
        <f>44/(44+28)</f>
        <v>0.61111111111111116</v>
      </c>
      <c r="D44" t="s">
        <v>776</v>
      </c>
      <c r="I44" s="3"/>
    </row>
    <row r="45" spans="2:32" x14ac:dyDescent="0.2">
      <c r="B45" s="3" t="s">
        <v>298</v>
      </c>
      <c r="C45" s="119">
        <v>110.1</v>
      </c>
      <c r="D45" t="s">
        <v>1986</v>
      </c>
      <c r="I45" s="5"/>
    </row>
    <row r="46" spans="2:32" x14ac:dyDescent="0.2">
      <c r="B46" s="3" t="s">
        <v>299</v>
      </c>
      <c r="C46" s="119">
        <v>108.1</v>
      </c>
      <c r="D46" t="s">
        <v>1980</v>
      </c>
      <c r="I46" s="3"/>
    </row>
    <row r="47" spans="2:32" x14ac:dyDescent="0.2">
      <c r="B47" s="3" t="s">
        <v>300</v>
      </c>
      <c r="C47" s="119">
        <f>C45-C46</f>
        <v>2</v>
      </c>
      <c r="D47" s="59" t="s">
        <v>2067</v>
      </c>
      <c r="I47" s="3"/>
    </row>
    <row r="48" spans="2:32" x14ac:dyDescent="0.2">
      <c r="B48" s="3" t="s">
        <v>301</v>
      </c>
      <c r="C48" s="59">
        <v>99.42</v>
      </c>
      <c r="D48" s="59" t="s">
        <v>2059</v>
      </c>
      <c r="I48" s="3"/>
    </row>
    <row r="49" spans="2:3" x14ac:dyDescent="0.2">
      <c r="C49" s="59"/>
    </row>
    <row r="50" spans="2:3" x14ac:dyDescent="0.2">
      <c r="B50" s="2" t="s">
        <v>302</v>
      </c>
    </row>
    <row r="51" spans="2:3" x14ac:dyDescent="0.2">
      <c r="B51" s="3" t="s">
        <v>2602</v>
      </c>
    </row>
    <row r="52" spans="2:3" x14ac:dyDescent="0.2">
      <c r="B52" s="2" t="s">
        <v>1424</v>
      </c>
    </row>
    <row r="53" spans="2:3" x14ac:dyDescent="0.2">
      <c r="B53" s="2" t="s">
        <v>2417</v>
      </c>
    </row>
    <row r="54" spans="2:3" x14ac:dyDescent="0.2">
      <c r="B54" s="2" t="s">
        <v>870</v>
      </c>
    </row>
    <row r="55" spans="2:3" x14ac:dyDescent="0.2">
      <c r="B55" s="2" t="s">
        <v>1425</v>
      </c>
    </row>
    <row r="56" spans="2:3" x14ac:dyDescent="0.2">
      <c r="B56" s="2" t="s">
        <v>2178</v>
      </c>
    </row>
    <row r="57" spans="2:3" x14ac:dyDescent="0.2">
      <c r="B57" s="2" t="s">
        <v>1426</v>
      </c>
    </row>
    <row r="58" spans="2:3" x14ac:dyDescent="0.2">
      <c r="B58" s="2" t="s">
        <v>1427</v>
      </c>
    </row>
    <row r="59" spans="2:3" x14ac:dyDescent="0.2">
      <c r="B59" s="2" t="s">
        <v>2488</v>
      </c>
    </row>
    <row r="60" spans="2:3" x14ac:dyDescent="0.2">
      <c r="B60" s="2" t="s">
        <v>1330</v>
      </c>
    </row>
    <row r="61" spans="2:3" x14ac:dyDescent="0.2">
      <c r="B61" s="2" t="s">
        <v>1428</v>
      </c>
    </row>
    <row r="62" spans="2:3" x14ac:dyDescent="0.2">
      <c r="B62" s="2" t="s">
        <v>1429</v>
      </c>
    </row>
    <row r="63" spans="2:3" x14ac:dyDescent="0.2">
      <c r="B63" s="2" t="s">
        <v>1430</v>
      </c>
    </row>
    <row r="64" spans="2:3" x14ac:dyDescent="0.2">
      <c r="B64" s="2" t="s">
        <v>2678</v>
      </c>
    </row>
    <row r="65" spans="2:9" x14ac:dyDescent="0.2">
      <c r="B65" s="2" t="s">
        <v>2429</v>
      </c>
    </row>
    <row r="66" spans="2:9" x14ac:dyDescent="0.2">
      <c r="B66" s="2" t="s">
        <v>1431</v>
      </c>
    </row>
    <row r="67" spans="2:9" x14ac:dyDescent="0.2">
      <c r="B67" s="2" t="s">
        <v>1432</v>
      </c>
    </row>
    <row r="68" spans="2:9" x14ac:dyDescent="0.2">
      <c r="B68" s="2" t="s">
        <v>1433</v>
      </c>
    </row>
    <row r="69" spans="2:9" x14ac:dyDescent="0.2">
      <c r="B69" s="10"/>
    </row>
    <row r="70" spans="2:9" x14ac:dyDescent="0.2">
      <c r="B70" s="2" t="s">
        <v>310</v>
      </c>
    </row>
    <row r="71" spans="2:9" x14ac:dyDescent="0.2">
      <c r="B71" s="2" t="s">
        <v>2424</v>
      </c>
    </row>
    <row r="72" spans="2:9" x14ac:dyDescent="0.2">
      <c r="B72" s="2" t="s">
        <v>1434</v>
      </c>
    </row>
    <row r="73" spans="2:9" x14ac:dyDescent="0.2">
      <c r="B73" s="2"/>
    </row>
    <row r="74" spans="2:9" x14ac:dyDescent="0.2">
      <c r="B74" s="149" t="s">
        <v>2088</v>
      </c>
    </row>
    <row r="75" spans="2:9" x14ac:dyDescent="0.2">
      <c r="B75" s="37" t="s">
        <v>314</v>
      </c>
      <c r="C75" s="59">
        <v>44</v>
      </c>
      <c r="D75" s="59">
        <v>28</v>
      </c>
      <c r="E75" t="s">
        <v>776</v>
      </c>
      <c r="G75" t="s">
        <v>1423</v>
      </c>
      <c r="I75" t="s">
        <v>2122</v>
      </c>
    </row>
    <row r="76" spans="2:9" x14ac:dyDescent="0.2">
      <c r="B76" s="37" t="s">
        <v>317</v>
      </c>
      <c r="C76" s="59">
        <v>49</v>
      </c>
      <c r="D76" s="59">
        <v>33</v>
      </c>
      <c r="E76" t="s">
        <v>717</v>
      </c>
      <c r="G76" t="s">
        <v>1423</v>
      </c>
      <c r="I76" t="s">
        <v>1435</v>
      </c>
    </row>
    <row r="77" spans="2:9" x14ac:dyDescent="0.2">
      <c r="B77" s="37" t="s">
        <v>319</v>
      </c>
      <c r="C77" s="59">
        <v>48</v>
      </c>
      <c r="D77" s="59">
        <v>34</v>
      </c>
      <c r="E77" t="s">
        <v>943</v>
      </c>
      <c r="G77" t="s">
        <v>1423</v>
      </c>
      <c r="I77" t="s">
        <v>1436</v>
      </c>
    </row>
    <row r="78" spans="2:9" x14ac:dyDescent="0.2">
      <c r="B78" s="37" t="s">
        <v>322</v>
      </c>
      <c r="C78" s="59">
        <v>47</v>
      </c>
      <c r="D78" s="59">
        <v>35</v>
      </c>
      <c r="E78" t="s">
        <v>717</v>
      </c>
      <c r="G78" t="s">
        <v>1423</v>
      </c>
      <c r="I78" t="s">
        <v>719</v>
      </c>
    </row>
    <row r="79" spans="2:9" x14ac:dyDescent="0.2">
      <c r="B79" s="37" t="s">
        <v>325</v>
      </c>
      <c r="C79" s="59">
        <v>55</v>
      </c>
      <c r="D79" s="59">
        <v>27</v>
      </c>
      <c r="E79" t="s">
        <v>724</v>
      </c>
      <c r="G79" t="s">
        <v>1423</v>
      </c>
      <c r="I79" t="s">
        <v>1437</v>
      </c>
    </row>
    <row r="80" spans="2:9" x14ac:dyDescent="0.2">
      <c r="B80" s="37" t="s">
        <v>328</v>
      </c>
      <c r="C80" s="59">
        <v>45</v>
      </c>
      <c r="D80" s="59">
        <v>37</v>
      </c>
      <c r="E80" t="s">
        <v>769</v>
      </c>
      <c r="G80" t="s">
        <v>1438</v>
      </c>
      <c r="I80" s="141" t="s">
        <v>316</v>
      </c>
    </row>
    <row r="81" spans="2:9" x14ac:dyDescent="0.2">
      <c r="B81" s="37" t="s">
        <v>331</v>
      </c>
      <c r="C81" s="59">
        <v>59</v>
      </c>
      <c r="D81" s="59">
        <v>23</v>
      </c>
      <c r="E81" t="s">
        <v>767</v>
      </c>
      <c r="G81" t="s">
        <v>1438</v>
      </c>
      <c r="I81" t="s">
        <v>1439</v>
      </c>
    </row>
    <row r="82" spans="2:9" x14ac:dyDescent="0.2">
      <c r="B82" s="37" t="s">
        <v>334</v>
      </c>
      <c r="C82" s="59">
        <v>60</v>
      </c>
      <c r="D82" s="59">
        <v>22</v>
      </c>
      <c r="E82" t="s">
        <v>884</v>
      </c>
      <c r="G82" t="s">
        <v>1438</v>
      </c>
      <c r="I82" t="s">
        <v>1440</v>
      </c>
    </row>
    <row r="83" spans="2:9" x14ac:dyDescent="0.2">
      <c r="B83" s="37" t="s">
        <v>338</v>
      </c>
      <c r="C83" s="59">
        <v>49</v>
      </c>
      <c r="D83" s="59">
        <v>17</v>
      </c>
      <c r="E83" t="s">
        <v>767</v>
      </c>
      <c r="G83" t="s">
        <v>1438</v>
      </c>
      <c r="I83" t="s">
        <v>1441</v>
      </c>
    </row>
    <row r="84" spans="2:9" x14ac:dyDescent="0.2">
      <c r="B84" s="37" t="s">
        <v>340</v>
      </c>
      <c r="C84" s="59">
        <v>55</v>
      </c>
      <c r="D84" s="59">
        <v>27</v>
      </c>
      <c r="E84" t="s">
        <v>943</v>
      </c>
      <c r="G84" t="s">
        <v>1438</v>
      </c>
      <c r="I84" t="s">
        <v>1442</v>
      </c>
    </row>
    <row r="85" spans="2:9" x14ac:dyDescent="0.2">
      <c r="B85" t="s">
        <v>342</v>
      </c>
      <c r="C85" s="69">
        <f>SUM(C75:C84)</f>
        <v>511</v>
      </c>
      <c r="D85" s="69">
        <f>SUM(D75:D84)</f>
        <v>283</v>
      </c>
      <c r="E85" s="65">
        <f>C85/(C85+D85)</f>
        <v>0.64357682619647361</v>
      </c>
    </row>
  </sheetData>
  <hyperlinks>
    <hyperlink ref="B75" r:id="rId1" xr:uid="{8B2E9F20-46CB-D644-874F-AAB4E42E0F29}"/>
    <hyperlink ref="B76" r:id="rId2" xr:uid="{7E8AED1C-E854-8D4E-821A-D15AA34998CF}"/>
    <hyperlink ref="B77" r:id="rId3" xr:uid="{2269C6E3-9654-C847-9268-ECF7F3DC5572}"/>
    <hyperlink ref="B78" r:id="rId4" xr:uid="{6D4D9A2F-2A19-C646-9CD7-43D7D02ACED2}"/>
    <hyperlink ref="B79" r:id="rId5" xr:uid="{ACC2CE53-2BB0-1E43-8483-CF83AE644F85}"/>
    <hyperlink ref="B80" r:id="rId6" xr:uid="{37A5B86E-C6FE-E549-82DC-32C2B0D2355F}"/>
    <hyperlink ref="B81" r:id="rId7" xr:uid="{63F3FABC-F978-0249-A2F1-7AE1B0BC02FF}"/>
    <hyperlink ref="B82" r:id="rId8" xr:uid="{31D33A1D-0D11-3B45-9408-5E63A4F8045B}"/>
    <hyperlink ref="B83" r:id="rId9" xr:uid="{84246D61-184C-0E48-857F-5A0604EF8ECE}"/>
    <hyperlink ref="B84" r:id="rId10" xr:uid="{B4B223F5-CB45-6949-9310-8CCE7850B952}"/>
  </hyperlinks>
  <pageMargins left="0.7" right="0.7" top="0.75" bottom="0.75" header="0.3" footer="0.3"/>
  <ignoredErrors>
    <ignoredError sqref="H18" formula="1"/>
  </ignoredErrors>
  <legacyDrawing r:id="rId1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D01-E261-B843-A6FD-B13904D217E4}">
  <dimension ref="A1:AQ61"/>
  <sheetViews>
    <sheetView zoomScaleNormal="100" workbookViewId="0"/>
  </sheetViews>
  <sheetFormatPr baseColWidth="10" defaultColWidth="11" defaultRowHeight="16" x14ac:dyDescent="0.2"/>
  <cols>
    <col min="1" max="1" width="4.6640625" customWidth="1"/>
    <col min="2" max="2" width="21" customWidth="1"/>
    <col min="3" max="3" width="12.5" customWidth="1"/>
    <col min="4" max="4" width="8" customWidth="1"/>
    <col min="6" max="6" width="7.83203125" customWidth="1"/>
    <col min="7" max="7" width="9.33203125" customWidth="1"/>
    <col min="8" max="8" width="5.83203125" customWidth="1"/>
    <col min="9" max="9" width="22.83203125" customWidth="1"/>
    <col min="10" max="10" width="11.1640625" customWidth="1"/>
    <col min="11" max="11" width="11.33203125" customWidth="1"/>
    <col min="12" max="12" width="4.83203125" customWidth="1"/>
    <col min="13" max="13" width="36.6640625" bestFit="1" customWidth="1"/>
    <col min="14" max="14" width="15.83203125" customWidth="1"/>
    <col min="15" max="15" width="42.5" bestFit="1" customWidth="1"/>
    <col min="16" max="16" width="13.33203125" bestFit="1" customWidth="1"/>
    <col min="17" max="18" width="12.1640625" customWidth="1"/>
    <col min="19" max="19" width="12" customWidth="1"/>
    <col min="20" max="20" width="12.1640625" customWidth="1"/>
    <col min="21" max="21" width="10" customWidth="1"/>
    <col min="22" max="22" width="109.1640625" customWidth="1"/>
    <col min="23" max="23" width="25.33203125" customWidth="1"/>
    <col min="24" max="24" width="9.83203125" customWidth="1"/>
    <col min="25" max="25" width="3.83203125" customWidth="1"/>
    <col min="26" max="26" width="7.83203125" customWidth="1"/>
    <col min="27" max="27" width="6.1640625" customWidth="1"/>
    <col min="28" max="28" width="5.83203125" customWidth="1"/>
    <col min="29" max="29" width="7.1640625" customWidth="1"/>
    <col min="30" max="30" width="5.1640625" customWidth="1"/>
    <col min="31" max="31" width="5.5" customWidth="1"/>
    <col min="32" max="32" width="6.1640625" customWidth="1"/>
    <col min="33" max="33" width="7.6640625" customWidth="1"/>
    <col min="34" max="34" width="5.33203125" customWidth="1"/>
    <col min="35" max="35" width="5.1640625" customWidth="1"/>
    <col min="36" max="37" width="6.6640625" customWidth="1"/>
    <col min="38" max="38" width="6.1640625" customWidth="1"/>
    <col min="39" max="39" width="5.83203125" customWidth="1"/>
    <col min="40" max="40" width="5.1640625" customWidth="1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59"/>
      <c r="AQ1" s="59"/>
    </row>
    <row r="2" spans="1:43" x14ac:dyDescent="0.2">
      <c r="A2" s="3">
        <v>9</v>
      </c>
      <c r="B2" s="3" t="s">
        <v>1443</v>
      </c>
      <c r="C2" s="2" t="s">
        <v>234</v>
      </c>
      <c r="D2" s="142">
        <v>611</v>
      </c>
      <c r="E2" s="142">
        <v>75</v>
      </c>
      <c r="F2" s="143">
        <v>260</v>
      </c>
      <c r="G2" s="4">
        <v>33174</v>
      </c>
      <c r="H2" s="110">
        <f t="shared" ref="H2:H18" ca="1" si="0">ROUNDDOWN(YEARFRAC($G$25,G2),1)</f>
        <v>30</v>
      </c>
      <c r="I2" s="3" t="s">
        <v>224</v>
      </c>
      <c r="J2" s="3">
        <v>10</v>
      </c>
      <c r="K2" s="3">
        <v>2011</v>
      </c>
      <c r="L2" s="3">
        <v>16</v>
      </c>
      <c r="M2" s="3" t="s">
        <v>1444</v>
      </c>
      <c r="N2" s="3" t="s">
        <v>1</v>
      </c>
      <c r="O2" s="3" t="s">
        <v>2080</v>
      </c>
      <c r="P2" s="11">
        <v>26000000</v>
      </c>
      <c r="Q2" s="11">
        <v>24000000</v>
      </c>
      <c r="R2" s="11">
        <v>22000000</v>
      </c>
      <c r="S2" s="14">
        <f>R2*1.5</f>
        <v>33000000</v>
      </c>
      <c r="T2" s="3"/>
      <c r="U2" s="3"/>
      <c r="V2" s="3"/>
      <c r="W2" s="5" t="s">
        <v>238</v>
      </c>
      <c r="X2" s="107">
        <v>5</v>
      </c>
      <c r="Y2" s="69">
        <v>54</v>
      </c>
      <c r="Z2" s="65">
        <f>25/54</f>
        <v>0.46296296296296297</v>
      </c>
      <c r="AA2" s="119">
        <v>109.4</v>
      </c>
      <c r="AB2" s="119">
        <v>109.8</v>
      </c>
      <c r="AC2" s="119">
        <f t="shared" ref="AC2:AC15" si="1">AA2-AB2</f>
        <v>-0.39999999999999147</v>
      </c>
      <c r="AD2" s="119">
        <v>32.6</v>
      </c>
      <c r="AE2" s="119">
        <v>21.6</v>
      </c>
      <c r="AF2" s="65">
        <v>0.54</v>
      </c>
      <c r="AG2" s="119">
        <v>25.8</v>
      </c>
      <c r="AH2" s="119">
        <v>2.9</v>
      </c>
      <c r="AI2" s="119">
        <v>2.6</v>
      </c>
      <c r="AJ2" s="65">
        <v>0.15</v>
      </c>
      <c r="AK2" s="119">
        <v>3.4</v>
      </c>
      <c r="AL2" s="119">
        <v>0.6</v>
      </c>
      <c r="AM2" s="119">
        <v>2.7</v>
      </c>
      <c r="AN2" s="119">
        <v>14.9</v>
      </c>
    </row>
    <row r="3" spans="1:43" x14ac:dyDescent="0.2">
      <c r="A3" s="3">
        <v>0</v>
      </c>
      <c r="B3" s="3" t="s">
        <v>210</v>
      </c>
      <c r="C3" s="2" t="s">
        <v>241</v>
      </c>
      <c r="D3" s="142">
        <v>68</v>
      </c>
      <c r="E3" s="142">
        <v>70</v>
      </c>
      <c r="F3" s="143">
        <v>235</v>
      </c>
      <c r="G3" s="4">
        <v>34958</v>
      </c>
      <c r="H3" s="110">
        <f t="shared" ca="1" si="0"/>
        <v>25.1</v>
      </c>
      <c r="I3" s="3" t="s">
        <v>511</v>
      </c>
      <c r="J3" s="3">
        <v>7</v>
      </c>
      <c r="K3" s="3">
        <v>2014</v>
      </c>
      <c r="L3" s="3">
        <v>4</v>
      </c>
      <c r="M3" s="3" t="s">
        <v>1445</v>
      </c>
      <c r="N3" s="3" t="s">
        <v>1</v>
      </c>
      <c r="O3" s="3" t="s">
        <v>2081</v>
      </c>
      <c r="P3" s="11">
        <v>18136364</v>
      </c>
      <c r="Q3" s="11">
        <v>16409091</v>
      </c>
      <c r="R3" s="14">
        <f>Q3*1.5</f>
        <v>24613636.5</v>
      </c>
      <c r="S3" s="3"/>
      <c r="T3" s="3"/>
      <c r="U3" s="3"/>
      <c r="V3" s="3" t="s">
        <v>1446</v>
      </c>
      <c r="W3" s="3" t="s">
        <v>1447</v>
      </c>
      <c r="X3" s="107">
        <v>4</v>
      </c>
      <c r="Y3" s="69">
        <v>58</v>
      </c>
      <c r="Z3" s="65">
        <f>28/58</f>
        <v>0.48275862068965519</v>
      </c>
      <c r="AA3" s="119">
        <v>108.2</v>
      </c>
      <c r="AB3" s="119">
        <v>110.1</v>
      </c>
      <c r="AC3" s="119">
        <f t="shared" si="1"/>
        <v>-1.8999999999999915</v>
      </c>
      <c r="AD3" s="119">
        <v>33</v>
      </c>
      <c r="AE3" s="119">
        <v>14.8</v>
      </c>
      <c r="AF3" s="65">
        <v>0.51100000000000001</v>
      </c>
      <c r="AG3" s="119">
        <v>20.6</v>
      </c>
      <c r="AH3" s="119">
        <v>1.2</v>
      </c>
      <c r="AI3" s="119">
        <v>2.2000000000000002</v>
      </c>
      <c r="AJ3" s="65">
        <v>8.4000000000000005E-2</v>
      </c>
      <c r="AK3" s="119">
        <v>-0.3</v>
      </c>
      <c r="AL3" s="119">
        <v>0.1</v>
      </c>
      <c r="AM3" s="119">
        <v>0.8</v>
      </c>
      <c r="AN3" s="119">
        <v>10.1</v>
      </c>
    </row>
    <row r="4" spans="1:43" x14ac:dyDescent="0.2">
      <c r="A4" s="3">
        <v>10</v>
      </c>
      <c r="B4" s="3" t="s">
        <v>133</v>
      </c>
      <c r="C4" s="2" t="s">
        <v>252</v>
      </c>
      <c r="D4" s="142">
        <v>67</v>
      </c>
      <c r="E4" s="142">
        <v>68</v>
      </c>
      <c r="F4" s="143">
        <v>205</v>
      </c>
      <c r="G4" s="4">
        <v>33906</v>
      </c>
      <c r="H4" s="110">
        <f t="shared" ca="1" si="0"/>
        <v>28</v>
      </c>
      <c r="I4" s="3" t="s">
        <v>1448</v>
      </c>
      <c r="J4" s="3">
        <v>9</v>
      </c>
      <c r="K4" s="3">
        <v>2012</v>
      </c>
      <c r="L4" s="3">
        <v>20</v>
      </c>
      <c r="M4" s="3" t="s">
        <v>1449</v>
      </c>
      <c r="N4" s="3" t="s">
        <v>1</v>
      </c>
      <c r="O4" s="3" t="s">
        <v>2167</v>
      </c>
      <c r="P4" s="19">
        <v>17150000</v>
      </c>
      <c r="Q4" s="14">
        <f>P4*1.5</f>
        <v>25725000</v>
      </c>
      <c r="R4" s="3"/>
      <c r="S4" s="3"/>
      <c r="T4" s="3"/>
      <c r="U4" s="3"/>
      <c r="V4" s="3" t="s">
        <v>1450</v>
      </c>
      <c r="W4" s="3" t="s">
        <v>1451</v>
      </c>
      <c r="X4" s="107">
        <v>2</v>
      </c>
      <c r="Y4" s="69">
        <v>61</v>
      </c>
      <c r="Z4" s="65">
        <f>26/61</f>
        <v>0.42622950819672129</v>
      </c>
      <c r="AA4" s="119">
        <v>107</v>
      </c>
      <c r="AB4" s="119">
        <v>110</v>
      </c>
      <c r="AC4" s="119">
        <f t="shared" si="1"/>
        <v>-3</v>
      </c>
      <c r="AD4" s="119">
        <v>31.7</v>
      </c>
      <c r="AE4" s="119">
        <v>16.7</v>
      </c>
      <c r="AF4" s="65">
        <v>0.59899999999999998</v>
      </c>
      <c r="AG4" s="119">
        <v>24.2</v>
      </c>
      <c r="AH4" s="119">
        <v>2.7</v>
      </c>
      <c r="AI4" s="119">
        <v>1.7</v>
      </c>
      <c r="AJ4" s="65">
        <v>0.11</v>
      </c>
      <c r="AK4" s="119">
        <v>1.5</v>
      </c>
      <c r="AL4" s="119">
        <v>-0.3</v>
      </c>
      <c r="AM4" s="119">
        <v>1.6</v>
      </c>
      <c r="AN4" s="119">
        <v>9.9</v>
      </c>
    </row>
    <row r="5" spans="1:43" x14ac:dyDescent="0.2">
      <c r="A5" s="3">
        <v>31</v>
      </c>
      <c r="B5" s="3" t="s">
        <v>211</v>
      </c>
      <c r="C5" s="2" t="s">
        <v>252</v>
      </c>
      <c r="D5" s="142">
        <v>66</v>
      </c>
      <c r="E5" s="142">
        <v>67</v>
      </c>
      <c r="F5" s="143">
        <v>206</v>
      </c>
      <c r="G5" s="4">
        <v>33274</v>
      </c>
      <c r="H5" s="110">
        <f t="shared" ca="1" si="0"/>
        <v>29.8</v>
      </c>
      <c r="I5" s="3" t="s">
        <v>1280</v>
      </c>
      <c r="J5" s="3">
        <v>9</v>
      </c>
      <c r="K5" s="3">
        <v>2012</v>
      </c>
      <c r="L5" s="3">
        <v>8</v>
      </c>
      <c r="M5" s="3" t="s">
        <v>1452</v>
      </c>
      <c r="N5" s="3" t="s">
        <v>1</v>
      </c>
      <c r="O5" s="3" t="s">
        <v>2082</v>
      </c>
      <c r="P5" s="11">
        <v>13500000</v>
      </c>
      <c r="Q5" s="11">
        <v>12500000</v>
      </c>
      <c r="R5" s="11">
        <v>11500000</v>
      </c>
      <c r="S5" s="14">
        <f>R5*1.5</f>
        <v>17250000</v>
      </c>
      <c r="T5" s="3"/>
      <c r="U5" s="3"/>
      <c r="V5" s="3" t="s">
        <v>1446</v>
      </c>
      <c r="W5" s="3" t="s">
        <v>1453</v>
      </c>
      <c r="X5" s="107">
        <v>2</v>
      </c>
      <c r="Y5" s="69">
        <v>63</v>
      </c>
      <c r="Z5" s="65">
        <f>29/63</f>
        <v>0.46031746031746029</v>
      </c>
      <c r="AA5" s="119">
        <v>104.7</v>
      </c>
      <c r="AB5" s="119">
        <v>107.5</v>
      </c>
      <c r="AC5" s="119">
        <f t="shared" si="1"/>
        <v>-2.7999999999999972</v>
      </c>
      <c r="AD5" s="119">
        <v>27.3</v>
      </c>
      <c r="AE5" s="119">
        <v>14.2</v>
      </c>
      <c r="AF5" s="65">
        <v>0.54800000000000004</v>
      </c>
      <c r="AG5" s="119">
        <v>22.8</v>
      </c>
      <c r="AH5" s="119">
        <v>1</v>
      </c>
      <c r="AI5" s="119">
        <v>1.8</v>
      </c>
      <c r="AJ5" s="65">
        <v>0.08</v>
      </c>
      <c r="AK5" s="119">
        <v>0</v>
      </c>
      <c r="AL5" s="119">
        <v>-0.3</v>
      </c>
      <c r="AM5" s="119">
        <v>0.7</v>
      </c>
      <c r="AN5" s="119">
        <v>9.6999999999999993</v>
      </c>
    </row>
    <row r="6" spans="1:43" x14ac:dyDescent="0.2">
      <c r="A6" s="3">
        <v>20</v>
      </c>
      <c r="B6" s="3" t="s">
        <v>1454</v>
      </c>
      <c r="C6" s="2" t="s">
        <v>230</v>
      </c>
      <c r="D6" s="142">
        <v>63</v>
      </c>
      <c r="E6" s="142">
        <v>610</v>
      </c>
      <c r="F6" s="143">
        <v>209</v>
      </c>
      <c r="G6" s="4">
        <v>35944</v>
      </c>
      <c r="H6" s="110">
        <f t="shared" ca="1" si="0"/>
        <v>22.4</v>
      </c>
      <c r="I6" s="3" t="s">
        <v>1280</v>
      </c>
      <c r="J6" s="3">
        <v>4</v>
      </c>
      <c r="K6" s="3">
        <v>2017</v>
      </c>
      <c r="L6" s="3">
        <v>1</v>
      </c>
      <c r="M6" s="3" t="s">
        <v>1455</v>
      </c>
      <c r="N6" s="3" t="s">
        <v>1032</v>
      </c>
      <c r="O6" s="3" t="s">
        <v>2083</v>
      </c>
      <c r="P6" s="11">
        <v>12288697</v>
      </c>
      <c r="Q6" s="49">
        <f>P6*2.5</f>
        <v>30721742.5</v>
      </c>
      <c r="R6" s="3"/>
      <c r="S6" s="3"/>
      <c r="T6" s="3"/>
      <c r="U6" s="3"/>
      <c r="V6" s="3"/>
      <c r="W6" s="3" t="s">
        <v>1456</v>
      </c>
      <c r="X6" s="107">
        <v>1</v>
      </c>
      <c r="Y6" s="69">
        <v>64</v>
      </c>
      <c r="Z6" s="65">
        <f>30/64</f>
        <v>0.46875</v>
      </c>
      <c r="AA6" s="119">
        <v>108.5</v>
      </c>
      <c r="AB6" s="119">
        <v>110</v>
      </c>
      <c r="AC6" s="119">
        <f t="shared" si="1"/>
        <v>-1.5</v>
      </c>
      <c r="AD6" s="119">
        <v>28.3</v>
      </c>
      <c r="AE6" s="119">
        <v>14.4</v>
      </c>
      <c r="AF6" s="65">
        <v>0.52300000000000002</v>
      </c>
      <c r="AG6" s="119">
        <v>20.7</v>
      </c>
      <c r="AH6" s="119">
        <v>0.8</v>
      </c>
      <c r="AI6" s="119">
        <v>1.9</v>
      </c>
      <c r="AJ6" s="65">
        <v>7.0999999999999994E-2</v>
      </c>
      <c r="AK6" s="119">
        <v>-1.9</v>
      </c>
      <c r="AL6" s="119">
        <v>0.2</v>
      </c>
      <c r="AM6" s="119">
        <v>0.1</v>
      </c>
      <c r="AN6" s="119">
        <v>9.5</v>
      </c>
    </row>
    <row r="7" spans="1:43" x14ac:dyDescent="0.2">
      <c r="A7" s="3">
        <v>2</v>
      </c>
      <c r="B7" s="3" t="s">
        <v>1457</v>
      </c>
      <c r="C7" s="2" t="s">
        <v>241</v>
      </c>
      <c r="D7" s="142">
        <v>68</v>
      </c>
      <c r="E7" s="142">
        <v>73</v>
      </c>
      <c r="F7" s="143">
        <v>220</v>
      </c>
      <c r="G7" s="4">
        <v>33137</v>
      </c>
      <c r="H7" s="110">
        <f t="shared" ca="1" si="0"/>
        <v>30.1</v>
      </c>
      <c r="I7" s="3" t="s">
        <v>231</v>
      </c>
      <c r="J7" s="3">
        <v>11</v>
      </c>
      <c r="K7" s="3">
        <v>2010</v>
      </c>
      <c r="L7" s="3">
        <v>8</v>
      </c>
      <c r="M7" s="3" t="s">
        <v>415</v>
      </c>
      <c r="N7" s="3" t="s">
        <v>495</v>
      </c>
      <c r="O7" s="26" t="s">
        <v>2084</v>
      </c>
      <c r="P7" s="11">
        <v>9720900</v>
      </c>
      <c r="Q7" s="47">
        <v>10183800</v>
      </c>
      <c r="R7" s="14">
        <f>Q7*1.9</f>
        <v>19349220</v>
      </c>
      <c r="S7" s="3"/>
      <c r="T7" s="3"/>
      <c r="U7" s="3"/>
      <c r="V7" s="3"/>
      <c r="W7" s="3" t="s">
        <v>1458</v>
      </c>
      <c r="X7" s="107">
        <v>4</v>
      </c>
      <c r="Y7" s="69">
        <v>18</v>
      </c>
      <c r="Z7" s="65">
        <f>7/18</f>
        <v>0.3888888888888889</v>
      </c>
      <c r="AA7" s="119">
        <v>94.7</v>
      </c>
      <c r="AB7" s="119">
        <v>100.1</v>
      </c>
      <c r="AC7" s="119">
        <f t="shared" si="1"/>
        <v>-5.3999999999999915</v>
      </c>
      <c r="AD7" s="119">
        <v>21.1</v>
      </c>
      <c r="AE7" s="119">
        <v>7.6</v>
      </c>
      <c r="AF7" s="65">
        <v>0.39500000000000002</v>
      </c>
      <c r="AG7" s="119">
        <v>13.2</v>
      </c>
      <c r="AH7" s="119">
        <v>-0.4</v>
      </c>
      <c r="AI7" s="119">
        <v>0.5</v>
      </c>
      <c r="AJ7" s="65">
        <v>1.6E-2</v>
      </c>
      <c r="AK7" s="119">
        <v>-4.5</v>
      </c>
      <c r="AL7" s="119">
        <v>1.4</v>
      </c>
      <c r="AM7" s="119">
        <v>-0.1</v>
      </c>
      <c r="AN7" s="119">
        <v>6.3</v>
      </c>
    </row>
    <row r="8" spans="1:43" x14ac:dyDescent="0.2">
      <c r="A8" s="3">
        <v>1</v>
      </c>
      <c r="B8" s="3" t="s">
        <v>1460</v>
      </c>
      <c r="C8" s="2" t="s">
        <v>234</v>
      </c>
      <c r="D8" s="142">
        <v>611</v>
      </c>
      <c r="E8" s="142">
        <v>71</v>
      </c>
      <c r="F8" s="143">
        <v>230</v>
      </c>
      <c r="G8" s="4">
        <v>35706</v>
      </c>
      <c r="H8" s="110">
        <f t="shared" ca="1" si="0"/>
        <v>23.1</v>
      </c>
      <c r="I8" s="3" t="s">
        <v>494</v>
      </c>
      <c r="J8" s="3">
        <v>4</v>
      </c>
      <c r="K8" s="3">
        <v>2017</v>
      </c>
      <c r="L8" s="3">
        <v>6</v>
      </c>
      <c r="M8" s="3" t="s">
        <v>1461</v>
      </c>
      <c r="N8" s="3" t="s">
        <v>244</v>
      </c>
      <c r="O8" s="3" t="s">
        <v>2085</v>
      </c>
      <c r="P8" s="11">
        <v>7362566</v>
      </c>
      <c r="Q8" s="49">
        <f>P8*3</f>
        <v>22087698</v>
      </c>
      <c r="R8" s="3"/>
      <c r="S8" s="3"/>
      <c r="T8" s="3"/>
      <c r="U8" s="3"/>
      <c r="V8" s="3"/>
      <c r="W8" s="3" t="s">
        <v>1462</v>
      </c>
      <c r="X8" s="107">
        <v>3</v>
      </c>
      <c r="Y8" s="69">
        <v>32</v>
      </c>
      <c r="Z8" s="65">
        <f>13/32</f>
        <v>0.40625</v>
      </c>
      <c r="AA8" s="119">
        <v>105.5</v>
      </c>
      <c r="AB8" s="119">
        <v>105.2</v>
      </c>
      <c r="AC8" s="119">
        <f t="shared" si="1"/>
        <v>0.29999999999999716</v>
      </c>
      <c r="AD8" s="119">
        <v>29.7</v>
      </c>
      <c r="AE8" s="119">
        <v>16.899999999999999</v>
      </c>
      <c r="AF8" s="65">
        <v>0.54200000000000004</v>
      </c>
      <c r="AG8" s="119">
        <v>18.3</v>
      </c>
      <c r="AH8" s="119">
        <v>0.4</v>
      </c>
      <c r="AI8" s="119">
        <v>1.9</v>
      </c>
      <c r="AJ8" s="65">
        <v>0.114</v>
      </c>
      <c r="AK8" s="119">
        <v>-0.8</v>
      </c>
      <c r="AL8" s="119">
        <v>2.9</v>
      </c>
      <c r="AM8" s="119">
        <v>1</v>
      </c>
      <c r="AN8" s="119">
        <v>10.5</v>
      </c>
    </row>
    <row r="9" spans="1:43" x14ac:dyDescent="0.2">
      <c r="A9" s="3">
        <v>5</v>
      </c>
      <c r="B9" s="3" t="s">
        <v>1463</v>
      </c>
      <c r="C9" s="2" t="s">
        <v>234</v>
      </c>
      <c r="D9" s="142">
        <v>70</v>
      </c>
      <c r="E9" s="142">
        <v>710</v>
      </c>
      <c r="F9" s="143">
        <v>231</v>
      </c>
      <c r="G9" s="4">
        <v>35927</v>
      </c>
      <c r="H9" s="110">
        <f t="shared" ca="1" si="0"/>
        <v>22.5</v>
      </c>
      <c r="I9" s="3" t="s">
        <v>406</v>
      </c>
      <c r="J9" s="3">
        <v>3</v>
      </c>
      <c r="K9" s="3">
        <v>2018</v>
      </c>
      <c r="L9" s="3">
        <v>6</v>
      </c>
      <c r="M9" s="3" t="s">
        <v>1464</v>
      </c>
      <c r="N9" s="3" t="s">
        <v>244</v>
      </c>
      <c r="O9" s="3" t="s">
        <v>2086</v>
      </c>
      <c r="P9" s="11">
        <v>5969040</v>
      </c>
      <c r="Q9" s="50">
        <v>7568743</v>
      </c>
      <c r="R9" s="49">
        <f>Q9*3</f>
        <v>22706229</v>
      </c>
      <c r="S9" s="3"/>
      <c r="T9" s="3"/>
      <c r="U9" s="3"/>
      <c r="V9" s="3"/>
      <c r="W9" s="5" t="s">
        <v>238</v>
      </c>
      <c r="X9" s="107">
        <v>5</v>
      </c>
      <c r="Y9" s="69">
        <v>60</v>
      </c>
      <c r="Z9" s="65">
        <f>28/60</f>
        <v>0.46666666666666667</v>
      </c>
      <c r="AA9" s="119">
        <v>104.7</v>
      </c>
      <c r="AB9" s="119">
        <v>103</v>
      </c>
      <c r="AC9" s="119">
        <f t="shared" si="1"/>
        <v>1.7000000000000028</v>
      </c>
      <c r="AD9" s="119">
        <v>14.5</v>
      </c>
      <c r="AE9" s="119">
        <v>17.8</v>
      </c>
      <c r="AF9" s="65">
        <v>0.54900000000000004</v>
      </c>
      <c r="AG9" s="119">
        <v>17.2</v>
      </c>
      <c r="AH9" s="119">
        <v>0.9</v>
      </c>
      <c r="AI9" s="119">
        <v>1.7</v>
      </c>
      <c r="AJ9" s="65">
        <v>0.14000000000000001</v>
      </c>
      <c r="AK9" s="119">
        <v>-1.1000000000000001</v>
      </c>
      <c r="AL9" s="119">
        <v>1.7</v>
      </c>
      <c r="AM9" s="119">
        <v>0.6</v>
      </c>
      <c r="AN9" s="119">
        <v>11.7</v>
      </c>
    </row>
    <row r="10" spans="1:43" x14ac:dyDescent="0.2">
      <c r="A10" s="3">
        <v>7</v>
      </c>
      <c r="B10" s="3" t="s">
        <v>136</v>
      </c>
      <c r="C10" s="2" t="s">
        <v>230</v>
      </c>
      <c r="D10" s="142">
        <v>65</v>
      </c>
      <c r="E10" s="142">
        <v>67</v>
      </c>
      <c r="F10" s="143">
        <v>190</v>
      </c>
      <c r="G10" s="4">
        <v>33521</v>
      </c>
      <c r="H10" s="110">
        <f t="shared" ca="1" si="0"/>
        <v>29.1</v>
      </c>
      <c r="I10" s="3" t="s">
        <v>1472</v>
      </c>
      <c r="J10" s="3">
        <v>8</v>
      </c>
      <c r="K10" s="3">
        <v>2013</v>
      </c>
      <c r="L10" s="3">
        <v>11</v>
      </c>
      <c r="M10" s="3" t="s">
        <v>1473</v>
      </c>
      <c r="N10" s="3" t="s">
        <v>495</v>
      </c>
      <c r="O10" s="11" t="s">
        <v>2508</v>
      </c>
      <c r="P10" s="219">
        <v>3300000</v>
      </c>
      <c r="Q10" s="219">
        <v>3300000</v>
      </c>
      <c r="R10" s="272">
        <f>Q10*1.9</f>
        <v>6270000</v>
      </c>
      <c r="S10" s="3"/>
      <c r="T10" s="3"/>
      <c r="U10" s="3"/>
      <c r="V10" s="3"/>
      <c r="W10" s="3" t="s">
        <v>1474</v>
      </c>
      <c r="X10" s="107">
        <v>2</v>
      </c>
      <c r="Y10" s="69">
        <v>42</v>
      </c>
      <c r="Z10" s="65">
        <f>19/42</f>
        <v>0.45238095238095238</v>
      </c>
      <c r="AA10" s="119">
        <v>108.7</v>
      </c>
      <c r="AB10" s="119">
        <v>107.3</v>
      </c>
      <c r="AC10" s="119">
        <f t="shared" si="1"/>
        <v>1.4000000000000057</v>
      </c>
      <c r="AD10" s="119">
        <v>18.399999999999999</v>
      </c>
      <c r="AE10" s="119">
        <v>15.7</v>
      </c>
      <c r="AF10" s="65">
        <v>0.53900000000000003</v>
      </c>
      <c r="AG10" s="119">
        <v>18.399999999999999</v>
      </c>
      <c r="AH10" s="119">
        <v>0.7</v>
      </c>
      <c r="AI10" s="119">
        <v>1.1000000000000001</v>
      </c>
      <c r="AJ10" s="65">
        <v>0.11600000000000001</v>
      </c>
      <c r="AK10" s="119">
        <v>-1.3</v>
      </c>
      <c r="AL10" s="119">
        <v>1.7</v>
      </c>
      <c r="AM10" s="119">
        <v>0.5</v>
      </c>
      <c r="AN10" s="119">
        <v>10.1</v>
      </c>
    </row>
    <row r="11" spans="1:43" x14ac:dyDescent="0.2">
      <c r="A11" s="3">
        <v>11</v>
      </c>
      <c r="B11" s="3" t="s">
        <v>135</v>
      </c>
      <c r="C11" s="2" t="s">
        <v>252</v>
      </c>
      <c r="D11" s="142">
        <v>66</v>
      </c>
      <c r="E11" s="142">
        <v>70</v>
      </c>
      <c r="F11" s="143">
        <v>215</v>
      </c>
      <c r="G11" s="4">
        <v>33055</v>
      </c>
      <c r="H11" s="110">
        <f t="shared" ca="1" si="0"/>
        <v>30.4</v>
      </c>
      <c r="I11" s="3" t="s">
        <v>1469</v>
      </c>
      <c r="J11" s="3">
        <v>7</v>
      </c>
      <c r="K11" s="3">
        <v>2013</v>
      </c>
      <c r="L11" s="3">
        <v>50</v>
      </c>
      <c r="M11" s="3" t="s">
        <v>1470</v>
      </c>
      <c r="N11" s="3" t="s">
        <v>495</v>
      </c>
      <c r="O11" s="11" t="s">
        <v>2744</v>
      </c>
      <c r="P11" s="219">
        <v>3300000</v>
      </c>
      <c r="Q11" s="14"/>
      <c r="R11" s="3"/>
      <c r="S11" s="3"/>
      <c r="T11" s="3"/>
      <c r="U11" s="3"/>
      <c r="V11" s="3"/>
      <c r="W11" s="3" t="s">
        <v>1471</v>
      </c>
      <c r="X11" s="107">
        <v>3</v>
      </c>
      <c r="Y11" s="69">
        <v>12</v>
      </c>
      <c r="Z11" s="65">
        <f>8/12</f>
        <v>0.66666666666666663</v>
      </c>
      <c r="AA11" s="119">
        <v>108.6</v>
      </c>
      <c r="AB11" s="119">
        <v>110.3</v>
      </c>
      <c r="AC11" s="119">
        <f t="shared" si="1"/>
        <v>-1.7000000000000028</v>
      </c>
      <c r="AD11" s="119">
        <v>23.1</v>
      </c>
      <c r="AE11" s="119">
        <v>9.4</v>
      </c>
      <c r="AF11" s="65">
        <v>0.53700000000000003</v>
      </c>
      <c r="AG11" s="119">
        <v>13.7</v>
      </c>
      <c r="AH11" s="119">
        <v>0.1</v>
      </c>
      <c r="AI11" s="119">
        <v>0.3</v>
      </c>
      <c r="AJ11" s="65">
        <v>0.06</v>
      </c>
      <c r="AK11" s="119">
        <v>-3.7</v>
      </c>
      <c r="AL11" s="119">
        <v>-1.3</v>
      </c>
      <c r="AM11" s="119">
        <v>-0.2</v>
      </c>
      <c r="AN11" s="119">
        <v>5.5</v>
      </c>
    </row>
    <row r="12" spans="1:43" x14ac:dyDescent="0.2">
      <c r="A12" s="3"/>
      <c r="B12" s="3" t="s">
        <v>2279</v>
      </c>
      <c r="C12" s="3" t="s">
        <v>2280</v>
      </c>
      <c r="D12" s="142">
        <v>63</v>
      </c>
      <c r="E12" s="142">
        <v>65</v>
      </c>
      <c r="F12" s="143">
        <v>190</v>
      </c>
      <c r="G12" s="4">
        <v>36661</v>
      </c>
      <c r="H12" s="110">
        <f t="shared" ca="1" si="0"/>
        <v>20.5</v>
      </c>
      <c r="I12" s="3" t="s">
        <v>275</v>
      </c>
      <c r="J12" s="3">
        <v>1</v>
      </c>
      <c r="K12" s="3">
        <v>2020</v>
      </c>
      <c r="L12" s="3">
        <v>15</v>
      </c>
      <c r="M12" s="3" t="s">
        <v>2281</v>
      </c>
      <c r="N12" s="3" t="s">
        <v>244</v>
      </c>
      <c r="O12" s="3" t="s">
        <v>2282</v>
      </c>
      <c r="P12" s="11">
        <v>3285120</v>
      </c>
      <c r="Q12" s="11">
        <v>3449400</v>
      </c>
      <c r="R12" s="50">
        <v>3613680</v>
      </c>
      <c r="S12" s="50">
        <v>5539771</v>
      </c>
      <c r="T12" s="49">
        <v>16619313</v>
      </c>
      <c r="U12" s="3"/>
      <c r="V12" s="3"/>
      <c r="W12" s="3"/>
      <c r="X12" s="107"/>
      <c r="Y12" s="134"/>
      <c r="Z12" s="124"/>
      <c r="AF12" s="124"/>
      <c r="AI12" s="119"/>
      <c r="AJ12" s="65"/>
      <c r="AK12" s="119"/>
      <c r="AL12" s="119"/>
      <c r="AM12" s="119"/>
      <c r="AN12" s="119"/>
    </row>
    <row r="13" spans="1:43" x14ac:dyDescent="0.2">
      <c r="A13" s="3"/>
      <c r="B13" s="3" t="s">
        <v>1487</v>
      </c>
      <c r="C13" s="2" t="s">
        <v>241</v>
      </c>
      <c r="D13" s="142">
        <v>68</v>
      </c>
      <c r="E13" s="142">
        <v>70</v>
      </c>
      <c r="F13" s="143">
        <v>230</v>
      </c>
      <c r="G13" s="4">
        <v>36025</v>
      </c>
      <c r="H13" s="110">
        <f t="shared" ca="1" si="0"/>
        <v>22.2</v>
      </c>
      <c r="I13" s="3" t="s">
        <v>227</v>
      </c>
      <c r="J13" s="3">
        <v>1</v>
      </c>
      <c r="K13" s="3">
        <v>2019</v>
      </c>
      <c r="L13" s="3">
        <v>16</v>
      </c>
      <c r="M13" s="3" t="s">
        <v>2183</v>
      </c>
      <c r="N13" s="3" t="s">
        <v>244</v>
      </c>
      <c r="O13" s="3" t="s">
        <v>2182</v>
      </c>
      <c r="P13" s="219">
        <f>2600900*1.2</f>
        <v>3121080</v>
      </c>
      <c r="Q13" s="219">
        <f>2730900*1.2</f>
        <v>3277080</v>
      </c>
      <c r="R13" s="271">
        <f>2861100*1.2</f>
        <v>3433320</v>
      </c>
      <c r="S13" s="160">
        <f>R13*1.534</f>
        <v>5266712.88</v>
      </c>
      <c r="T13" s="161">
        <f>S13*3</f>
        <v>15800138.640000001</v>
      </c>
      <c r="U13" s="3"/>
      <c r="V13" s="3"/>
      <c r="W13" s="3"/>
      <c r="X13" s="107"/>
      <c r="Y13" s="69"/>
      <c r="Z13" s="65"/>
      <c r="AF13" s="124"/>
      <c r="AJ13" s="124"/>
    </row>
    <row r="14" spans="1:43" x14ac:dyDescent="0.2">
      <c r="A14" s="3">
        <v>24</v>
      </c>
      <c r="B14" s="3" t="s">
        <v>1465</v>
      </c>
      <c r="C14" s="2" t="s">
        <v>234</v>
      </c>
      <c r="D14" s="142">
        <v>69</v>
      </c>
      <c r="E14" s="142">
        <v>71</v>
      </c>
      <c r="F14" s="143">
        <v>220</v>
      </c>
      <c r="G14" s="4">
        <v>33875</v>
      </c>
      <c r="H14" s="110">
        <f t="shared" ca="1" si="0"/>
        <v>28.1</v>
      </c>
      <c r="I14" s="3" t="s">
        <v>1466</v>
      </c>
      <c r="J14" s="3">
        <v>4</v>
      </c>
      <c r="K14" s="3">
        <v>2014</v>
      </c>
      <c r="L14" s="3"/>
      <c r="M14" s="3" t="s">
        <v>1467</v>
      </c>
      <c r="N14" s="3" t="s">
        <v>5</v>
      </c>
      <c r="O14" s="26" t="s">
        <v>2087</v>
      </c>
      <c r="P14" s="11">
        <v>3000000</v>
      </c>
      <c r="Q14" s="14">
        <f>P14*1.9</f>
        <v>5700000</v>
      </c>
      <c r="R14" s="3"/>
      <c r="S14" s="3"/>
      <c r="T14" s="3"/>
      <c r="U14" s="3"/>
      <c r="V14" s="3"/>
      <c r="W14" s="3" t="s">
        <v>1468</v>
      </c>
      <c r="X14" s="107">
        <v>5</v>
      </c>
      <c r="Y14" s="69">
        <v>40</v>
      </c>
      <c r="Z14" s="65">
        <f>16/40</f>
        <v>0.4</v>
      </c>
      <c r="AA14" s="119">
        <v>101.4</v>
      </c>
      <c r="AB14" s="119">
        <v>107.6</v>
      </c>
      <c r="AC14" s="119">
        <f t="shared" si="1"/>
        <v>-6.1999999999999886</v>
      </c>
      <c r="AD14" s="119">
        <v>19.399999999999999</v>
      </c>
      <c r="AE14" s="119">
        <v>10.1</v>
      </c>
      <c r="AF14" s="65">
        <v>0.52900000000000003</v>
      </c>
      <c r="AG14" s="119">
        <v>9.3000000000000007</v>
      </c>
      <c r="AH14" s="119">
        <v>0.7</v>
      </c>
      <c r="AI14" s="119">
        <v>0.8</v>
      </c>
      <c r="AJ14" s="65">
        <v>9.1999999999999998E-2</v>
      </c>
      <c r="AK14" s="119">
        <v>-3.3</v>
      </c>
      <c r="AL14" s="119">
        <v>0.3</v>
      </c>
      <c r="AM14" s="119">
        <v>-0.2</v>
      </c>
      <c r="AN14" s="119">
        <v>6.1</v>
      </c>
    </row>
    <row r="15" spans="1:43" x14ac:dyDescent="0.2">
      <c r="A15" s="3">
        <v>12</v>
      </c>
      <c r="B15" s="3" t="s">
        <v>1478</v>
      </c>
      <c r="C15" s="2" t="s">
        <v>252</v>
      </c>
      <c r="D15" s="142">
        <v>66</v>
      </c>
      <c r="E15" s="142">
        <v>610</v>
      </c>
      <c r="F15" s="143">
        <v>225</v>
      </c>
      <c r="G15" s="4">
        <v>34654</v>
      </c>
      <c r="H15" s="110">
        <f t="shared" ca="1" si="0"/>
        <v>26</v>
      </c>
      <c r="I15" s="3" t="s">
        <v>1274</v>
      </c>
      <c r="J15" s="3">
        <v>3</v>
      </c>
      <c r="K15" s="3">
        <v>2018</v>
      </c>
      <c r="L15" s="3"/>
      <c r="M15" s="3" t="s">
        <v>1367</v>
      </c>
      <c r="N15" s="3" t="s">
        <v>495</v>
      </c>
      <c r="O15" s="22" t="s">
        <v>2615</v>
      </c>
      <c r="P15" s="219">
        <v>2000000</v>
      </c>
      <c r="Q15" s="267">
        <v>2100000</v>
      </c>
      <c r="R15" s="14">
        <f>Q15*1.9</f>
        <v>3990000</v>
      </c>
      <c r="S15" s="3"/>
      <c r="T15" s="3"/>
      <c r="U15" s="3"/>
      <c r="V15" s="3"/>
      <c r="W15" s="3" t="s">
        <v>1479</v>
      </c>
      <c r="X15" s="107">
        <v>4</v>
      </c>
      <c r="Y15" s="69">
        <v>17</v>
      </c>
      <c r="Z15" s="65">
        <f>8/17</f>
        <v>0.47058823529411764</v>
      </c>
      <c r="AA15" s="119">
        <v>98.1</v>
      </c>
      <c r="AB15" s="119">
        <v>104</v>
      </c>
      <c r="AC15" s="119">
        <f t="shared" si="1"/>
        <v>-5.9000000000000057</v>
      </c>
      <c r="AD15" s="119">
        <v>12.5</v>
      </c>
      <c r="AE15" s="119">
        <v>8.8000000000000007</v>
      </c>
      <c r="AF15" s="65">
        <v>0.49</v>
      </c>
      <c r="AG15" s="119">
        <v>9.3000000000000007</v>
      </c>
      <c r="AH15" s="119">
        <v>0.1</v>
      </c>
      <c r="AI15" s="119">
        <v>0.2</v>
      </c>
      <c r="AJ15" s="65">
        <v>7.0000000000000007E-2</v>
      </c>
      <c r="AK15" s="119">
        <v>-2.7</v>
      </c>
      <c r="AL15" s="119">
        <v>-1.3</v>
      </c>
      <c r="AM15" s="119">
        <v>-0.1</v>
      </c>
      <c r="AN15" s="119">
        <v>6.1</v>
      </c>
    </row>
    <row r="16" spans="1:43" x14ac:dyDescent="0.2">
      <c r="A16" s="3"/>
      <c r="B16" s="3" t="s">
        <v>20</v>
      </c>
      <c r="C16" s="3" t="s">
        <v>252</v>
      </c>
      <c r="D16" s="105">
        <v>66</v>
      </c>
      <c r="E16" s="105">
        <v>610</v>
      </c>
      <c r="F16" s="106">
        <v>221</v>
      </c>
      <c r="G16" s="4">
        <v>34941</v>
      </c>
      <c r="H16" s="110">
        <f t="shared" ca="1" si="0"/>
        <v>25.2</v>
      </c>
      <c r="I16" s="3" t="s">
        <v>494</v>
      </c>
      <c r="J16" s="3">
        <v>4</v>
      </c>
      <c r="K16" s="109">
        <v>2017</v>
      </c>
      <c r="L16" s="109">
        <v>40</v>
      </c>
      <c r="M16" s="3" t="s">
        <v>2685</v>
      </c>
      <c r="N16" s="3" t="s">
        <v>276</v>
      </c>
      <c r="O16" s="54" t="s">
        <v>2445</v>
      </c>
      <c r="P16" s="57">
        <v>1678854</v>
      </c>
      <c r="Q16" s="56">
        <v>1824003</v>
      </c>
      <c r="R16" s="51"/>
      <c r="S16" s="12"/>
      <c r="T16" s="12"/>
      <c r="U16" s="59"/>
      <c r="V16" s="59"/>
      <c r="W16" s="59" t="s">
        <v>496</v>
      </c>
      <c r="X16" s="69">
        <v>3</v>
      </c>
      <c r="Y16" s="69">
        <v>39</v>
      </c>
      <c r="Z16" s="65">
        <f>10/39</f>
        <v>0.25641025641025639</v>
      </c>
      <c r="AA16" s="119">
        <v>100.9</v>
      </c>
      <c r="AB16" s="119">
        <v>109.1</v>
      </c>
      <c r="AC16" s="119">
        <f t="shared" ref="AC16:AC17" si="2">AA16-AB16</f>
        <v>-8.1999999999999886</v>
      </c>
      <c r="AD16" s="119">
        <v>17.600000000000001</v>
      </c>
      <c r="AE16" s="119">
        <v>6.1</v>
      </c>
      <c r="AF16" s="65">
        <v>0.41899999999999998</v>
      </c>
      <c r="AG16" s="119">
        <v>19.5</v>
      </c>
      <c r="AH16" s="119">
        <v>-1.2</v>
      </c>
      <c r="AI16" s="119">
        <v>0.4</v>
      </c>
      <c r="AJ16" s="65">
        <v>-5.2999999999999999E-2</v>
      </c>
      <c r="AK16" s="119">
        <v>-5.9</v>
      </c>
      <c r="AL16" s="119">
        <v>-0.9</v>
      </c>
      <c r="AM16" s="119">
        <v>-0.8</v>
      </c>
      <c r="AN16" s="119">
        <v>4.9000000000000004</v>
      </c>
      <c r="AO16" s="59"/>
    </row>
    <row r="17" spans="1:41" x14ac:dyDescent="0.2">
      <c r="A17" s="3"/>
      <c r="B17" s="3" t="s">
        <v>818</v>
      </c>
      <c r="C17" s="3" t="s">
        <v>230</v>
      </c>
      <c r="D17" s="105">
        <v>63</v>
      </c>
      <c r="E17" s="105">
        <v>63</v>
      </c>
      <c r="F17" s="106">
        <v>180</v>
      </c>
      <c r="G17" s="4">
        <v>35739</v>
      </c>
      <c r="H17" s="110">
        <f t="shared" ca="1" si="0"/>
        <v>23</v>
      </c>
      <c r="I17" s="3" t="s">
        <v>369</v>
      </c>
      <c r="J17" s="3">
        <v>2</v>
      </c>
      <c r="K17" s="109">
        <v>2019</v>
      </c>
      <c r="L17" s="109">
        <v>57</v>
      </c>
      <c r="M17" s="3" t="s">
        <v>819</v>
      </c>
      <c r="N17" s="3" t="s">
        <v>288</v>
      </c>
      <c r="O17" s="3" t="s">
        <v>2516</v>
      </c>
      <c r="P17" s="57" t="s">
        <v>288</v>
      </c>
      <c r="Q17" s="34"/>
      <c r="R17" s="3"/>
      <c r="S17" s="3"/>
      <c r="T17" s="25"/>
      <c r="U17" s="59"/>
      <c r="V17" s="59"/>
      <c r="W17" s="59" t="s">
        <v>820</v>
      </c>
      <c r="X17" s="69">
        <v>1</v>
      </c>
      <c r="Y17" s="69">
        <v>10</v>
      </c>
      <c r="Z17" s="65">
        <f>3/10</f>
        <v>0.3</v>
      </c>
      <c r="AA17" s="119">
        <v>101.8</v>
      </c>
      <c r="AB17" s="119">
        <v>104.7</v>
      </c>
      <c r="AC17" s="119">
        <f t="shared" si="2"/>
        <v>-2.9000000000000057</v>
      </c>
      <c r="AD17" s="119">
        <v>6.2</v>
      </c>
      <c r="AE17" s="119">
        <v>0.8</v>
      </c>
      <c r="AF17" s="65">
        <v>0.3</v>
      </c>
      <c r="AG17" s="119">
        <v>18.100000000000001</v>
      </c>
      <c r="AH17" s="119">
        <v>-0.1</v>
      </c>
      <c r="AI17" s="119">
        <v>0</v>
      </c>
      <c r="AJ17" s="65">
        <v>-0.11799999999999999</v>
      </c>
      <c r="AK17" s="119">
        <v>-9</v>
      </c>
      <c r="AL17" s="119">
        <v>-2.9</v>
      </c>
      <c r="AM17" s="119">
        <v>-0.1</v>
      </c>
      <c r="AN17" s="119">
        <v>1.1000000000000001</v>
      </c>
      <c r="AO17" s="59"/>
    </row>
    <row r="18" spans="1:41" x14ac:dyDescent="0.2">
      <c r="A18" s="3"/>
      <c r="B18" s="3" t="s">
        <v>2647</v>
      </c>
      <c r="C18" s="3"/>
      <c r="D18" s="105">
        <v>65</v>
      </c>
      <c r="E18" s="105"/>
      <c r="F18" s="106">
        <v>195</v>
      </c>
      <c r="G18" s="4">
        <v>36662</v>
      </c>
      <c r="H18" s="110">
        <f t="shared" ca="1" si="0"/>
        <v>20.5</v>
      </c>
      <c r="I18" s="3" t="s">
        <v>2679</v>
      </c>
      <c r="J18" s="3">
        <v>1</v>
      </c>
      <c r="K18" s="109">
        <v>2020</v>
      </c>
      <c r="L18" s="109"/>
      <c r="M18" s="3" t="s">
        <v>2436</v>
      </c>
      <c r="N18" s="3" t="s">
        <v>288</v>
      </c>
      <c r="O18" s="54" t="s">
        <v>2516</v>
      </c>
      <c r="P18" s="57" t="s">
        <v>288</v>
      </c>
      <c r="Q18" s="68"/>
      <c r="R18" s="57"/>
      <c r="S18" s="12"/>
      <c r="T18" s="12"/>
      <c r="U18" s="59"/>
      <c r="V18" s="59"/>
      <c r="W18" s="59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  <c r="AO18" s="59"/>
    </row>
    <row r="19" spans="1:41" x14ac:dyDescent="0.2">
      <c r="A19" s="3"/>
      <c r="B19" s="3" t="s">
        <v>290</v>
      </c>
      <c r="C19" s="3"/>
      <c r="D19" s="59"/>
      <c r="E19" s="59"/>
      <c r="F19" s="59"/>
      <c r="G19" s="3"/>
      <c r="H19" s="110"/>
      <c r="I19" s="3"/>
      <c r="J19" s="3"/>
      <c r="K19" s="3"/>
      <c r="L19" s="3"/>
      <c r="M19" s="3"/>
      <c r="N19" s="3"/>
      <c r="O19" s="3"/>
      <c r="P19" s="219"/>
      <c r="Q19" s="219"/>
      <c r="R19" s="219"/>
      <c r="S19" s="220"/>
      <c r="T19" s="220"/>
      <c r="U19" s="3"/>
      <c r="V19" s="3"/>
      <c r="W19" s="3"/>
      <c r="X19" s="107"/>
      <c r="Y19" s="134"/>
      <c r="Z19" s="124"/>
      <c r="AF19" s="124"/>
      <c r="AJ19" s="124"/>
    </row>
    <row r="20" spans="1:41" x14ac:dyDescent="0.2">
      <c r="A20" s="3"/>
      <c r="B20" s="3"/>
      <c r="C20" s="2"/>
      <c r="D20" s="142"/>
      <c r="E20" s="142"/>
      <c r="F20" s="143"/>
      <c r="G20" s="4"/>
      <c r="H20" s="110"/>
      <c r="I20" s="3"/>
      <c r="J20" s="3"/>
      <c r="K20" s="3"/>
      <c r="L20" s="3"/>
      <c r="M20" s="3"/>
      <c r="N20" s="3"/>
      <c r="O20" s="3"/>
      <c r="P20" s="11"/>
      <c r="Q20" s="11"/>
      <c r="R20" s="16"/>
      <c r="S20" s="16"/>
      <c r="T20" s="16"/>
      <c r="U20" s="3"/>
      <c r="V20" s="3"/>
      <c r="W20" s="3"/>
      <c r="X20" s="107"/>
      <c r="Y20" s="69"/>
      <c r="Z20" s="65"/>
      <c r="AF20" s="124"/>
      <c r="AJ20" s="124"/>
    </row>
    <row r="21" spans="1:41" x14ac:dyDescent="0.2">
      <c r="A21" s="3">
        <v>35</v>
      </c>
      <c r="B21" s="3" t="s">
        <v>138</v>
      </c>
      <c r="C21" s="2" t="s">
        <v>252</v>
      </c>
      <c r="D21" s="142">
        <v>65</v>
      </c>
      <c r="E21" s="142">
        <v>72</v>
      </c>
      <c r="F21" s="143">
        <v>215</v>
      </c>
      <c r="G21" s="4">
        <v>35307</v>
      </c>
      <c r="H21" s="110">
        <f ca="1">ROUNDDOWN(YEARFRAC($G$25,G21),1)</f>
        <v>24.2</v>
      </c>
      <c r="I21" s="3" t="s">
        <v>1238</v>
      </c>
      <c r="J21" s="3">
        <v>3</v>
      </c>
      <c r="K21" s="3">
        <v>2018</v>
      </c>
      <c r="L21" s="3">
        <v>35</v>
      </c>
      <c r="M21" s="3" t="s">
        <v>1476</v>
      </c>
      <c r="N21" s="3"/>
      <c r="O21" s="159"/>
      <c r="P21" s="14"/>
      <c r="Q21" s="16"/>
      <c r="R21" s="3"/>
      <c r="S21" s="3"/>
      <c r="T21" s="3"/>
      <c r="U21" s="3"/>
      <c r="V21" s="3"/>
      <c r="W21" s="3" t="s">
        <v>1477</v>
      </c>
      <c r="X21" s="107">
        <v>2</v>
      </c>
      <c r="Y21" s="69">
        <v>15</v>
      </c>
      <c r="Z21" s="65">
        <f>4/15</f>
        <v>0.26666666666666666</v>
      </c>
      <c r="AA21" s="119">
        <v>91.4</v>
      </c>
      <c r="AB21" s="119">
        <v>93.8</v>
      </c>
      <c r="AC21" s="119">
        <f>AA21-AB21</f>
        <v>-2.3999999999999915</v>
      </c>
      <c r="AD21" s="119">
        <v>3.4</v>
      </c>
      <c r="AE21" s="119">
        <v>7.5</v>
      </c>
      <c r="AF21" s="65">
        <v>0.48</v>
      </c>
      <c r="AG21" s="119">
        <v>18.5</v>
      </c>
      <c r="AH21" s="119">
        <v>-0.1</v>
      </c>
      <c r="AI21" s="119">
        <v>0.1</v>
      </c>
      <c r="AJ21" s="65">
        <v>3.0000000000000001E-3</v>
      </c>
      <c r="AK21" s="119">
        <v>-6</v>
      </c>
      <c r="AL21" s="119">
        <v>1.5</v>
      </c>
      <c r="AM21" s="119">
        <v>0</v>
      </c>
      <c r="AN21" s="119">
        <v>2.2000000000000002</v>
      </c>
    </row>
    <row r="22" spans="1:41" x14ac:dyDescent="0.2">
      <c r="A22" s="3">
        <v>13</v>
      </c>
      <c r="B22" s="3" t="s">
        <v>1480</v>
      </c>
      <c r="C22" s="2" t="s">
        <v>241</v>
      </c>
      <c r="D22" s="142">
        <v>67</v>
      </c>
      <c r="E22" s="142">
        <v>69</v>
      </c>
      <c r="F22" s="143">
        <v>200</v>
      </c>
      <c r="G22" s="4">
        <v>35054</v>
      </c>
      <c r="H22" s="110">
        <f ca="1">ROUNDDOWN(YEARFRAC($G$25,G22),1)</f>
        <v>24.9</v>
      </c>
      <c r="I22" s="3" t="s">
        <v>1481</v>
      </c>
      <c r="J22" s="3">
        <v>3</v>
      </c>
      <c r="K22" s="3">
        <v>2018</v>
      </c>
      <c r="L22" s="3"/>
      <c r="M22" s="3" t="s">
        <v>1482</v>
      </c>
      <c r="N22" s="3"/>
      <c r="O22" s="3"/>
      <c r="P22" s="14"/>
      <c r="Q22" s="3"/>
      <c r="R22" s="3"/>
      <c r="S22" s="3"/>
      <c r="T22" s="3"/>
      <c r="U22" s="3"/>
      <c r="V22" s="3"/>
      <c r="W22" s="3" t="s">
        <v>1483</v>
      </c>
      <c r="X22" s="107">
        <v>3</v>
      </c>
      <c r="Y22" s="69">
        <v>8</v>
      </c>
      <c r="Z22" s="65">
        <f>4/8</f>
        <v>0.5</v>
      </c>
      <c r="AA22" s="119">
        <v>75.7</v>
      </c>
      <c r="AB22" s="119">
        <v>100</v>
      </c>
      <c r="AC22" s="119">
        <f t="shared" ref="AC22:AC23" si="3">AA22-AB22</f>
        <v>-24.299999999999997</v>
      </c>
      <c r="AD22" s="119">
        <v>5.8</v>
      </c>
      <c r="AE22" s="119">
        <v>2.5</v>
      </c>
      <c r="AF22" s="65">
        <v>0.34399999999999997</v>
      </c>
      <c r="AG22" s="119">
        <v>20.6</v>
      </c>
      <c r="AH22" s="119">
        <v>-0.2</v>
      </c>
      <c r="AI22" s="119">
        <v>0</v>
      </c>
      <c r="AJ22" s="65">
        <v>-0.13200000000000001</v>
      </c>
      <c r="AK22" s="119">
        <v>-7.2</v>
      </c>
      <c r="AL22" s="119">
        <v>-2.5</v>
      </c>
      <c r="AM22" s="119">
        <v>-0.1</v>
      </c>
      <c r="AN22" s="119">
        <v>4.8</v>
      </c>
    </row>
    <row r="23" spans="1:41" x14ac:dyDescent="0.2">
      <c r="A23" s="3">
        <v>23</v>
      </c>
      <c r="B23" s="3" t="s">
        <v>1484</v>
      </c>
      <c r="C23" s="2" t="s">
        <v>252</v>
      </c>
      <c r="D23" s="142">
        <v>67</v>
      </c>
      <c r="E23" s="142">
        <v>611</v>
      </c>
      <c r="F23" s="143">
        <v>201</v>
      </c>
      <c r="G23" s="4">
        <v>35052</v>
      </c>
      <c r="H23" s="110">
        <f ca="1">ROUNDDOWN(YEARFRAC($G$25,G23),1)</f>
        <v>24.9</v>
      </c>
      <c r="I23" s="3" t="s">
        <v>1485</v>
      </c>
      <c r="J23" s="3">
        <v>2</v>
      </c>
      <c r="K23" s="3">
        <v>2019</v>
      </c>
      <c r="L23" s="3"/>
      <c r="M23" s="3" t="s">
        <v>1486</v>
      </c>
      <c r="N23" s="3"/>
      <c r="O23" s="3"/>
      <c r="P23" s="14"/>
      <c r="Q23" s="3"/>
      <c r="R23" s="3"/>
      <c r="S23" s="3"/>
      <c r="T23" s="3"/>
      <c r="U23" s="3"/>
      <c r="V23" s="3"/>
      <c r="W23" s="3" t="s">
        <v>432</v>
      </c>
      <c r="X23" s="107">
        <v>4</v>
      </c>
      <c r="Y23" s="69">
        <v>5</v>
      </c>
      <c r="Z23" s="65">
        <f>1/5</f>
        <v>0.2</v>
      </c>
      <c r="AA23" s="119">
        <v>59.1</v>
      </c>
      <c r="AB23" s="119">
        <v>78.900000000000006</v>
      </c>
      <c r="AC23" s="119">
        <f t="shared" si="3"/>
        <v>-19.800000000000004</v>
      </c>
      <c r="AD23" s="119">
        <v>1.9</v>
      </c>
      <c r="AE23" s="119">
        <v>-16.600000000000001</v>
      </c>
      <c r="AF23" s="65">
        <v>0</v>
      </c>
      <c r="AG23" s="119">
        <v>18.600000000000001</v>
      </c>
      <c r="AH23" s="119">
        <v>-0.1</v>
      </c>
      <c r="AI23" s="119">
        <v>0</v>
      </c>
      <c r="AJ23" s="65">
        <v>-0.45600000000000002</v>
      </c>
      <c r="AK23" s="119">
        <v>-17</v>
      </c>
      <c r="AL23" s="119">
        <v>-8.1999999999999993</v>
      </c>
      <c r="AM23" s="119">
        <v>-0.1</v>
      </c>
      <c r="AN23" s="119">
        <v>-26.7</v>
      </c>
    </row>
    <row r="24" spans="1:41" x14ac:dyDescent="0.2">
      <c r="A24" s="3"/>
      <c r="B24" s="3"/>
      <c r="C24" s="2"/>
      <c r="D24" s="142"/>
      <c r="E24" s="142"/>
      <c r="F24" s="143"/>
      <c r="G24" s="4"/>
      <c r="H24" s="110"/>
      <c r="I24" s="3"/>
      <c r="J24" s="3"/>
      <c r="K24" s="3"/>
      <c r="L24" s="3"/>
      <c r="M24" s="3"/>
      <c r="N24" s="3"/>
      <c r="O24" s="3"/>
      <c r="P24" s="11"/>
      <c r="Q24" s="11"/>
      <c r="R24" s="16"/>
      <c r="S24" s="16"/>
      <c r="T24" s="16"/>
      <c r="U24" s="3"/>
      <c r="V24" s="3"/>
      <c r="W24" s="3"/>
      <c r="X24" s="107"/>
      <c r="Y24" s="69"/>
      <c r="Z24" s="65"/>
      <c r="AF24" s="124"/>
      <c r="AJ24" s="124"/>
    </row>
    <row r="25" spans="1:41" x14ac:dyDescent="0.2">
      <c r="A25" s="3"/>
      <c r="B25" s="3"/>
      <c r="C25" s="3"/>
      <c r="G25" s="4">
        <f ca="1">TODAY()</f>
        <v>44162</v>
      </c>
      <c r="H25" s="36">
        <f ca="1">AVERAGE(H2:H16)</f>
        <v>26.166666666666664</v>
      </c>
      <c r="I25" s="3"/>
      <c r="J25" s="36">
        <f>AVERAGE(J2:J16)</f>
        <v>5.666666666666667</v>
      </c>
      <c r="K25" s="3"/>
      <c r="L25" s="3"/>
      <c r="M25" s="3"/>
      <c r="N25" s="3"/>
      <c r="O25" s="3"/>
      <c r="P25" s="3"/>
      <c r="Q25" s="3"/>
      <c r="R25" s="57"/>
      <c r="S25" s="54"/>
      <c r="T25" s="54"/>
      <c r="U25" s="3"/>
      <c r="V25" s="3"/>
      <c r="W25" s="3"/>
      <c r="X25" s="107"/>
      <c r="Y25" s="134"/>
      <c r="Z25" s="124"/>
      <c r="AF25" s="124"/>
      <c r="AJ25" s="124"/>
    </row>
    <row r="26" spans="1:41" x14ac:dyDescent="0.2">
      <c r="G26" s="3"/>
      <c r="H26" s="36">
        <f ca="1">MEDIAN(H2:H16)</f>
        <v>26</v>
      </c>
      <c r="I26" s="3"/>
      <c r="J26" s="107">
        <f>MEDIAN(J2:J16)</f>
        <v>4</v>
      </c>
      <c r="K26" s="3"/>
      <c r="L26" s="3"/>
      <c r="M26" s="3"/>
      <c r="N26" s="3"/>
      <c r="O26" s="3"/>
      <c r="P26" s="29">
        <f>SUM(P2:P18)</f>
        <v>129812621</v>
      </c>
      <c r="Q26" s="3"/>
      <c r="R26" s="16"/>
      <c r="S26" s="54"/>
      <c r="T26" s="54"/>
      <c r="U26" s="3"/>
      <c r="V26" s="3"/>
      <c r="W26" s="3"/>
      <c r="X26" s="3"/>
      <c r="Z26" s="124"/>
      <c r="AF26" s="124"/>
      <c r="AJ26" s="124"/>
    </row>
    <row r="27" spans="1:41" x14ac:dyDescent="0.2">
      <c r="B27" s="197" t="s">
        <v>1985</v>
      </c>
      <c r="C27" s="3"/>
      <c r="D27" s="3"/>
      <c r="G27" s="3"/>
      <c r="H27" s="3"/>
      <c r="I27" s="3"/>
      <c r="J27" s="3"/>
      <c r="K27" s="3"/>
      <c r="L27" s="3"/>
      <c r="M27" s="3"/>
      <c r="N27" s="3"/>
      <c r="O27" s="3"/>
      <c r="P27" s="11"/>
      <c r="Q27" s="3"/>
      <c r="R27" s="3"/>
      <c r="S27" s="3"/>
      <c r="T27" s="3"/>
      <c r="U27" s="3"/>
      <c r="V27" s="3"/>
      <c r="W27" s="3"/>
      <c r="X27" s="3"/>
      <c r="Z27" s="124"/>
      <c r="AF27" s="124"/>
    </row>
    <row r="28" spans="1:41" x14ac:dyDescent="0.2">
      <c r="B28" s="3" t="s">
        <v>1876</v>
      </c>
      <c r="C28" s="3">
        <v>15</v>
      </c>
      <c r="D28" s="3"/>
      <c r="G28" s="197"/>
      <c r="H28" s="3"/>
      <c r="I28" s="3"/>
      <c r="J28" s="3"/>
      <c r="K28" s="3"/>
      <c r="L28" s="3"/>
      <c r="M28" s="3"/>
      <c r="N28" s="3"/>
      <c r="O28" s="3" t="s">
        <v>292</v>
      </c>
      <c r="P28" s="22" t="e">
        <f>#REF!</f>
        <v>#REF!</v>
      </c>
      <c r="Q28" s="3"/>
      <c r="R28" s="3"/>
      <c r="S28" s="3"/>
      <c r="T28" s="3"/>
      <c r="U28" s="3"/>
      <c r="V28" s="3"/>
      <c r="W28" s="3"/>
      <c r="X28" s="3"/>
      <c r="Z28" s="124"/>
      <c r="AF28" s="124"/>
    </row>
    <row r="29" spans="1:41" x14ac:dyDescent="0.2">
      <c r="B29" s="3" t="s">
        <v>2457</v>
      </c>
      <c r="C29" s="59">
        <v>0</v>
      </c>
      <c r="G29" s="3"/>
      <c r="H29" s="3"/>
      <c r="I29" s="3"/>
      <c r="J29" s="3"/>
      <c r="K29" s="3"/>
      <c r="L29" s="3"/>
      <c r="M29" s="3"/>
      <c r="N29" s="3"/>
      <c r="O29" s="22" t="s">
        <v>294</v>
      </c>
      <c r="P29" s="22" t="e">
        <f>#REF!</f>
        <v>#REF!</v>
      </c>
      <c r="Q29" s="3"/>
      <c r="R29" s="3"/>
      <c r="S29" s="3"/>
      <c r="T29" s="3"/>
      <c r="U29" s="3"/>
      <c r="V29" s="3"/>
      <c r="W29" s="3"/>
      <c r="X29" s="3"/>
      <c r="AF29" s="124"/>
    </row>
    <row r="30" spans="1:41" x14ac:dyDescent="0.2">
      <c r="B30" s="3" t="s">
        <v>2539</v>
      </c>
      <c r="C30" s="59">
        <v>2</v>
      </c>
      <c r="G30" s="3"/>
      <c r="O30" s="22" t="s">
        <v>2745</v>
      </c>
      <c r="P30" s="22" t="e">
        <f>#REF!</f>
        <v>#REF!</v>
      </c>
      <c r="AF30" s="124"/>
    </row>
    <row r="31" spans="1:41" x14ac:dyDescent="0.2">
      <c r="B31" s="3" t="s">
        <v>495</v>
      </c>
      <c r="C31" s="60">
        <f>9258000-P10-P11</f>
        <v>2658000</v>
      </c>
      <c r="D31" t="s">
        <v>2680</v>
      </c>
      <c r="G31" s="3"/>
      <c r="O31" s="22"/>
      <c r="P31" s="22"/>
      <c r="AF31" s="124"/>
    </row>
    <row r="32" spans="1:41" x14ac:dyDescent="0.2">
      <c r="B32" s="3" t="s">
        <v>514</v>
      </c>
      <c r="C32" s="60">
        <f>3623000</f>
        <v>3623000</v>
      </c>
      <c r="G32" s="3"/>
      <c r="O32" s="22"/>
      <c r="P32" s="22"/>
    </row>
    <row r="33" spans="2:8" x14ac:dyDescent="0.2">
      <c r="B33" s="24" t="s">
        <v>293</v>
      </c>
      <c r="C33" s="60">
        <v>0</v>
      </c>
      <c r="G33" s="3"/>
    </row>
    <row r="34" spans="2:8" x14ac:dyDescent="0.2">
      <c r="B34" s="3" t="s">
        <v>295</v>
      </c>
      <c r="C34" s="60">
        <v>0</v>
      </c>
      <c r="G34" s="24"/>
      <c r="H34" s="60"/>
    </row>
    <row r="35" spans="2:8" x14ac:dyDescent="0.2">
      <c r="C35" s="59"/>
      <c r="G35" s="3"/>
      <c r="H35" s="60"/>
    </row>
    <row r="36" spans="2:8" x14ac:dyDescent="0.2">
      <c r="B36" s="149" t="s">
        <v>1875</v>
      </c>
      <c r="C36" s="59"/>
    </row>
    <row r="37" spans="2:8" x14ac:dyDescent="0.2">
      <c r="B37" s="3" t="s">
        <v>296</v>
      </c>
      <c r="C37" s="65">
        <f>33/(33+40)</f>
        <v>0.45205479452054792</v>
      </c>
      <c r="D37" t="s">
        <v>332</v>
      </c>
      <c r="G37" s="149"/>
    </row>
    <row r="38" spans="2:8" x14ac:dyDescent="0.2">
      <c r="B38" s="3" t="s">
        <v>298</v>
      </c>
      <c r="C38" s="59">
        <v>107.9</v>
      </c>
      <c r="D38" t="s">
        <v>2006</v>
      </c>
      <c r="G38" s="3"/>
    </row>
    <row r="39" spans="2:8" x14ac:dyDescent="0.2">
      <c r="B39" s="3" t="s">
        <v>299</v>
      </c>
      <c r="C39" s="59">
        <v>109.2</v>
      </c>
      <c r="D39" t="s">
        <v>1687</v>
      </c>
      <c r="G39" s="3"/>
    </row>
    <row r="40" spans="2:8" x14ac:dyDescent="0.2">
      <c r="B40" s="3" t="s">
        <v>300</v>
      </c>
      <c r="C40" s="59">
        <f>C38-C39</f>
        <v>-1.2999999999999972</v>
      </c>
      <c r="D40" t="s">
        <v>2030</v>
      </c>
      <c r="G40" s="3"/>
    </row>
    <row r="41" spans="2:8" x14ac:dyDescent="0.2">
      <c r="B41" s="3" t="s">
        <v>301</v>
      </c>
      <c r="C41" s="59">
        <v>98.99</v>
      </c>
      <c r="D41" t="s">
        <v>2005</v>
      </c>
      <c r="G41" s="3"/>
    </row>
    <row r="42" spans="2:8" x14ac:dyDescent="0.2">
      <c r="C42" s="59"/>
      <c r="G42" s="3"/>
    </row>
    <row r="43" spans="2:8" x14ac:dyDescent="0.2">
      <c r="B43" s="2" t="s">
        <v>302</v>
      </c>
    </row>
    <row r="44" spans="2:8" x14ac:dyDescent="0.2">
      <c r="B44" s="3" t="s">
        <v>1240</v>
      </c>
    </row>
    <row r="45" spans="2:8" x14ac:dyDescent="0.2">
      <c r="B45" s="3" t="s">
        <v>2224</v>
      </c>
    </row>
    <row r="46" spans="2:8" x14ac:dyDescent="0.2">
      <c r="B46" s="10"/>
    </row>
    <row r="47" spans="2:8" x14ac:dyDescent="0.2">
      <c r="B47" s="2" t="s">
        <v>310</v>
      </c>
    </row>
    <row r="48" spans="2:8" x14ac:dyDescent="0.2">
      <c r="B48" s="2" t="s">
        <v>1089</v>
      </c>
    </row>
    <row r="49" spans="2:11" x14ac:dyDescent="0.2">
      <c r="B49" s="2"/>
    </row>
    <row r="50" spans="2:11" x14ac:dyDescent="0.2">
      <c r="B50" s="149" t="s">
        <v>2088</v>
      </c>
    </row>
    <row r="51" spans="2:11" x14ac:dyDescent="0.2">
      <c r="B51" s="37" t="s">
        <v>314</v>
      </c>
      <c r="C51" s="59">
        <v>33</v>
      </c>
      <c r="D51" s="59">
        <v>40</v>
      </c>
      <c r="E51" t="s">
        <v>332</v>
      </c>
      <c r="G51" t="s">
        <v>522</v>
      </c>
      <c r="J51" t="s">
        <v>2113</v>
      </c>
    </row>
    <row r="52" spans="2:11" x14ac:dyDescent="0.2">
      <c r="B52" s="157" t="s">
        <v>317</v>
      </c>
      <c r="C52" s="24">
        <v>42</v>
      </c>
      <c r="D52" s="24">
        <v>40</v>
      </c>
      <c r="E52" s="158" t="s">
        <v>400</v>
      </c>
      <c r="F52" s="158"/>
      <c r="G52" s="158" t="s">
        <v>522</v>
      </c>
      <c r="H52" s="2"/>
      <c r="I52" s="2"/>
      <c r="J52" s="2" t="s">
        <v>1488</v>
      </c>
      <c r="K52" s="2"/>
    </row>
    <row r="53" spans="2:11" x14ac:dyDescent="0.2">
      <c r="B53" s="157" t="s">
        <v>319</v>
      </c>
      <c r="C53" s="24">
        <v>25</v>
      </c>
      <c r="D53" s="24">
        <v>57</v>
      </c>
      <c r="E53" s="158" t="s">
        <v>315</v>
      </c>
      <c r="F53" s="158"/>
      <c r="G53" s="158" t="s">
        <v>1001</v>
      </c>
      <c r="H53" s="10"/>
      <c r="I53" s="2"/>
      <c r="J53" s="10"/>
      <c r="K53" s="2"/>
    </row>
    <row r="54" spans="2:11" x14ac:dyDescent="0.2">
      <c r="B54" s="157" t="s">
        <v>322</v>
      </c>
      <c r="C54" s="24">
        <v>29</v>
      </c>
      <c r="D54" s="24">
        <v>53</v>
      </c>
      <c r="E54" s="158" t="s">
        <v>586</v>
      </c>
      <c r="F54" s="158"/>
      <c r="G54" s="158" t="s">
        <v>1001</v>
      </c>
      <c r="H54" s="10"/>
      <c r="I54" s="2"/>
      <c r="J54" s="10"/>
      <c r="K54" s="2"/>
    </row>
    <row r="55" spans="2:11" x14ac:dyDescent="0.2">
      <c r="B55" s="157" t="s">
        <v>325</v>
      </c>
      <c r="C55" s="24">
        <v>35</v>
      </c>
      <c r="D55" s="24">
        <v>47</v>
      </c>
      <c r="E55" s="158" t="s">
        <v>523</v>
      </c>
      <c r="F55" s="158"/>
      <c r="G55" s="158" t="s">
        <v>1249</v>
      </c>
      <c r="H55" s="10"/>
      <c r="I55" s="2"/>
      <c r="J55" s="10"/>
      <c r="K55" s="2"/>
    </row>
    <row r="56" spans="2:11" x14ac:dyDescent="0.2">
      <c r="B56" s="157" t="s">
        <v>328</v>
      </c>
      <c r="C56" s="24">
        <v>25</v>
      </c>
      <c r="D56" s="24">
        <v>57</v>
      </c>
      <c r="E56" s="158" t="s">
        <v>586</v>
      </c>
      <c r="F56" s="158"/>
      <c r="G56" s="158" t="s">
        <v>1489</v>
      </c>
      <c r="H56" s="10"/>
      <c r="I56" s="2"/>
      <c r="J56" s="10"/>
      <c r="K56" s="2"/>
    </row>
    <row r="57" spans="2:11" x14ac:dyDescent="0.2">
      <c r="B57" s="157" t="s">
        <v>331</v>
      </c>
      <c r="C57" s="24">
        <v>23</v>
      </c>
      <c r="D57" s="24">
        <v>59</v>
      </c>
      <c r="E57" s="158" t="s">
        <v>586</v>
      </c>
      <c r="F57" s="158"/>
      <c r="G57" s="158" t="s">
        <v>454</v>
      </c>
      <c r="H57" s="10"/>
      <c r="I57" s="2"/>
      <c r="J57" s="10"/>
      <c r="K57" s="2"/>
    </row>
    <row r="58" spans="2:11" x14ac:dyDescent="0.2">
      <c r="B58" s="157" t="s">
        <v>334</v>
      </c>
      <c r="C58" s="24">
        <v>20</v>
      </c>
      <c r="D58" s="24">
        <v>62</v>
      </c>
      <c r="E58" s="158" t="s">
        <v>320</v>
      </c>
      <c r="F58" s="158"/>
      <c r="G58" s="158" t="s">
        <v>454</v>
      </c>
      <c r="H58" s="10"/>
      <c r="I58" s="2"/>
      <c r="J58" s="10"/>
      <c r="K58" s="2"/>
    </row>
    <row r="59" spans="2:11" x14ac:dyDescent="0.2">
      <c r="B59" s="157" t="s">
        <v>338</v>
      </c>
      <c r="C59" s="24">
        <v>37</v>
      </c>
      <c r="D59" s="24">
        <v>29</v>
      </c>
      <c r="E59" s="158" t="s">
        <v>335</v>
      </c>
      <c r="F59" s="158"/>
      <c r="G59" s="158" t="s">
        <v>823</v>
      </c>
      <c r="H59" s="2"/>
      <c r="I59" s="2"/>
      <c r="J59" s="2" t="s">
        <v>1490</v>
      </c>
      <c r="K59" s="2"/>
    </row>
    <row r="60" spans="2:11" x14ac:dyDescent="0.2">
      <c r="B60" s="157" t="s">
        <v>340</v>
      </c>
      <c r="C60" s="24">
        <v>52</v>
      </c>
      <c r="D60" s="24">
        <v>30</v>
      </c>
      <c r="E60" s="158" t="s">
        <v>326</v>
      </c>
      <c r="F60" s="158"/>
      <c r="G60" s="158" t="s">
        <v>823</v>
      </c>
      <c r="H60" s="2"/>
      <c r="I60" s="2"/>
      <c r="J60" s="2" t="s">
        <v>399</v>
      </c>
      <c r="K60" s="2"/>
    </row>
    <row r="61" spans="2:11" x14ac:dyDescent="0.2">
      <c r="B61" t="s">
        <v>342</v>
      </c>
      <c r="C61" s="59">
        <f>SUM(C51:C60)</f>
        <v>321</v>
      </c>
      <c r="D61" s="59">
        <f>SUM(D51:D60)</f>
        <v>474</v>
      </c>
      <c r="E61" s="65">
        <f>C61/(C61+D61)</f>
        <v>0.4037735849056604</v>
      </c>
    </row>
  </sheetData>
  <hyperlinks>
    <hyperlink ref="B52" r:id="rId1" display="https://www.basketball-reference.com/teams/ORL/2019.html" xr:uid="{99CB4955-948C-384C-9A30-5F329A3B2E3F}"/>
    <hyperlink ref="B53" r:id="rId2" display="https://www.basketball-reference.com/teams/ORL/2018.html" xr:uid="{F242B41E-69F1-F641-A154-DAF2FD6D5489}"/>
    <hyperlink ref="B54" r:id="rId3" display="https://www.basketball-reference.com/teams/ORL/2017.html" xr:uid="{02F7F84E-CEBE-0242-95FB-208C97EC294F}"/>
    <hyperlink ref="B55" r:id="rId4" display="https://www.basketball-reference.com/teams/ORL/2016.html" xr:uid="{79B5D53F-E12B-534E-81E4-FDA23BAF60C5}"/>
    <hyperlink ref="B56" r:id="rId5" display="https://www.basketball-reference.com/teams/ORL/2015.html" xr:uid="{0D27BA47-31AD-C341-9B24-C26F782F2EA0}"/>
    <hyperlink ref="B57" r:id="rId6" display="https://www.basketball-reference.com/teams/ORL/2014.html" xr:uid="{2E168092-C81A-D247-A08F-2DDC9A602235}"/>
    <hyperlink ref="B58" r:id="rId7" display="https://www.basketball-reference.com/teams/ORL/2013.html" xr:uid="{A4D5CB4B-2989-5D4F-B899-3F0A690A97D1}"/>
    <hyperlink ref="B59" r:id="rId8" display="https://www.basketball-reference.com/teams/ORL/2012.html" xr:uid="{C9223240-C909-4044-B6B1-111D5DCAAFDF}"/>
    <hyperlink ref="B60" r:id="rId9" display="https://www.basketball-reference.com/teams/ORL/2011.html" xr:uid="{B1F60226-B3E8-A849-A2C5-1A50CC441158}"/>
    <hyperlink ref="B51" r:id="rId10" xr:uid="{F0C59A4A-1C31-F045-BB72-594299467732}"/>
  </hyperlinks>
  <pageMargins left="0.7" right="0.7" top="0.75" bottom="0.75" header="0.3" footer="0.3"/>
  <ignoredErrors>
    <ignoredError sqref="J25:J26" formulaRange="1"/>
  </ignoredErrors>
  <legacyDrawing r:id="rId1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224C-1F26-A44D-BAC7-CCBAFF8921B0}">
  <dimension ref="A1:AR64"/>
  <sheetViews>
    <sheetView zoomScaleNormal="100" workbookViewId="0"/>
  </sheetViews>
  <sheetFormatPr baseColWidth="10" defaultColWidth="10.83203125" defaultRowHeight="16" x14ac:dyDescent="0.2"/>
  <cols>
    <col min="1" max="1" width="5" style="3" customWidth="1"/>
    <col min="2" max="2" width="18.5" style="3" customWidth="1"/>
    <col min="3" max="3" width="10.83203125" style="3"/>
    <col min="4" max="4" width="7.5" style="3" customWidth="1"/>
    <col min="5" max="5" width="10.83203125" style="3"/>
    <col min="6" max="6" width="8.1640625" style="3" customWidth="1"/>
    <col min="7" max="7" width="10.33203125" style="3" customWidth="1"/>
    <col min="8" max="8" width="5.83203125" style="3" customWidth="1"/>
    <col min="9" max="9" width="25.6640625" style="3" customWidth="1"/>
    <col min="10" max="10" width="11" style="3" customWidth="1"/>
    <col min="11" max="11" width="11.1640625" style="3" customWidth="1"/>
    <col min="12" max="12" width="4.5" style="3" customWidth="1"/>
    <col min="13" max="13" width="35.1640625" style="3" customWidth="1"/>
    <col min="14" max="14" width="16.6640625" style="3" customWidth="1"/>
    <col min="15" max="15" width="47.6640625" style="3" customWidth="1"/>
    <col min="16" max="16" width="13.33203125" style="3" bestFit="1" customWidth="1"/>
    <col min="17" max="20" width="12.33203125" style="3" bestFit="1" customWidth="1"/>
    <col min="21" max="21" width="11.6640625" style="3" bestFit="1" customWidth="1"/>
    <col min="22" max="22" width="95.6640625" style="3" customWidth="1"/>
    <col min="23" max="23" width="27" style="3" customWidth="1"/>
    <col min="24" max="24" width="9.5" style="3" customWidth="1"/>
    <col min="25" max="25" width="3.6640625" style="3" customWidth="1"/>
    <col min="26" max="26" width="7.83203125" style="3" customWidth="1"/>
    <col min="27" max="27" width="6" style="3" customWidth="1"/>
    <col min="28" max="28" width="5.83203125" style="3" customWidth="1"/>
    <col min="29" max="29" width="7.5" style="3" customWidth="1"/>
    <col min="30" max="30" width="5.1640625" style="3" customWidth="1"/>
    <col min="31" max="31" width="4.83203125" style="3" customWidth="1"/>
    <col min="32" max="32" width="5.83203125" style="3" customWidth="1"/>
    <col min="33" max="33" width="7.6640625" style="3" customWidth="1"/>
    <col min="34" max="35" width="5.1640625" style="3" customWidth="1"/>
    <col min="36" max="36" width="7" style="3" customWidth="1"/>
    <col min="37" max="37" width="6.33203125" style="3" customWidth="1"/>
    <col min="38" max="38" width="5.83203125" style="3" customWidth="1"/>
    <col min="39" max="39" width="5.6640625" style="3" customWidth="1"/>
    <col min="40" max="40" width="5.1640625" style="3" customWidth="1"/>
    <col min="41" max="16384" width="10.83203125" style="3"/>
  </cols>
  <sheetData>
    <row r="1" spans="1:44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P1" s="59"/>
      <c r="AQ1" s="59"/>
    </row>
    <row r="2" spans="1:44" x14ac:dyDescent="0.2">
      <c r="A2" s="3">
        <v>12</v>
      </c>
      <c r="B2" s="3" t="s">
        <v>1491</v>
      </c>
      <c r="C2" s="3" t="s">
        <v>241</v>
      </c>
      <c r="D2" s="105">
        <v>68</v>
      </c>
      <c r="E2" s="105">
        <v>611</v>
      </c>
      <c r="F2" s="106">
        <v>226</v>
      </c>
      <c r="G2" s="4">
        <v>33800</v>
      </c>
      <c r="H2" s="110">
        <f t="shared" ref="H2:H16" ca="1" si="0">ROUNDDOWN(YEARFRAC($G$26,G2),1)</f>
        <v>28.3</v>
      </c>
      <c r="I2" s="3" t="s">
        <v>369</v>
      </c>
      <c r="J2" s="3">
        <v>10</v>
      </c>
      <c r="K2" s="3">
        <v>2011</v>
      </c>
      <c r="L2" s="3">
        <v>19</v>
      </c>
      <c r="M2" s="3" t="s">
        <v>1492</v>
      </c>
      <c r="N2" s="3" t="s">
        <v>1</v>
      </c>
      <c r="O2" s="3" t="s">
        <v>2051</v>
      </c>
      <c r="P2" s="11">
        <v>34358850</v>
      </c>
      <c r="Q2" s="11">
        <v>35995950</v>
      </c>
      <c r="R2" s="11">
        <v>37633050</v>
      </c>
      <c r="S2" s="11">
        <v>39270150</v>
      </c>
      <c r="T2" s="14">
        <v>50646400</v>
      </c>
      <c r="V2" s="3" t="s">
        <v>1493</v>
      </c>
      <c r="W2" s="3" t="s">
        <v>1494</v>
      </c>
      <c r="X2" s="107">
        <v>4</v>
      </c>
      <c r="Y2" s="107">
        <v>65</v>
      </c>
      <c r="Z2" s="41">
        <f>39/65</f>
        <v>0.6</v>
      </c>
      <c r="AA2" s="110">
        <v>109.7</v>
      </c>
      <c r="AB2" s="110">
        <v>106.7</v>
      </c>
      <c r="AC2" s="110">
        <f t="shared" ref="AC2:AC15" si="1">AA2-AB2</f>
        <v>3</v>
      </c>
      <c r="AD2" s="110">
        <v>34.5</v>
      </c>
      <c r="AE2" s="110">
        <v>16.8</v>
      </c>
      <c r="AF2" s="41">
        <v>0.55700000000000005</v>
      </c>
      <c r="AG2" s="110">
        <v>23.6</v>
      </c>
      <c r="AH2" s="110">
        <v>3</v>
      </c>
      <c r="AI2" s="110">
        <v>2.6</v>
      </c>
      <c r="AJ2" s="41">
        <v>0.12</v>
      </c>
      <c r="AK2" s="110">
        <v>1</v>
      </c>
      <c r="AL2" s="110">
        <v>-0.4</v>
      </c>
      <c r="AM2" s="110">
        <v>1.5</v>
      </c>
      <c r="AN2" s="110">
        <v>12.4</v>
      </c>
    </row>
    <row r="3" spans="1:44" x14ac:dyDescent="0.2">
      <c r="A3" s="3">
        <v>25</v>
      </c>
      <c r="B3" s="3" t="s">
        <v>212</v>
      </c>
      <c r="C3" s="3" t="s">
        <v>247</v>
      </c>
      <c r="D3" s="105">
        <v>610</v>
      </c>
      <c r="E3" s="105">
        <v>70</v>
      </c>
      <c r="F3" s="106">
        <v>240</v>
      </c>
      <c r="G3" s="4">
        <v>35266</v>
      </c>
      <c r="H3" s="110">
        <f t="shared" ca="1" si="0"/>
        <v>24.3</v>
      </c>
      <c r="I3" s="3" t="s">
        <v>389</v>
      </c>
      <c r="J3" s="3">
        <v>5</v>
      </c>
      <c r="K3" s="3">
        <v>2016</v>
      </c>
      <c r="L3" s="3">
        <v>1</v>
      </c>
      <c r="M3" s="3" t="s">
        <v>1501</v>
      </c>
      <c r="N3" s="3" t="s">
        <v>1</v>
      </c>
      <c r="O3" s="3" t="s">
        <v>2054</v>
      </c>
      <c r="P3" s="11" t="e">
        <f>0.28*P31</f>
        <v>#REF!</v>
      </c>
      <c r="Q3" s="11" t="e">
        <f>P3+(0.08*P3)</f>
        <v>#REF!</v>
      </c>
      <c r="R3" s="11" t="e">
        <f>Q3+(0.08*P3)</f>
        <v>#REF!</v>
      </c>
      <c r="S3" s="11" t="e">
        <f>R3+(0.08*P3)</f>
        <v>#REF!</v>
      </c>
      <c r="T3" s="11" t="e">
        <f>S3+(0.08*P3)</f>
        <v>#REF!</v>
      </c>
      <c r="U3" s="51">
        <v>53178650</v>
      </c>
      <c r="V3" s="3" t="s">
        <v>1502</v>
      </c>
      <c r="W3" s="3" t="s">
        <v>1503</v>
      </c>
      <c r="X3" s="107">
        <v>1</v>
      </c>
      <c r="Y3" s="107">
        <v>54</v>
      </c>
      <c r="Z3" s="41">
        <f>33/54</f>
        <v>0.61111111111111116</v>
      </c>
      <c r="AA3" s="110">
        <v>109.1</v>
      </c>
      <c r="AB3" s="110">
        <v>106.9</v>
      </c>
      <c r="AC3" s="110">
        <f t="shared" ref="AC3" si="2">AA3-AB3</f>
        <v>2.1999999999999886</v>
      </c>
      <c r="AD3" s="110">
        <v>35.700000000000003</v>
      </c>
      <c r="AE3" s="110">
        <v>20.8</v>
      </c>
      <c r="AF3" s="41">
        <v>0.60799999999999998</v>
      </c>
      <c r="AG3" s="110">
        <v>20.9</v>
      </c>
      <c r="AH3" s="110">
        <v>3.8</v>
      </c>
      <c r="AI3" s="110">
        <v>3.2</v>
      </c>
      <c r="AJ3" s="41">
        <v>0.17399999999999999</v>
      </c>
      <c r="AK3" s="110">
        <v>1.4</v>
      </c>
      <c r="AL3" s="110">
        <v>2.4</v>
      </c>
      <c r="AM3" s="110">
        <v>2.9</v>
      </c>
      <c r="AN3" s="110">
        <v>14.5</v>
      </c>
    </row>
    <row r="4" spans="1:44" x14ac:dyDescent="0.2">
      <c r="A4" s="3">
        <v>21</v>
      </c>
      <c r="B4" s="3" t="s">
        <v>1497</v>
      </c>
      <c r="C4" s="3" t="s">
        <v>234</v>
      </c>
      <c r="D4" s="105">
        <v>70</v>
      </c>
      <c r="E4" s="105">
        <v>76</v>
      </c>
      <c r="F4" s="106">
        <v>280</v>
      </c>
      <c r="G4" s="4">
        <v>34409</v>
      </c>
      <c r="H4" s="110">
        <f t="shared" ca="1" si="0"/>
        <v>26.6</v>
      </c>
      <c r="I4" s="3" t="s">
        <v>498</v>
      </c>
      <c r="J4" s="3">
        <v>7</v>
      </c>
      <c r="K4" s="3">
        <v>2014</v>
      </c>
      <c r="L4" s="3">
        <v>3</v>
      </c>
      <c r="M4" s="3" t="s">
        <v>1498</v>
      </c>
      <c r="N4" s="3" t="s">
        <v>1</v>
      </c>
      <c r="O4" s="3" t="s">
        <v>2052</v>
      </c>
      <c r="P4" s="11">
        <v>29542010</v>
      </c>
      <c r="Q4" s="11">
        <v>31579390</v>
      </c>
      <c r="R4" s="11">
        <v>33616770</v>
      </c>
      <c r="S4" s="14">
        <v>41343750</v>
      </c>
      <c r="W4" s="5" t="s">
        <v>238</v>
      </c>
      <c r="X4" s="107">
        <v>5</v>
      </c>
      <c r="Y4" s="107">
        <v>44</v>
      </c>
      <c r="Z4" s="41">
        <f>28/44</f>
        <v>0.63636363636363635</v>
      </c>
      <c r="AA4" s="110">
        <v>106.2</v>
      </c>
      <c r="AB4" s="110">
        <v>101.4</v>
      </c>
      <c r="AC4" s="110">
        <f t="shared" si="1"/>
        <v>4.7999999999999972</v>
      </c>
      <c r="AD4" s="110">
        <v>30.2</v>
      </c>
      <c r="AE4" s="110">
        <v>26</v>
      </c>
      <c r="AF4" s="41">
        <v>0.59299999999999997</v>
      </c>
      <c r="AG4" s="110">
        <v>32.6</v>
      </c>
      <c r="AH4" s="110">
        <v>3.2</v>
      </c>
      <c r="AI4" s="110">
        <v>2.4</v>
      </c>
      <c r="AJ4" s="41">
        <v>0.20300000000000001</v>
      </c>
      <c r="AK4" s="110">
        <v>4.0999999999999996</v>
      </c>
      <c r="AL4" s="110">
        <v>1.2</v>
      </c>
      <c r="AM4" s="110">
        <v>2.4</v>
      </c>
      <c r="AN4" s="110">
        <v>19.7</v>
      </c>
    </row>
    <row r="5" spans="1:44" x14ac:dyDescent="0.2">
      <c r="A5" s="3">
        <v>14</v>
      </c>
      <c r="B5" s="3" t="s">
        <v>1063</v>
      </c>
      <c r="C5" s="3" t="s">
        <v>252</v>
      </c>
      <c r="D5" s="105">
        <v>66</v>
      </c>
      <c r="E5" s="105">
        <v>610</v>
      </c>
      <c r="F5" s="106">
        <v>215</v>
      </c>
      <c r="G5" s="4">
        <v>31950</v>
      </c>
      <c r="H5" s="110">
        <f t="shared" ca="1" si="0"/>
        <v>33.4</v>
      </c>
      <c r="I5" s="3" t="s">
        <v>275</v>
      </c>
      <c r="J5" s="3">
        <v>12</v>
      </c>
      <c r="K5" s="109">
        <v>2009</v>
      </c>
      <c r="L5" s="109">
        <v>46</v>
      </c>
      <c r="M5" s="3" t="s">
        <v>2164</v>
      </c>
      <c r="N5" s="3" t="s">
        <v>813</v>
      </c>
      <c r="O5" s="3" t="s">
        <v>2100</v>
      </c>
      <c r="P5" s="11">
        <v>15365853</v>
      </c>
      <c r="Q5" s="14">
        <f>P5*1.3</f>
        <v>19975608.900000002</v>
      </c>
      <c r="R5" s="12"/>
      <c r="S5" s="12"/>
      <c r="T5" s="12"/>
      <c r="U5"/>
      <c r="V5"/>
      <c r="W5" t="s">
        <v>1064</v>
      </c>
      <c r="X5" s="69">
        <v>3</v>
      </c>
      <c r="Y5" s="69">
        <v>61</v>
      </c>
      <c r="Z5" s="65">
        <f>48/61</f>
        <v>0.78688524590163933</v>
      </c>
      <c r="AA5" s="119">
        <v>113.6</v>
      </c>
      <c r="AB5" s="119">
        <v>105</v>
      </c>
      <c r="AC5" s="119">
        <f t="shared" si="1"/>
        <v>8.5999999999999943</v>
      </c>
      <c r="AD5" s="119">
        <v>25.1</v>
      </c>
      <c r="AE5" s="119">
        <v>11.1</v>
      </c>
      <c r="AF5" s="65">
        <v>0.56399999999999995</v>
      </c>
      <c r="AG5" s="119">
        <v>13.8</v>
      </c>
      <c r="AH5" s="119">
        <v>1.1000000000000001</v>
      </c>
      <c r="AI5" s="119">
        <v>2.4</v>
      </c>
      <c r="AJ5" s="65">
        <v>0.108</v>
      </c>
      <c r="AK5" s="119">
        <v>-0.8</v>
      </c>
      <c r="AL5" s="119">
        <v>1.7</v>
      </c>
      <c r="AM5" s="119">
        <v>1.1000000000000001</v>
      </c>
      <c r="AN5" s="119">
        <v>6.6</v>
      </c>
      <c r="AO5"/>
      <c r="AP5"/>
    </row>
    <row r="6" spans="1:44" x14ac:dyDescent="0.2">
      <c r="A6" s="3">
        <v>30</v>
      </c>
      <c r="B6" s="3" t="s">
        <v>684</v>
      </c>
      <c r="C6" s="3" t="s">
        <v>230</v>
      </c>
      <c r="D6" s="105">
        <v>62</v>
      </c>
      <c r="E6" s="105">
        <v>64</v>
      </c>
      <c r="F6" s="106">
        <v>185</v>
      </c>
      <c r="G6" s="4">
        <v>33108</v>
      </c>
      <c r="H6" s="110">
        <f t="shared" ca="1" si="0"/>
        <v>30.2</v>
      </c>
      <c r="I6" s="3" t="s">
        <v>253</v>
      </c>
      <c r="J6" s="3">
        <v>8</v>
      </c>
      <c r="K6" s="109">
        <v>2013</v>
      </c>
      <c r="L6" s="109"/>
      <c r="M6" s="3" t="s">
        <v>2482</v>
      </c>
      <c r="N6" s="3" t="s">
        <v>1410</v>
      </c>
      <c r="O6" s="3" t="s">
        <v>1972</v>
      </c>
      <c r="P6" s="16">
        <v>7834449</v>
      </c>
      <c r="Q6" s="11">
        <v>8207518</v>
      </c>
      <c r="R6" s="11">
        <v>8496653</v>
      </c>
      <c r="S6" s="14">
        <f>R6*1.9</f>
        <v>16143640.699999999</v>
      </c>
      <c r="T6" s="12"/>
      <c r="V6"/>
      <c r="W6" t="s">
        <v>686</v>
      </c>
      <c r="X6" s="69">
        <v>2</v>
      </c>
      <c r="Y6" s="69">
        <v>59</v>
      </c>
      <c r="Z6" s="65">
        <f>36/59</f>
        <v>0.61016949152542377</v>
      </c>
      <c r="AA6" s="119">
        <v>113.9</v>
      </c>
      <c r="AB6" s="119">
        <v>109.3</v>
      </c>
      <c r="AC6" s="119">
        <f t="shared" si="1"/>
        <v>4.6000000000000085</v>
      </c>
      <c r="AD6" s="119">
        <v>24.5</v>
      </c>
      <c r="AE6" s="119">
        <v>16.2</v>
      </c>
      <c r="AF6" s="65">
        <v>0.65</v>
      </c>
      <c r="AG6" s="119">
        <v>18.600000000000001</v>
      </c>
      <c r="AH6" s="119">
        <v>3.4</v>
      </c>
      <c r="AI6" s="119">
        <v>0.9</v>
      </c>
      <c r="AJ6" s="65">
        <v>0.14399999999999999</v>
      </c>
      <c r="AK6" s="119">
        <v>2</v>
      </c>
      <c r="AL6" s="119">
        <v>-0.7</v>
      </c>
      <c r="AM6" s="119">
        <v>1.2</v>
      </c>
      <c r="AN6" s="119">
        <v>9.9</v>
      </c>
      <c r="AO6"/>
      <c r="AP6"/>
      <c r="AQ6"/>
    </row>
    <row r="7" spans="1:44" x14ac:dyDescent="0.2">
      <c r="A7" s="3">
        <v>1</v>
      </c>
      <c r="B7" s="3" t="s">
        <v>1504</v>
      </c>
      <c r="C7" s="3" t="s">
        <v>234</v>
      </c>
      <c r="D7" s="105">
        <v>67</v>
      </c>
      <c r="E7" s="105">
        <v>611</v>
      </c>
      <c r="F7" s="106">
        <v>237</v>
      </c>
      <c r="G7" s="4">
        <v>32340</v>
      </c>
      <c r="H7" s="110">
        <f t="shared" ca="1" si="0"/>
        <v>32.299999999999997</v>
      </c>
      <c r="I7" s="3" t="s">
        <v>242</v>
      </c>
      <c r="J7" s="3">
        <v>9</v>
      </c>
      <c r="K7" s="3">
        <v>2012</v>
      </c>
      <c r="L7" s="3">
        <v>43</v>
      </c>
      <c r="M7" s="3" t="s">
        <v>1492</v>
      </c>
      <c r="N7" s="3" t="s">
        <v>291</v>
      </c>
      <c r="O7" s="3" t="s">
        <v>1882</v>
      </c>
      <c r="P7" s="11">
        <v>5005350</v>
      </c>
      <c r="Q7" s="14">
        <f>P7*1.9</f>
        <v>9510165</v>
      </c>
      <c r="W7" s="3" t="s">
        <v>1505</v>
      </c>
      <c r="X7" s="107">
        <v>4</v>
      </c>
      <c r="Y7" s="107">
        <v>63</v>
      </c>
      <c r="Z7" s="41">
        <f>37/63</f>
        <v>0.58730158730158732</v>
      </c>
      <c r="AA7" s="110">
        <v>109.3</v>
      </c>
      <c r="AB7" s="110">
        <v>104.8</v>
      </c>
      <c r="AC7" s="110">
        <f t="shared" si="1"/>
        <v>4.5</v>
      </c>
      <c r="AD7" s="110">
        <v>17.8</v>
      </c>
      <c r="AE7" s="110">
        <v>10.199999999999999</v>
      </c>
      <c r="AF7" s="41">
        <v>0.53900000000000003</v>
      </c>
      <c r="AG7" s="110">
        <v>13.8</v>
      </c>
      <c r="AH7" s="110">
        <v>1</v>
      </c>
      <c r="AI7" s="110">
        <v>1.1000000000000001</v>
      </c>
      <c r="AJ7" s="41">
        <v>8.8999999999999996E-2</v>
      </c>
      <c r="AK7" s="110">
        <v>-1.2</v>
      </c>
      <c r="AL7" s="110">
        <v>-1.1000000000000001</v>
      </c>
      <c r="AM7" s="110">
        <v>-0.1</v>
      </c>
      <c r="AN7" s="110">
        <v>7.4</v>
      </c>
    </row>
    <row r="8" spans="1:44" x14ac:dyDescent="0.2">
      <c r="A8" s="107">
        <v>23</v>
      </c>
      <c r="B8" s="3" t="s">
        <v>1396</v>
      </c>
      <c r="C8" s="3" t="s">
        <v>252</v>
      </c>
      <c r="D8" s="105">
        <v>66</v>
      </c>
      <c r="E8" s="105">
        <v>69</v>
      </c>
      <c r="F8" s="106">
        <v>190</v>
      </c>
      <c r="G8" s="4">
        <v>35932</v>
      </c>
      <c r="H8" s="119">
        <f t="shared" ca="1" si="0"/>
        <v>22.5</v>
      </c>
      <c r="I8" t="s">
        <v>1397</v>
      </c>
      <c r="J8" s="3">
        <v>4</v>
      </c>
      <c r="K8" s="107">
        <v>2017</v>
      </c>
      <c r="L8" s="107">
        <v>21</v>
      </c>
      <c r="M8" s="2" t="s">
        <v>2164</v>
      </c>
      <c r="N8" s="2" t="s">
        <v>2228</v>
      </c>
      <c r="O8" s="2" t="s">
        <v>1887</v>
      </c>
      <c r="P8" s="11">
        <v>3944013</v>
      </c>
      <c r="Q8" s="49">
        <f>P8*3</f>
        <v>11832039</v>
      </c>
      <c r="R8" s="12"/>
      <c r="S8" s="12"/>
      <c r="T8" s="12"/>
      <c r="U8"/>
      <c r="V8"/>
      <c r="W8" t="s">
        <v>1398</v>
      </c>
      <c r="X8" s="69">
        <v>3</v>
      </c>
      <c r="Y8" s="69">
        <v>50</v>
      </c>
      <c r="Z8" s="65">
        <f>30/50</f>
        <v>0.6</v>
      </c>
      <c r="AA8" s="119">
        <v>107.9</v>
      </c>
      <c r="AB8" s="119">
        <v>110.8</v>
      </c>
      <c r="AC8" s="119">
        <f t="shared" si="1"/>
        <v>-2.8999999999999915</v>
      </c>
      <c r="AD8" s="119">
        <v>23.4</v>
      </c>
      <c r="AE8" s="119">
        <v>4.0999999999999996</v>
      </c>
      <c r="AF8" s="65">
        <v>0.504</v>
      </c>
      <c r="AG8" s="119">
        <v>9</v>
      </c>
      <c r="AH8" s="119">
        <v>-0.1</v>
      </c>
      <c r="AI8" s="119">
        <v>0.8</v>
      </c>
      <c r="AJ8" s="65">
        <v>2.7E-2</v>
      </c>
      <c r="AK8" s="119">
        <v>-4.5</v>
      </c>
      <c r="AL8" s="119">
        <v>0.3</v>
      </c>
      <c r="AM8" s="119">
        <v>-0.6</v>
      </c>
      <c r="AN8" s="119">
        <v>1</v>
      </c>
      <c r="AO8"/>
      <c r="AP8"/>
    </row>
    <row r="9" spans="1:44" x14ac:dyDescent="0.2">
      <c r="B9" s="3" t="s">
        <v>1758</v>
      </c>
      <c r="C9" s="3" t="s">
        <v>234</v>
      </c>
      <c r="D9" s="105">
        <v>610</v>
      </c>
      <c r="E9" s="105">
        <v>75</v>
      </c>
      <c r="F9" s="106">
        <v>248</v>
      </c>
      <c r="G9" s="4">
        <v>35803</v>
      </c>
      <c r="H9" s="110">
        <f t="shared" ca="1" si="0"/>
        <v>22.8</v>
      </c>
      <c r="I9" s="3" t="s">
        <v>275</v>
      </c>
      <c r="J9" s="3">
        <v>4</v>
      </c>
      <c r="K9" s="3">
        <v>2017</v>
      </c>
      <c r="L9" s="3">
        <v>28</v>
      </c>
      <c r="M9" s="3" t="s">
        <v>2659</v>
      </c>
      <c r="N9" s="3" t="s">
        <v>1130</v>
      </c>
      <c r="O9" s="3" t="s">
        <v>1948</v>
      </c>
      <c r="P9" s="11">
        <v>3542060</v>
      </c>
      <c r="Q9" s="49">
        <f>P9*3</f>
        <v>10626180</v>
      </c>
      <c r="W9" s="96" t="s">
        <v>238</v>
      </c>
      <c r="X9" s="69">
        <v>5</v>
      </c>
      <c r="Y9" s="69">
        <v>50</v>
      </c>
      <c r="Z9" s="65">
        <f>33/50</f>
        <v>0.66</v>
      </c>
      <c r="AA9" s="119">
        <v>110.1</v>
      </c>
      <c r="AB9" s="119">
        <v>106.8</v>
      </c>
      <c r="AC9" s="119">
        <f t="shared" si="1"/>
        <v>3.2999999999999972</v>
      </c>
      <c r="AD9" s="119">
        <v>10.7</v>
      </c>
      <c r="AE9" s="119">
        <v>21.8</v>
      </c>
      <c r="AF9" s="65">
        <v>0.67500000000000004</v>
      </c>
      <c r="AG9" s="119">
        <v>16.100000000000001</v>
      </c>
      <c r="AH9" s="119">
        <v>1.8</v>
      </c>
      <c r="AI9" s="119">
        <v>0.9</v>
      </c>
      <c r="AJ9" s="65">
        <v>0.24199999999999999</v>
      </c>
      <c r="AK9" s="119">
        <v>0.9</v>
      </c>
      <c r="AL9" s="119">
        <v>0.4</v>
      </c>
      <c r="AM9" s="119">
        <v>0.4</v>
      </c>
      <c r="AN9" s="119">
        <v>12.1</v>
      </c>
      <c r="AO9" s="59"/>
      <c r="AP9"/>
    </row>
    <row r="10" spans="1:44" x14ac:dyDescent="0.2">
      <c r="A10" s="3">
        <v>22</v>
      </c>
      <c r="B10" s="3" t="s">
        <v>1508</v>
      </c>
      <c r="C10" s="3" t="s">
        <v>252</v>
      </c>
      <c r="D10" s="105">
        <v>65</v>
      </c>
      <c r="E10" s="105">
        <v>70</v>
      </c>
      <c r="F10" s="106">
        <v>200</v>
      </c>
      <c r="G10" s="4">
        <v>35493</v>
      </c>
      <c r="H10" s="110">
        <f t="shared" ca="1" si="0"/>
        <v>23.7</v>
      </c>
      <c r="I10" s="3" t="s">
        <v>1280</v>
      </c>
      <c r="J10" s="3">
        <v>2</v>
      </c>
      <c r="K10" s="3">
        <v>2019</v>
      </c>
      <c r="L10" s="3">
        <v>20</v>
      </c>
      <c r="M10" s="3" t="s">
        <v>1509</v>
      </c>
      <c r="N10" s="3" t="s">
        <v>244</v>
      </c>
      <c r="O10" s="11" t="s">
        <v>1950</v>
      </c>
      <c r="P10" s="11">
        <v>2711280</v>
      </c>
      <c r="Q10" s="50">
        <v>2840160</v>
      </c>
      <c r="R10" s="50">
        <v>4379527</v>
      </c>
      <c r="S10" s="49">
        <f>R10*3</f>
        <v>13138581</v>
      </c>
      <c r="W10" s="3" t="s">
        <v>1510</v>
      </c>
      <c r="X10" s="107">
        <v>2</v>
      </c>
      <c r="Y10" s="107">
        <v>57</v>
      </c>
      <c r="Z10" s="41">
        <f>36/57</f>
        <v>0.63157894736842102</v>
      </c>
      <c r="AA10" s="110">
        <v>105.3</v>
      </c>
      <c r="AB10" s="110">
        <v>103.6</v>
      </c>
      <c r="AC10" s="110">
        <f t="shared" si="1"/>
        <v>1.7000000000000028</v>
      </c>
      <c r="AD10" s="110">
        <v>19.5</v>
      </c>
      <c r="AE10" s="110">
        <v>9.8000000000000007</v>
      </c>
      <c r="AF10" s="41">
        <v>0.53</v>
      </c>
      <c r="AG10" s="110">
        <v>11.6</v>
      </c>
      <c r="AH10" s="110">
        <v>0.1</v>
      </c>
      <c r="AI10" s="110">
        <v>1.8</v>
      </c>
      <c r="AJ10" s="41">
        <v>8.4000000000000005E-2</v>
      </c>
      <c r="AK10" s="110">
        <v>-3</v>
      </c>
      <c r="AL10" s="110">
        <v>3.1</v>
      </c>
      <c r="AM10" s="110">
        <v>0.6</v>
      </c>
      <c r="AN10" s="110">
        <v>4.3</v>
      </c>
    </row>
    <row r="11" spans="1:44" x14ac:dyDescent="0.2">
      <c r="B11" s="3" t="s">
        <v>2299</v>
      </c>
      <c r="C11" s="3" t="s">
        <v>252</v>
      </c>
      <c r="D11" s="105">
        <v>63</v>
      </c>
      <c r="E11" s="105">
        <v>68</v>
      </c>
      <c r="F11" s="106">
        <v>198</v>
      </c>
      <c r="G11" s="4">
        <v>36834</v>
      </c>
      <c r="H11" s="110">
        <f t="shared" ca="1" si="0"/>
        <v>20</v>
      </c>
      <c r="I11" s="3" t="s">
        <v>266</v>
      </c>
      <c r="J11" s="3">
        <v>1</v>
      </c>
      <c r="K11" s="3">
        <v>2020</v>
      </c>
      <c r="L11" s="3">
        <v>21</v>
      </c>
      <c r="M11" s="3" t="s">
        <v>2300</v>
      </c>
      <c r="N11" s="3" t="s">
        <v>244</v>
      </c>
      <c r="O11" s="3" t="s">
        <v>2301</v>
      </c>
      <c r="P11" s="11">
        <v>2478840</v>
      </c>
      <c r="Q11" s="11">
        <v>2602920</v>
      </c>
      <c r="R11" s="50">
        <v>2726880</v>
      </c>
      <c r="S11" s="50">
        <v>4343920</v>
      </c>
      <c r="T11" s="49">
        <f>S11*3</f>
        <v>13031760</v>
      </c>
      <c r="U11" s="59"/>
      <c r="X11" s="107"/>
      <c r="Y11" s="107"/>
      <c r="Z11" s="41"/>
      <c r="AA11" s="110"/>
      <c r="AB11" s="110"/>
      <c r="AC11" s="110"/>
      <c r="AD11" s="110"/>
      <c r="AE11" s="110"/>
      <c r="AF11" s="41"/>
      <c r="AG11" s="110"/>
      <c r="AH11" s="110"/>
      <c r="AI11" s="110"/>
      <c r="AJ11" s="41"/>
      <c r="AK11" s="110"/>
      <c r="AL11" s="110"/>
      <c r="AM11" s="110"/>
      <c r="AN11" s="110"/>
    </row>
    <row r="12" spans="1:44" x14ac:dyDescent="0.2">
      <c r="A12" s="3">
        <v>30</v>
      </c>
      <c r="B12" s="3" t="s">
        <v>143</v>
      </c>
      <c r="C12" s="3" t="s">
        <v>252</v>
      </c>
      <c r="D12" s="105">
        <v>67</v>
      </c>
      <c r="E12" s="105">
        <v>67</v>
      </c>
      <c r="F12" s="106">
        <v>202</v>
      </c>
      <c r="G12" s="4">
        <v>35635</v>
      </c>
      <c r="H12" s="110">
        <f t="shared" ca="1" si="0"/>
        <v>23.3</v>
      </c>
      <c r="I12" s="3" t="s">
        <v>1513</v>
      </c>
      <c r="J12" s="3">
        <v>4</v>
      </c>
      <c r="K12" s="3">
        <v>2016</v>
      </c>
      <c r="L12" s="3">
        <v>26</v>
      </c>
      <c r="M12" s="3" t="s">
        <v>1514</v>
      </c>
      <c r="N12" s="3" t="s">
        <v>276</v>
      </c>
      <c r="O12" s="3" t="s">
        <v>2093</v>
      </c>
      <c r="P12" s="16">
        <v>1762796</v>
      </c>
      <c r="Q12" s="14">
        <v>1856061</v>
      </c>
      <c r="W12" s="3" t="s">
        <v>1515</v>
      </c>
      <c r="X12" s="107">
        <v>3</v>
      </c>
      <c r="Y12" s="107">
        <v>64</v>
      </c>
      <c r="Z12" s="41">
        <f>38/64</f>
        <v>0.59375</v>
      </c>
      <c r="AA12" s="110">
        <v>108.4</v>
      </c>
      <c r="AB12" s="110">
        <v>105.5</v>
      </c>
      <c r="AC12" s="110">
        <f t="shared" si="1"/>
        <v>2.9000000000000057</v>
      </c>
      <c r="AD12" s="110">
        <v>21.8</v>
      </c>
      <c r="AE12" s="110">
        <v>11.7</v>
      </c>
      <c r="AF12" s="41">
        <v>0.57099999999999995</v>
      </c>
      <c r="AG12" s="110">
        <v>18.5</v>
      </c>
      <c r="AH12" s="110">
        <v>1</v>
      </c>
      <c r="AI12" s="110">
        <v>1.3</v>
      </c>
      <c r="AJ12" s="41">
        <v>7.9000000000000001E-2</v>
      </c>
      <c r="AK12" s="110">
        <v>-0.6</v>
      </c>
      <c r="AL12" s="110">
        <v>-0.9</v>
      </c>
      <c r="AM12" s="110">
        <v>0.2</v>
      </c>
      <c r="AN12" s="110">
        <v>7.7</v>
      </c>
    </row>
    <row r="13" spans="1:44" x14ac:dyDescent="0.2">
      <c r="A13" s="3">
        <v>18</v>
      </c>
      <c r="B13" s="3" t="s">
        <v>1520</v>
      </c>
      <c r="C13" s="3" t="s">
        <v>230</v>
      </c>
      <c r="D13" s="105">
        <v>65</v>
      </c>
      <c r="E13" s="105">
        <v>70</v>
      </c>
      <c r="F13" s="106">
        <v>205</v>
      </c>
      <c r="G13" s="4">
        <v>35334</v>
      </c>
      <c r="H13" s="110">
        <f t="shared" ca="1" si="0"/>
        <v>24.1</v>
      </c>
      <c r="I13" s="3" t="s">
        <v>376</v>
      </c>
      <c r="J13" s="3">
        <v>3</v>
      </c>
      <c r="K13" s="3">
        <v>2018</v>
      </c>
      <c r="L13" s="3">
        <v>54</v>
      </c>
      <c r="M13" s="3" t="s">
        <v>1521</v>
      </c>
      <c r="N13" s="3" t="s">
        <v>279</v>
      </c>
      <c r="O13" s="3" t="s">
        <v>1890</v>
      </c>
      <c r="P13" s="11">
        <v>1701593</v>
      </c>
      <c r="Q13" s="11">
        <v>1846738</v>
      </c>
      <c r="R13" s="48">
        <v>1997718</v>
      </c>
      <c r="S13" s="14">
        <v>2046307</v>
      </c>
      <c r="W13" s="3" t="s">
        <v>1522</v>
      </c>
      <c r="X13" s="107">
        <v>2</v>
      </c>
      <c r="Y13" s="107">
        <v>32</v>
      </c>
      <c r="Z13" s="41">
        <f>19/32</f>
        <v>0.59375</v>
      </c>
      <c r="AA13" s="110">
        <v>112.7</v>
      </c>
      <c r="AB13" s="110">
        <v>111.3</v>
      </c>
      <c r="AC13" s="110">
        <f t="shared" si="1"/>
        <v>1.4000000000000057</v>
      </c>
      <c r="AD13" s="110">
        <v>19.100000000000001</v>
      </c>
      <c r="AE13" s="110">
        <v>15.2</v>
      </c>
      <c r="AF13" s="41">
        <v>0.63300000000000001</v>
      </c>
      <c r="AG13" s="110">
        <v>19.600000000000001</v>
      </c>
      <c r="AH13" s="110">
        <v>1.1000000000000001</v>
      </c>
      <c r="AI13" s="110">
        <v>0.6</v>
      </c>
      <c r="AJ13" s="41">
        <v>0.13400000000000001</v>
      </c>
      <c r="AK13" s="110">
        <v>0.3</v>
      </c>
      <c r="AL13" s="110">
        <v>-0.6</v>
      </c>
      <c r="AM13" s="110">
        <v>0.3</v>
      </c>
      <c r="AN13" s="110">
        <v>9</v>
      </c>
    </row>
    <row r="14" spans="1:44" x14ac:dyDescent="0.2">
      <c r="B14" s="3" t="s">
        <v>84</v>
      </c>
      <c r="C14" s="3" t="s">
        <v>234</v>
      </c>
      <c r="D14" s="105">
        <v>610</v>
      </c>
      <c r="E14" s="105">
        <v>75</v>
      </c>
      <c r="F14" s="106">
        <v>265</v>
      </c>
      <c r="G14" s="4">
        <v>31389</v>
      </c>
      <c r="H14" s="110">
        <f t="shared" ca="1" si="0"/>
        <v>34.9</v>
      </c>
      <c r="I14" s="3" t="s">
        <v>1079</v>
      </c>
      <c r="J14" s="3">
        <v>17</v>
      </c>
      <c r="K14" s="109">
        <v>2004</v>
      </c>
      <c r="L14" s="109">
        <v>1</v>
      </c>
      <c r="M14" s="3" t="s">
        <v>2619</v>
      </c>
      <c r="N14" s="3" t="s">
        <v>276</v>
      </c>
      <c r="O14" s="3" t="s">
        <v>2438</v>
      </c>
      <c r="P14" s="16">
        <v>1620564</v>
      </c>
      <c r="Q14" s="236"/>
      <c r="R14" s="53"/>
      <c r="S14" s="53"/>
      <c r="T14" s="53"/>
      <c r="U14"/>
      <c r="V14"/>
      <c r="W14" s="132" t="s">
        <v>238</v>
      </c>
      <c r="X14" s="69">
        <v>5</v>
      </c>
      <c r="Y14" s="69">
        <v>62</v>
      </c>
      <c r="Z14" s="65">
        <f>49/62</f>
        <v>0.79032258064516125</v>
      </c>
      <c r="AA14" s="119">
        <v>112.8</v>
      </c>
      <c r="AB14" s="119">
        <v>106</v>
      </c>
      <c r="AC14" s="119">
        <f t="shared" si="1"/>
        <v>6.7999999999999972</v>
      </c>
      <c r="AD14" s="119">
        <v>19.2</v>
      </c>
      <c r="AE14" s="119">
        <v>18.7</v>
      </c>
      <c r="AF14" s="65">
        <v>0.69599999999999995</v>
      </c>
      <c r="AG14" s="119">
        <v>14.5</v>
      </c>
      <c r="AH14" s="119">
        <v>2.6</v>
      </c>
      <c r="AI14" s="119">
        <v>2.4</v>
      </c>
      <c r="AJ14" s="65">
        <v>0.20200000000000001</v>
      </c>
      <c r="AK14" s="119">
        <v>-0.8</v>
      </c>
      <c r="AL14" s="119">
        <v>1.4</v>
      </c>
      <c r="AM14" s="119">
        <v>0.8</v>
      </c>
      <c r="AN14" s="119">
        <v>11.4</v>
      </c>
      <c r="AO14"/>
      <c r="AP14"/>
      <c r="AQ14"/>
      <c r="AR14"/>
    </row>
    <row r="15" spans="1:44" x14ac:dyDescent="0.2">
      <c r="A15" s="3">
        <v>45</v>
      </c>
      <c r="B15" s="3" t="s">
        <v>1855</v>
      </c>
      <c r="C15" s="3" t="s">
        <v>241</v>
      </c>
      <c r="D15" s="105">
        <v>66</v>
      </c>
      <c r="E15" s="105">
        <v>610</v>
      </c>
      <c r="F15" s="106">
        <v>215</v>
      </c>
      <c r="G15" s="4">
        <v>33108</v>
      </c>
      <c r="H15" s="110">
        <f t="shared" ca="1" si="0"/>
        <v>30.2</v>
      </c>
      <c r="I15" s="3" t="s">
        <v>1856</v>
      </c>
      <c r="J15" s="3">
        <v>3</v>
      </c>
      <c r="K15" s="3">
        <v>2013</v>
      </c>
      <c r="M15" s="3" t="s">
        <v>1865</v>
      </c>
      <c r="N15" s="3" t="s">
        <v>2403</v>
      </c>
      <c r="O15" s="3" t="s">
        <v>2533</v>
      </c>
      <c r="P15" s="15">
        <v>1620564</v>
      </c>
      <c r="Q15" s="236"/>
      <c r="W15" s="3" t="s">
        <v>1857</v>
      </c>
      <c r="X15" s="107">
        <v>3</v>
      </c>
      <c r="Y15" s="107">
        <v>17</v>
      </c>
      <c r="Z15" s="41">
        <f>10/17</f>
        <v>0.58823529411764708</v>
      </c>
      <c r="AA15" s="110">
        <v>115.5</v>
      </c>
      <c r="AB15" s="110">
        <v>113.4</v>
      </c>
      <c r="AC15" s="110">
        <f t="shared" si="1"/>
        <v>2.0999999999999943</v>
      </c>
      <c r="AD15" s="110">
        <v>10.6</v>
      </c>
      <c r="AE15" s="110">
        <v>13.1</v>
      </c>
      <c r="AF15" s="41">
        <v>0.56799999999999995</v>
      </c>
      <c r="AG15" s="110">
        <v>16.3</v>
      </c>
      <c r="AH15" s="110">
        <v>0.2</v>
      </c>
      <c r="AI15" s="110">
        <v>0.2</v>
      </c>
      <c r="AJ15" s="41">
        <v>0.11600000000000001</v>
      </c>
      <c r="AK15" s="110">
        <v>0.4</v>
      </c>
      <c r="AL15" s="110">
        <v>0.4</v>
      </c>
      <c r="AM15" s="110">
        <v>0.1</v>
      </c>
      <c r="AN15" s="110">
        <v>8.4</v>
      </c>
      <c r="AQ15"/>
      <c r="AR15"/>
    </row>
    <row r="16" spans="1:44" x14ac:dyDescent="0.2">
      <c r="B16" s="3" t="s">
        <v>2741</v>
      </c>
      <c r="D16" s="105">
        <v>60</v>
      </c>
      <c r="E16" s="105"/>
      <c r="F16" s="106">
        <v>185</v>
      </c>
      <c r="G16" s="4">
        <v>34792</v>
      </c>
      <c r="H16" s="110">
        <f t="shared" ca="1" si="0"/>
        <v>25.6</v>
      </c>
      <c r="I16" s="3" t="s">
        <v>425</v>
      </c>
      <c r="J16" s="3">
        <v>3</v>
      </c>
      <c r="K16" s="3">
        <v>2017</v>
      </c>
      <c r="M16" s="3" t="s">
        <v>2436</v>
      </c>
      <c r="N16" s="3" t="s">
        <v>2403</v>
      </c>
      <c r="O16" s="3" t="s">
        <v>2533</v>
      </c>
      <c r="P16" s="15">
        <v>1620564</v>
      </c>
      <c r="Q16" s="236"/>
      <c r="X16" s="107"/>
      <c r="Y16" s="107"/>
      <c r="Z16" s="41"/>
      <c r="AA16" s="110"/>
      <c r="AB16" s="110"/>
      <c r="AC16" s="110"/>
      <c r="AD16" s="110"/>
      <c r="AE16" s="110"/>
      <c r="AF16" s="41"/>
      <c r="AG16" s="110"/>
      <c r="AH16" s="110"/>
      <c r="AI16" s="110"/>
      <c r="AJ16" s="41"/>
      <c r="AK16" s="110"/>
      <c r="AL16" s="110"/>
      <c r="AM16" s="110"/>
      <c r="AN16" s="110"/>
      <c r="AQ16"/>
      <c r="AR16"/>
    </row>
    <row r="17" spans="1:40" x14ac:dyDescent="0.2">
      <c r="B17" s="3" t="s">
        <v>290</v>
      </c>
      <c r="D17" s="105"/>
      <c r="E17" s="105"/>
      <c r="F17" s="106"/>
      <c r="G17" s="4"/>
      <c r="H17" s="110"/>
      <c r="P17" s="11"/>
      <c r="Q17" s="11"/>
      <c r="R17" s="11"/>
      <c r="S17" s="11"/>
      <c r="X17" s="107"/>
      <c r="Y17" s="107"/>
      <c r="Z17" s="41"/>
      <c r="AA17" s="110"/>
      <c r="AB17" s="110"/>
      <c r="AC17" s="110"/>
      <c r="AD17" s="110"/>
      <c r="AE17" s="110"/>
      <c r="AF17" s="41"/>
      <c r="AJ17" s="41"/>
    </row>
    <row r="18" spans="1:40" x14ac:dyDescent="0.2">
      <c r="B18" s="3" t="s">
        <v>2360</v>
      </c>
      <c r="C18" s="3" t="s">
        <v>252</v>
      </c>
      <c r="D18" s="105">
        <v>65</v>
      </c>
      <c r="E18" s="105">
        <v>610</v>
      </c>
      <c r="F18" s="106">
        <v>180</v>
      </c>
      <c r="G18" s="4">
        <v>36343</v>
      </c>
      <c r="H18" s="3">
        <f ca="1">ROUNDDOWN(YEARFRAC($G$26,G18),1)</f>
        <v>21.4</v>
      </c>
      <c r="I18" s="3" t="s">
        <v>572</v>
      </c>
      <c r="J18" s="3">
        <v>1</v>
      </c>
      <c r="K18" s="3">
        <v>2020</v>
      </c>
      <c r="L18" s="3">
        <v>49</v>
      </c>
      <c r="M18" s="3" t="s">
        <v>2361</v>
      </c>
      <c r="P18" s="179">
        <v>898310</v>
      </c>
      <c r="X18" s="107"/>
      <c r="Y18" s="107"/>
      <c r="Z18" s="41"/>
      <c r="AF18" s="41"/>
      <c r="AJ18" s="41"/>
    </row>
    <row r="19" spans="1:40" x14ac:dyDescent="0.2">
      <c r="B19" s="3" t="s">
        <v>2380</v>
      </c>
      <c r="C19" s="3" t="s">
        <v>234</v>
      </c>
      <c r="D19" s="105">
        <v>69</v>
      </c>
      <c r="E19" s="105">
        <v>72</v>
      </c>
      <c r="F19" s="106">
        <v>220</v>
      </c>
      <c r="G19" s="4">
        <v>36325</v>
      </c>
      <c r="H19" s="3">
        <f ca="1">ROUNDDOWN(YEARFRAC($G$26,G19),1)</f>
        <v>21.4</v>
      </c>
      <c r="I19" s="3" t="s">
        <v>437</v>
      </c>
      <c r="J19" s="3">
        <v>1</v>
      </c>
      <c r="K19" s="3">
        <v>2020</v>
      </c>
      <c r="L19" s="3">
        <v>58</v>
      </c>
      <c r="M19" s="3" t="s">
        <v>2381</v>
      </c>
      <c r="P19" s="179">
        <v>898310</v>
      </c>
      <c r="X19" s="107"/>
      <c r="Y19" s="107"/>
      <c r="Z19" s="41"/>
      <c r="AJ19" s="41"/>
    </row>
    <row r="20" spans="1:40" x14ac:dyDescent="0.2">
      <c r="F20" s="106"/>
      <c r="O20" s="11"/>
      <c r="P20" s="179"/>
      <c r="X20" s="107"/>
      <c r="Y20" s="107"/>
      <c r="Z20" s="41"/>
      <c r="AJ20" s="41"/>
    </row>
    <row r="21" spans="1:40" x14ac:dyDescent="0.2">
      <c r="A21" s="3">
        <v>40</v>
      </c>
      <c r="B21" s="3" t="s">
        <v>139</v>
      </c>
      <c r="C21" s="3" t="s">
        <v>241</v>
      </c>
      <c r="D21" s="105">
        <v>66</v>
      </c>
      <c r="E21" s="105">
        <v>69</v>
      </c>
      <c r="F21" s="106">
        <v>222</v>
      </c>
      <c r="G21" s="4">
        <v>34342</v>
      </c>
      <c r="H21" s="110">
        <f ca="1">ROUNDDOWN(YEARFRAC($G$26,G21),1)</f>
        <v>26.8</v>
      </c>
      <c r="I21" s="3" t="s">
        <v>425</v>
      </c>
      <c r="J21" s="3">
        <v>7</v>
      </c>
      <c r="K21" s="3">
        <v>2014</v>
      </c>
      <c r="L21" s="3">
        <v>40</v>
      </c>
      <c r="M21" s="3" t="s">
        <v>1253</v>
      </c>
      <c r="P21" s="14">
        <v>1620564</v>
      </c>
      <c r="W21" s="3" t="s">
        <v>1511</v>
      </c>
      <c r="X21" s="107">
        <v>3</v>
      </c>
      <c r="Y21" s="107">
        <v>12</v>
      </c>
      <c r="Z21" s="41">
        <f>7/12</f>
        <v>0.58333333333333337</v>
      </c>
      <c r="AA21" s="110">
        <v>122.4</v>
      </c>
      <c r="AB21" s="110">
        <v>122.6</v>
      </c>
      <c r="AC21" s="110">
        <f t="shared" ref="AC21:AC24" si="3">AA21-AB21</f>
        <v>-0.19999999999998863</v>
      </c>
      <c r="AD21" s="110">
        <v>18.899999999999999</v>
      </c>
      <c r="AE21" s="110">
        <v>14.9</v>
      </c>
      <c r="AF21" s="41">
        <v>0.59399999999999997</v>
      </c>
      <c r="AG21" s="110">
        <v>14.8</v>
      </c>
      <c r="AH21" s="110">
        <v>0.5</v>
      </c>
      <c r="AI21" s="110">
        <v>0.2</v>
      </c>
      <c r="AJ21" s="41">
        <v>0.14699999999999999</v>
      </c>
      <c r="AK21" s="110">
        <v>-0.2</v>
      </c>
      <c r="AL21" s="110">
        <v>-0.9</v>
      </c>
      <c r="AM21" s="110">
        <v>0.1</v>
      </c>
      <c r="AN21" s="110">
        <v>7.8</v>
      </c>
    </row>
    <row r="22" spans="1:40" x14ac:dyDescent="0.2">
      <c r="A22" s="3">
        <v>9</v>
      </c>
      <c r="B22" s="3" t="s">
        <v>142</v>
      </c>
      <c r="C22" s="3" t="s">
        <v>234</v>
      </c>
      <c r="D22" s="105">
        <v>69</v>
      </c>
      <c r="E22" s="105">
        <v>75</v>
      </c>
      <c r="F22" s="106">
        <v>250</v>
      </c>
      <c r="G22" s="4">
        <v>32958</v>
      </c>
      <c r="H22" s="110">
        <f ca="1">ROUNDDOWN(YEARFRAC($G$26,G22),1)</f>
        <v>30.6</v>
      </c>
      <c r="I22" s="3" t="s">
        <v>1519</v>
      </c>
      <c r="J22" s="3">
        <v>9</v>
      </c>
      <c r="K22" s="3">
        <v>2012</v>
      </c>
      <c r="L22" s="3">
        <v>49</v>
      </c>
      <c r="M22" s="3" t="s">
        <v>1192</v>
      </c>
      <c r="P22" s="14">
        <v>1620564</v>
      </c>
      <c r="W22" s="5" t="s">
        <v>238</v>
      </c>
      <c r="X22" s="107">
        <v>5</v>
      </c>
      <c r="Y22" s="107">
        <v>26</v>
      </c>
      <c r="Z22" s="41">
        <f>17/26</f>
        <v>0.65384615384615385</v>
      </c>
      <c r="AA22" s="110">
        <v>103.5</v>
      </c>
      <c r="AB22" s="110">
        <v>112.4</v>
      </c>
      <c r="AC22" s="110">
        <f t="shared" si="3"/>
        <v>-8.9000000000000057</v>
      </c>
      <c r="AD22" s="110">
        <v>9.9</v>
      </c>
      <c r="AE22" s="110">
        <v>18.100000000000001</v>
      </c>
      <c r="AF22" s="41">
        <v>0.54100000000000004</v>
      </c>
      <c r="AG22" s="110">
        <v>16.5</v>
      </c>
      <c r="AH22" s="110">
        <v>0.3</v>
      </c>
      <c r="AI22" s="110">
        <v>0.5</v>
      </c>
      <c r="AJ22" s="41">
        <v>0.155</v>
      </c>
      <c r="AK22" s="110">
        <v>-0.7</v>
      </c>
      <c r="AL22" s="110">
        <v>2.2000000000000002</v>
      </c>
      <c r="AM22" s="110">
        <v>0.2</v>
      </c>
      <c r="AN22" s="110">
        <v>12.1</v>
      </c>
    </row>
    <row r="23" spans="1:40" x14ac:dyDescent="0.2">
      <c r="A23" s="3">
        <v>14</v>
      </c>
      <c r="B23" s="3" t="s">
        <v>144</v>
      </c>
      <c r="C23" s="3" t="s">
        <v>234</v>
      </c>
      <c r="D23" s="105">
        <v>610</v>
      </c>
      <c r="E23" s="105">
        <v>72</v>
      </c>
      <c r="F23" s="106">
        <v>231</v>
      </c>
      <c r="G23" s="4">
        <v>34003</v>
      </c>
      <c r="H23" s="110">
        <f ca="1">ROUNDDOWN(YEARFRAC($G$26,G23),1)</f>
        <v>27.8</v>
      </c>
      <c r="I23" s="3" t="s">
        <v>1523</v>
      </c>
      <c r="J23" s="3">
        <v>2</v>
      </c>
      <c r="K23" s="3">
        <v>2014</v>
      </c>
      <c r="M23" s="3" t="s">
        <v>995</v>
      </c>
      <c r="O23" s="159"/>
      <c r="P23" s="14">
        <v>1445697</v>
      </c>
      <c r="Q23" s="57"/>
      <c r="W23" s="3" t="s">
        <v>1524</v>
      </c>
      <c r="X23" s="107">
        <v>5</v>
      </c>
      <c r="Y23" s="107">
        <v>20</v>
      </c>
      <c r="Z23" s="41">
        <f>11/20</f>
        <v>0.55000000000000004</v>
      </c>
      <c r="AA23" s="110">
        <v>97</v>
      </c>
      <c r="AB23" s="110">
        <v>113.4</v>
      </c>
      <c r="AC23" s="110">
        <f t="shared" si="3"/>
        <v>-16.400000000000006</v>
      </c>
      <c r="AD23" s="110">
        <v>8.9</v>
      </c>
      <c r="AE23" s="110">
        <v>11.2</v>
      </c>
      <c r="AF23" s="41">
        <v>0.52100000000000002</v>
      </c>
      <c r="AG23" s="110">
        <v>12.9</v>
      </c>
      <c r="AH23" s="110">
        <v>-0.1</v>
      </c>
      <c r="AI23" s="110">
        <v>0.4</v>
      </c>
      <c r="AJ23" s="41">
        <v>8.2000000000000003E-2</v>
      </c>
      <c r="AK23" s="110">
        <v>-7.1</v>
      </c>
      <c r="AL23" s="110">
        <v>3.1</v>
      </c>
      <c r="AM23" s="110">
        <v>-0.1</v>
      </c>
      <c r="AN23" s="110">
        <v>6.1</v>
      </c>
    </row>
    <row r="24" spans="1:40" x14ac:dyDescent="0.2">
      <c r="A24" s="3">
        <v>35</v>
      </c>
      <c r="B24" s="3" t="s">
        <v>1525</v>
      </c>
      <c r="C24" s="3" t="s">
        <v>252</v>
      </c>
      <c r="D24" s="105">
        <v>65</v>
      </c>
      <c r="E24" s="105">
        <v>70</v>
      </c>
      <c r="F24" s="106">
        <v>196</v>
      </c>
      <c r="G24" s="4">
        <v>34906</v>
      </c>
      <c r="H24" s="110">
        <f ca="1">ROUNDDOWN(YEARFRAC($G$26,G24),1)</f>
        <v>25.3</v>
      </c>
      <c r="I24" s="3" t="s">
        <v>228</v>
      </c>
      <c r="J24" s="3">
        <v>2</v>
      </c>
      <c r="K24" s="3">
        <v>2019</v>
      </c>
      <c r="L24" s="3">
        <v>54</v>
      </c>
      <c r="M24" s="3" t="s">
        <v>1526</v>
      </c>
      <c r="O24" s="159"/>
      <c r="P24" s="234"/>
      <c r="Q24" s="54"/>
      <c r="W24" s="3" t="s">
        <v>1527</v>
      </c>
      <c r="X24" s="107">
        <v>2</v>
      </c>
      <c r="Y24" s="107">
        <v>2</v>
      </c>
      <c r="Z24" s="41">
        <f>1/2</f>
        <v>0.5</v>
      </c>
      <c r="AA24" s="110">
        <v>96</v>
      </c>
      <c r="AB24" s="110">
        <v>136</v>
      </c>
      <c r="AC24" s="110">
        <f t="shared" si="3"/>
        <v>-40</v>
      </c>
      <c r="AD24" s="110">
        <v>5.2</v>
      </c>
      <c r="AE24" s="110">
        <v>-2</v>
      </c>
      <c r="AF24" s="41">
        <v>0.3</v>
      </c>
      <c r="AG24" s="110">
        <v>25.9</v>
      </c>
      <c r="AH24" s="110">
        <v>-0.1</v>
      </c>
      <c r="AI24" s="110">
        <v>0</v>
      </c>
      <c r="AJ24" s="41">
        <v>-0.22700000000000001</v>
      </c>
      <c r="AK24" s="110">
        <v>-8.6999999999999993</v>
      </c>
      <c r="AL24" s="110">
        <v>-2.6</v>
      </c>
      <c r="AM24" s="110">
        <v>0</v>
      </c>
      <c r="AN24" s="110">
        <v>3.3</v>
      </c>
    </row>
    <row r="25" spans="1:40" x14ac:dyDescent="0.2">
      <c r="P25" s="179"/>
      <c r="X25" s="107"/>
      <c r="Y25" s="107"/>
      <c r="Z25" s="41"/>
      <c r="AJ25" s="41"/>
    </row>
    <row r="26" spans="1:40" x14ac:dyDescent="0.2">
      <c r="G26" s="4">
        <f ca="1">TODAY()</f>
        <v>44162</v>
      </c>
      <c r="H26" s="36">
        <f ca="1">AVERAGE(H2:H13)</f>
        <v>25.958333333333332</v>
      </c>
      <c r="J26" s="36">
        <f>AVERAGE(J2:J13)</f>
        <v>5.75</v>
      </c>
      <c r="X26" s="107"/>
      <c r="Y26" s="107"/>
      <c r="Z26" s="41"/>
      <c r="AJ26" s="41"/>
    </row>
    <row r="27" spans="1:40" x14ac:dyDescent="0.2">
      <c r="H27" s="36">
        <f ca="1">MEDIAN(H2:H13)</f>
        <v>24.200000000000003</v>
      </c>
      <c r="J27" s="107">
        <f>MEDIAN(J2:J13)</f>
        <v>4.5</v>
      </c>
      <c r="P27" s="11"/>
      <c r="X27" s="107"/>
      <c r="Y27" s="107"/>
    </row>
    <row r="28" spans="1:40" x14ac:dyDescent="0.2">
      <c r="B28" s="197" t="s">
        <v>1985</v>
      </c>
      <c r="P28" s="11" t="e">
        <f>SUM(P2:P16)-P15-P16</f>
        <v>#REF!</v>
      </c>
      <c r="X28" s="107"/>
      <c r="Y28" s="107"/>
    </row>
    <row r="29" spans="1:40" x14ac:dyDescent="0.2">
      <c r="B29" s="3" t="s">
        <v>1876</v>
      </c>
      <c r="C29" s="3">
        <v>9</v>
      </c>
      <c r="J29" s="197"/>
      <c r="P29" s="29" t="e">
        <f>SUM(P2:P16)</f>
        <v>#REF!</v>
      </c>
      <c r="X29" s="107"/>
      <c r="Y29" s="107"/>
    </row>
    <row r="30" spans="1:40" x14ac:dyDescent="0.2">
      <c r="B30" s="3" t="s">
        <v>1878</v>
      </c>
      <c r="C30" s="3">
        <v>3</v>
      </c>
      <c r="D30" s="4"/>
      <c r="P30" s="11"/>
      <c r="X30" s="107"/>
      <c r="Y30" s="107"/>
    </row>
    <row r="31" spans="1:40" x14ac:dyDescent="0.2">
      <c r="B31" s="3" t="s">
        <v>1877</v>
      </c>
      <c r="C31" s="3">
        <v>5</v>
      </c>
      <c r="O31" s="3" t="s">
        <v>292</v>
      </c>
      <c r="P31" s="22" t="e">
        <f>#REF!</f>
        <v>#REF!</v>
      </c>
      <c r="X31" s="107"/>
      <c r="Y31" s="107"/>
    </row>
    <row r="32" spans="1:40" x14ac:dyDescent="0.2">
      <c r="B32" s="3" t="s">
        <v>1981</v>
      </c>
      <c r="C32" s="3" t="s">
        <v>2056</v>
      </c>
      <c r="O32" s="22" t="s">
        <v>294</v>
      </c>
      <c r="P32" s="22" t="e">
        <f>#REF!</f>
        <v>#REF!</v>
      </c>
    </row>
    <row r="33" spans="2:11" x14ac:dyDescent="0.2">
      <c r="B33" s="24" t="s">
        <v>293</v>
      </c>
      <c r="C33" s="22">
        <v>0</v>
      </c>
    </row>
    <row r="34" spans="2:11" x14ac:dyDescent="0.2">
      <c r="B34" s="3" t="s">
        <v>295</v>
      </c>
      <c r="C34" s="22">
        <v>0</v>
      </c>
      <c r="J34" s="24"/>
      <c r="K34" s="22"/>
    </row>
    <row r="35" spans="2:11" x14ac:dyDescent="0.2">
      <c r="C35" s="22"/>
      <c r="J35" s="24"/>
      <c r="K35" s="22"/>
    </row>
    <row r="36" spans="2:11" x14ac:dyDescent="0.2">
      <c r="B36" s="5" t="s">
        <v>1875</v>
      </c>
      <c r="C36" s="41"/>
      <c r="K36" s="22"/>
    </row>
    <row r="37" spans="2:11" x14ac:dyDescent="0.2">
      <c r="B37" s="3" t="s">
        <v>296</v>
      </c>
      <c r="C37" s="41">
        <f>43/(43+30)</f>
        <v>0.58904109589041098</v>
      </c>
      <c r="D37" s="3" t="s">
        <v>335</v>
      </c>
    </row>
    <row r="38" spans="2:11" x14ac:dyDescent="0.2">
      <c r="B38" s="3" t="s">
        <v>298</v>
      </c>
      <c r="C38" s="110">
        <v>110.7</v>
      </c>
      <c r="D38" s="3" t="s">
        <v>2057</v>
      </c>
    </row>
    <row r="39" spans="2:11" x14ac:dyDescent="0.2">
      <c r="B39" s="3" t="s">
        <v>299</v>
      </c>
      <c r="C39" s="110">
        <v>108.4</v>
      </c>
      <c r="D39" s="3" t="s">
        <v>2027</v>
      </c>
    </row>
    <row r="40" spans="2:11" x14ac:dyDescent="0.2">
      <c r="B40" s="3" t="s">
        <v>300</v>
      </c>
      <c r="C40" s="110">
        <f>C38-C39</f>
        <v>2.2999999999999972</v>
      </c>
      <c r="D40" s="3" t="s">
        <v>1992</v>
      </c>
    </row>
    <row r="41" spans="2:11" x14ac:dyDescent="0.2">
      <c r="B41" s="3" t="s">
        <v>301</v>
      </c>
      <c r="C41" s="36">
        <v>99.59</v>
      </c>
      <c r="D41" s="3" t="s">
        <v>2010</v>
      </c>
    </row>
    <row r="43" spans="2:11" x14ac:dyDescent="0.2">
      <c r="B43" s="3" t="s">
        <v>302</v>
      </c>
    </row>
    <row r="44" spans="2:11" x14ac:dyDescent="0.2">
      <c r="B44" s="3" t="s">
        <v>1529</v>
      </c>
    </row>
    <row r="45" spans="2:11" x14ac:dyDescent="0.2">
      <c r="B45" s="3" t="s">
        <v>1530</v>
      </c>
    </row>
    <row r="46" spans="2:11" x14ac:dyDescent="0.2">
      <c r="B46" s="3" t="s">
        <v>1531</v>
      </c>
    </row>
    <row r="47" spans="2:11" x14ac:dyDescent="0.2">
      <c r="B47" s="12"/>
    </row>
    <row r="48" spans="2:11" x14ac:dyDescent="0.2">
      <c r="B48" s="3" t="s">
        <v>310</v>
      </c>
    </row>
    <row r="49" spans="2:9" x14ac:dyDescent="0.2">
      <c r="B49" s="3" t="s">
        <v>1532</v>
      </c>
    </row>
    <row r="50" spans="2:9" x14ac:dyDescent="0.2">
      <c r="B50" s="3" t="s">
        <v>1533</v>
      </c>
    </row>
    <row r="51" spans="2:9" x14ac:dyDescent="0.2">
      <c r="B51" s="3" t="s">
        <v>2229</v>
      </c>
    </row>
    <row r="52" spans="2:9" x14ac:dyDescent="0.2">
      <c r="B52" s="5"/>
    </row>
    <row r="53" spans="2:9" x14ac:dyDescent="0.2">
      <c r="B53" s="5" t="s">
        <v>1989</v>
      </c>
    </row>
    <row r="54" spans="2:9" x14ac:dyDescent="0.2">
      <c r="B54" s="39" t="s">
        <v>314</v>
      </c>
      <c r="C54" s="3">
        <v>43</v>
      </c>
      <c r="D54" s="3">
        <v>30</v>
      </c>
      <c r="E54" s="3" t="s">
        <v>335</v>
      </c>
      <c r="G54" s="3" t="s">
        <v>1528</v>
      </c>
      <c r="I54" s="3" t="s">
        <v>999</v>
      </c>
    </row>
    <row r="55" spans="2:9" x14ac:dyDescent="0.2">
      <c r="B55" s="39" t="s">
        <v>317</v>
      </c>
      <c r="C55" s="3">
        <v>51</v>
      </c>
      <c r="D55" s="3">
        <v>31</v>
      </c>
      <c r="E55" s="3" t="s">
        <v>393</v>
      </c>
      <c r="G55" s="3" t="s">
        <v>1528</v>
      </c>
      <c r="I55" s="3" t="s">
        <v>1534</v>
      </c>
    </row>
    <row r="56" spans="2:9" x14ac:dyDescent="0.2">
      <c r="B56" s="39" t="s">
        <v>319</v>
      </c>
      <c r="C56" s="3">
        <v>52</v>
      </c>
      <c r="D56" s="3">
        <v>30</v>
      </c>
      <c r="E56" s="3" t="s">
        <v>393</v>
      </c>
      <c r="G56" s="3" t="s">
        <v>1528</v>
      </c>
      <c r="I56" s="3" t="s">
        <v>1535</v>
      </c>
    </row>
    <row r="57" spans="2:9" x14ac:dyDescent="0.2">
      <c r="B57" s="39" t="s">
        <v>322</v>
      </c>
      <c r="C57" s="3">
        <v>28</v>
      </c>
      <c r="D57" s="3">
        <v>54</v>
      </c>
      <c r="E57" s="3" t="s">
        <v>315</v>
      </c>
      <c r="G57" s="3" t="s">
        <v>1528</v>
      </c>
      <c r="I57" s="38" t="s">
        <v>316</v>
      </c>
    </row>
    <row r="58" spans="2:9" x14ac:dyDescent="0.2">
      <c r="B58" s="39" t="s">
        <v>325</v>
      </c>
      <c r="C58" s="3">
        <v>10</v>
      </c>
      <c r="D58" s="3">
        <v>72</v>
      </c>
      <c r="E58" s="3" t="s">
        <v>320</v>
      </c>
      <c r="G58" s="3" t="s">
        <v>1528</v>
      </c>
      <c r="I58" s="38" t="s">
        <v>316</v>
      </c>
    </row>
    <row r="59" spans="2:9" x14ac:dyDescent="0.2">
      <c r="B59" s="39" t="s">
        <v>328</v>
      </c>
      <c r="C59" s="3">
        <v>18</v>
      </c>
      <c r="D59" s="3">
        <v>64</v>
      </c>
      <c r="E59" s="3" t="s">
        <v>315</v>
      </c>
      <c r="G59" s="3" t="s">
        <v>1528</v>
      </c>
      <c r="I59" s="38" t="s">
        <v>316</v>
      </c>
    </row>
    <row r="60" spans="2:9" x14ac:dyDescent="0.2">
      <c r="B60" s="39" t="s">
        <v>331</v>
      </c>
      <c r="C60" s="3">
        <v>19</v>
      </c>
      <c r="D60" s="3">
        <v>63</v>
      </c>
      <c r="E60" s="3" t="s">
        <v>315</v>
      </c>
      <c r="G60" s="3" t="s">
        <v>1528</v>
      </c>
      <c r="I60" s="38" t="s">
        <v>316</v>
      </c>
    </row>
    <row r="61" spans="2:9" x14ac:dyDescent="0.2">
      <c r="B61" s="39" t="s">
        <v>334</v>
      </c>
      <c r="C61" s="3">
        <v>34</v>
      </c>
      <c r="D61" s="3">
        <v>48</v>
      </c>
      <c r="E61" s="3" t="s">
        <v>521</v>
      </c>
      <c r="G61" s="3" t="s">
        <v>1536</v>
      </c>
      <c r="I61" s="38" t="s">
        <v>316</v>
      </c>
    </row>
    <row r="62" spans="2:9" x14ac:dyDescent="0.2">
      <c r="B62" s="39" t="s">
        <v>338</v>
      </c>
      <c r="C62" s="3">
        <v>35</v>
      </c>
      <c r="D62" s="3">
        <v>31</v>
      </c>
      <c r="E62" s="3" t="s">
        <v>332</v>
      </c>
      <c r="G62" s="3" t="s">
        <v>1536</v>
      </c>
      <c r="I62" s="3" t="s">
        <v>1537</v>
      </c>
    </row>
    <row r="63" spans="2:9" x14ac:dyDescent="0.2">
      <c r="B63" s="39" t="s">
        <v>340</v>
      </c>
      <c r="C63" s="3">
        <v>41</v>
      </c>
      <c r="D63" s="3">
        <v>41</v>
      </c>
      <c r="E63" s="3" t="s">
        <v>400</v>
      </c>
      <c r="G63" s="3" t="s">
        <v>1536</v>
      </c>
      <c r="I63" s="3" t="s">
        <v>1380</v>
      </c>
    </row>
    <row r="64" spans="2:9" x14ac:dyDescent="0.2">
      <c r="B64" s="3" t="s">
        <v>342</v>
      </c>
      <c r="C64" s="3">
        <f>SUM(C54:C63)</f>
        <v>331</v>
      </c>
      <c r="D64" s="3">
        <f>SUM(D54:D63)</f>
        <v>464</v>
      </c>
      <c r="E64" s="41">
        <f>C64/(C64+D64)</f>
        <v>0.41635220125786165</v>
      </c>
    </row>
  </sheetData>
  <hyperlinks>
    <hyperlink ref="B54" r:id="rId1" xr:uid="{9AB451FD-333A-9749-A175-14B00CC9700D}"/>
    <hyperlink ref="B55" r:id="rId2" xr:uid="{9A8FE910-427B-8547-A738-0E96BF2F76FC}"/>
    <hyperlink ref="B56" r:id="rId3" xr:uid="{4D9DA3A3-729A-7F4C-B6FD-4BEA180289AD}"/>
    <hyperlink ref="B57" r:id="rId4" xr:uid="{C22AD3CA-4701-BC4B-9731-53CBB0522721}"/>
    <hyperlink ref="B58" r:id="rId5" xr:uid="{E3D27755-C710-9142-9007-1C60B08A11B1}"/>
    <hyperlink ref="B59" r:id="rId6" xr:uid="{3A818F17-82B5-6D42-94D9-95B24BAFDFFB}"/>
    <hyperlink ref="B60" r:id="rId7" xr:uid="{CA819DF5-A675-9045-91D1-41E66926DD48}"/>
    <hyperlink ref="B61" r:id="rId8" xr:uid="{1F16AB3A-A566-6047-8AE2-A8D39EA9F34D}"/>
    <hyperlink ref="B62" r:id="rId9" xr:uid="{9CBCB779-ED7C-8244-B46F-1CD97D45E7A0}"/>
    <hyperlink ref="B63" r:id="rId10" xr:uid="{667BDFE2-39E1-D741-AF5A-B7F7C52E52CC}"/>
  </hyperlinks>
  <pageMargins left="0.7" right="0.7" top="0.75" bottom="0.75" header="0.3" footer="0.3"/>
  <ignoredErrors>
    <ignoredError sqref="J26:J27" formulaRange="1"/>
  </ignoredErrors>
  <legacyDrawing r:id="rId1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95C8-5EDC-A14D-81C7-B2F09B82C630}">
  <dimension ref="A1:AP59"/>
  <sheetViews>
    <sheetView zoomScaleNormal="100" workbookViewId="0"/>
  </sheetViews>
  <sheetFormatPr baseColWidth="10" defaultColWidth="10.83203125" defaultRowHeight="16" x14ac:dyDescent="0.2"/>
  <cols>
    <col min="1" max="1" width="4.83203125" style="59" customWidth="1"/>
    <col min="2" max="2" width="18.83203125" style="59" customWidth="1"/>
    <col min="3" max="3" width="10.83203125" style="59"/>
    <col min="4" max="4" width="7.5" style="59" customWidth="1"/>
    <col min="5" max="5" width="10.83203125" style="59"/>
    <col min="6" max="6" width="8" style="59" customWidth="1"/>
    <col min="7" max="7" width="10.6640625" style="59" customWidth="1"/>
    <col min="8" max="8" width="5.83203125" style="59" customWidth="1"/>
    <col min="9" max="9" width="19.6640625" style="59" customWidth="1"/>
    <col min="10" max="10" width="11" style="59" customWidth="1"/>
    <col min="11" max="11" width="11.83203125" style="59" customWidth="1"/>
    <col min="12" max="12" width="5.1640625" style="59" customWidth="1"/>
    <col min="13" max="13" width="26.1640625" style="59" customWidth="1"/>
    <col min="14" max="14" width="19" style="59" customWidth="1"/>
    <col min="15" max="15" width="47" style="59" customWidth="1"/>
    <col min="16" max="16" width="12.83203125" style="59" bestFit="1" customWidth="1"/>
    <col min="17" max="20" width="12.33203125" style="59" bestFit="1" customWidth="1"/>
    <col min="21" max="21" width="6.33203125" style="59" customWidth="1"/>
    <col min="22" max="22" width="18" style="59" customWidth="1"/>
    <col min="23" max="23" width="26.83203125" style="59" customWidth="1"/>
    <col min="24" max="24" width="9.6640625" style="59" customWidth="1"/>
    <col min="25" max="25" width="3.83203125" style="59" customWidth="1"/>
    <col min="26" max="26" width="8" style="59" customWidth="1"/>
    <col min="27" max="27" width="5.83203125" style="59" customWidth="1"/>
    <col min="28" max="28" width="6" style="59" customWidth="1"/>
    <col min="29" max="29" width="7.33203125" style="59" customWidth="1"/>
    <col min="30" max="30" width="5.1640625" style="59" customWidth="1"/>
    <col min="31" max="31" width="5" style="59" customWidth="1"/>
    <col min="32" max="32" width="6.5" style="59" customWidth="1"/>
    <col min="33" max="33" width="7.5" style="59" customWidth="1"/>
    <col min="34" max="34" width="5.1640625" style="59" customWidth="1"/>
    <col min="35" max="35" width="5.33203125" style="59" customWidth="1"/>
    <col min="36" max="36" width="6.83203125" style="59" customWidth="1"/>
    <col min="37" max="37" width="6.6640625" style="59" customWidth="1"/>
    <col min="38" max="39" width="5.83203125" style="59" customWidth="1"/>
    <col min="40" max="40" width="5.1640625" style="59" customWidth="1"/>
    <col min="41" max="16384" width="10.83203125" style="59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2" x14ac:dyDescent="0.2">
      <c r="A2" s="107"/>
      <c r="B2" s="3" t="s">
        <v>1381</v>
      </c>
      <c r="C2" s="3" t="s">
        <v>247</v>
      </c>
      <c r="D2" s="105">
        <v>61</v>
      </c>
      <c r="E2" s="105">
        <v>64</v>
      </c>
      <c r="F2" s="106">
        <v>175</v>
      </c>
      <c r="G2" s="4">
        <v>31173</v>
      </c>
      <c r="H2" s="119">
        <f t="shared" ref="H2:H15" ca="1" si="0">ROUNDDOWN(YEARFRAC($G$23,G2),1)</f>
        <v>35.5</v>
      </c>
      <c r="I2" t="s">
        <v>231</v>
      </c>
      <c r="J2" s="3">
        <v>16</v>
      </c>
      <c r="K2" s="107">
        <v>2005</v>
      </c>
      <c r="L2" s="107">
        <v>4</v>
      </c>
      <c r="M2" s="2" t="s">
        <v>2199</v>
      </c>
      <c r="N2" s="2" t="s">
        <v>237</v>
      </c>
      <c r="O2" s="2" t="s">
        <v>1883</v>
      </c>
      <c r="P2" s="11">
        <v>41358814</v>
      </c>
      <c r="Q2" s="47">
        <v>44211146</v>
      </c>
      <c r="R2" s="14">
        <v>46421703</v>
      </c>
      <c r="S2"/>
      <c r="T2"/>
      <c r="U2"/>
      <c r="V2"/>
      <c r="W2" t="s">
        <v>1382</v>
      </c>
      <c r="X2" s="69">
        <v>1</v>
      </c>
      <c r="Y2" s="69">
        <v>63</v>
      </c>
      <c r="Z2" s="65">
        <f>40/63</f>
        <v>0.63492063492063489</v>
      </c>
      <c r="AA2" s="119">
        <v>114.4</v>
      </c>
      <c r="AB2" s="119">
        <v>107.6</v>
      </c>
      <c r="AC2" s="119">
        <f t="shared" ref="AC2" si="1">AA2-AB2</f>
        <v>6.8000000000000114</v>
      </c>
      <c r="AD2" s="119">
        <v>31.8</v>
      </c>
      <c r="AE2" s="119">
        <v>21.7</v>
      </c>
      <c r="AF2" s="65">
        <v>0.60899999999999999</v>
      </c>
      <c r="AG2" s="119">
        <v>23.2</v>
      </c>
      <c r="AH2" s="119">
        <v>5.5</v>
      </c>
      <c r="AI2" s="119">
        <v>2.5</v>
      </c>
      <c r="AJ2" s="65">
        <v>0.19400000000000001</v>
      </c>
      <c r="AK2" s="119">
        <v>3.1</v>
      </c>
      <c r="AL2" s="119">
        <v>1.2</v>
      </c>
      <c r="AM2" s="119">
        <v>3.2</v>
      </c>
      <c r="AN2" s="119">
        <v>15.1</v>
      </c>
      <c r="AO2"/>
      <c r="AP2"/>
    </row>
    <row r="3" spans="1:42" x14ac:dyDescent="0.2">
      <c r="A3" s="3">
        <v>1</v>
      </c>
      <c r="B3" s="3" t="s">
        <v>1538</v>
      </c>
      <c r="C3" s="59" t="s">
        <v>252</v>
      </c>
      <c r="D3" s="142">
        <v>65</v>
      </c>
      <c r="E3" s="142">
        <v>68</v>
      </c>
      <c r="F3" s="143">
        <v>206</v>
      </c>
      <c r="G3" s="4">
        <v>35368</v>
      </c>
      <c r="H3" s="119">
        <f t="shared" ca="1" si="0"/>
        <v>24</v>
      </c>
      <c r="I3" s="59" t="s">
        <v>266</v>
      </c>
      <c r="J3" s="3">
        <v>6</v>
      </c>
      <c r="K3" s="59">
        <v>2015</v>
      </c>
      <c r="L3" s="59">
        <v>13</v>
      </c>
      <c r="M3" s="3" t="s">
        <v>1539</v>
      </c>
      <c r="N3" s="3" t="s">
        <v>1</v>
      </c>
      <c r="O3" s="59" t="s">
        <v>2069</v>
      </c>
      <c r="P3" s="11">
        <v>29467800</v>
      </c>
      <c r="Q3" s="11">
        <v>31650600</v>
      </c>
      <c r="R3" s="11">
        <v>33833400</v>
      </c>
      <c r="S3" s="11">
        <v>36016200</v>
      </c>
      <c r="T3" s="14">
        <v>43411200</v>
      </c>
      <c r="W3" s="59" t="s">
        <v>1540</v>
      </c>
      <c r="X3" s="69">
        <v>2</v>
      </c>
      <c r="Y3" s="69">
        <v>62</v>
      </c>
      <c r="Z3" s="65">
        <f>26/62</f>
        <v>0.41935483870967744</v>
      </c>
      <c r="AA3" s="119">
        <v>113.7</v>
      </c>
      <c r="AB3" s="119">
        <v>112.5</v>
      </c>
      <c r="AC3" s="119">
        <f t="shared" ref="AC3:AC13" si="2">AA3-AB3</f>
        <v>1.2000000000000028</v>
      </c>
      <c r="AD3" s="119">
        <v>36.1</v>
      </c>
      <c r="AE3" s="119">
        <v>19.8</v>
      </c>
      <c r="AF3" s="65">
        <v>0.61699999999999999</v>
      </c>
      <c r="AG3" s="119">
        <v>29.5</v>
      </c>
      <c r="AH3" s="119">
        <v>4.8</v>
      </c>
      <c r="AI3" s="119">
        <v>1.2</v>
      </c>
      <c r="AJ3" s="65">
        <v>0.129</v>
      </c>
      <c r="AK3" s="119">
        <v>3.1</v>
      </c>
      <c r="AL3" s="119">
        <v>-1.4</v>
      </c>
      <c r="AM3" s="119">
        <v>2.1</v>
      </c>
      <c r="AN3" s="119">
        <v>13.5</v>
      </c>
    </row>
    <row r="4" spans="1:42" x14ac:dyDescent="0.2">
      <c r="A4" s="3">
        <v>22</v>
      </c>
      <c r="B4" s="3" t="s">
        <v>1545</v>
      </c>
      <c r="C4" s="59" t="s">
        <v>234</v>
      </c>
      <c r="D4" s="142">
        <v>611</v>
      </c>
      <c r="E4" s="142">
        <v>76</v>
      </c>
      <c r="F4" s="143">
        <v>250</v>
      </c>
      <c r="G4" s="4">
        <v>35999</v>
      </c>
      <c r="H4" s="119">
        <f t="shared" ca="1" si="0"/>
        <v>22.3</v>
      </c>
      <c r="I4" s="59" t="s">
        <v>511</v>
      </c>
      <c r="J4" s="3">
        <v>3</v>
      </c>
      <c r="K4" s="59">
        <v>2018</v>
      </c>
      <c r="L4" s="59">
        <v>1</v>
      </c>
      <c r="M4" s="3" t="s">
        <v>1546</v>
      </c>
      <c r="N4" s="3" t="s">
        <v>244</v>
      </c>
      <c r="O4" s="59" t="s">
        <v>2101</v>
      </c>
      <c r="P4" s="11">
        <v>10018200</v>
      </c>
      <c r="Q4" s="50">
        <v>12632950</v>
      </c>
      <c r="R4" s="49">
        <f>Q4*2.5</f>
        <v>31582375</v>
      </c>
      <c r="S4" s="12"/>
      <c r="T4" s="12"/>
      <c r="W4" s="59" t="s">
        <v>601</v>
      </c>
      <c r="X4" s="69">
        <v>5</v>
      </c>
      <c r="Y4" s="69">
        <v>30</v>
      </c>
      <c r="Z4" s="65">
        <f>12/30</f>
        <v>0.4</v>
      </c>
      <c r="AA4" s="119">
        <v>110.5</v>
      </c>
      <c r="AB4" s="119">
        <v>108.4</v>
      </c>
      <c r="AC4" s="119">
        <f t="shared" si="2"/>
        <v>2.0999999999999943</v>
      </c>
      <c r="AD4" s="119">
        <v>33.200000000000003</v>
      </c>
      <c r="AE4" s="119">
        <v>20.399999999999999</v>
      </c>
      <c r="AF4" s="65">
        <v>0.57099999999999995</v>
      </c>
      <c r="AG4" s="119">
        <v>24.3</v>
      </c>
      <c r="AH4" s="119">
        <v>1.1000000000000001</v>
      </c>
      <c r="AI4" s="119">
        <v>1.3</v>
      </c>
      <c r="AJ4" s="65">
        <v>0.11700000000000001</v>
      </c>
      <c r="AK4" s="119">
        <v>0.8</v>
      </c>
      <c r="AL4" s="119">
        <v>-0.4</v>
      </c>
      <c r="AM4" s="119">
        <v>0.6</v>
      </c>
      <c r="AN4" s="119">
        <v>14.1</v>
      </c>
    </row>
    <row r="5" spans="1:42" x14ac:dyDescent="0.2">
      <c r="A5" s="107"/>
      <c r="B5" s="3" t="s">
        <v>93</v>
      </c>
      <c r="C5" s="3" t="s">
        <v>234</v>
      </c>
      <c r="D5" s="105">
        <v>66</v>
      </c>
      <c r="E5" s="105">
        <v>69</v>
      </c>
      <c r="F5" s="106">
        <v>235</v>
      </c>
      <c r="G5" s="4">
        <v>33060</v>
      </c>
      <c r="H5" s="110">
        <f t="shared" ca="1" si="0"/>
        <v>30.3</v>
      </c>
      <c r="I5" s="3" t="s">
        <v>1164</v>
      </c>
      <c r="J5" s="3">
        <v>8</v>
      </c>
      <c r="K5" s="107">
        <v>2012</v>
      </c>
      <c r="L5" s="107">
        <v>34</v>
      </c>
      <c r="M5" s="3" t="s">
        <v>2629</v>
      </c>
      <c r="N5" s="3" t="s">
        <v>495</v>
      </c>
      <c r="O5" s="3" t="s">
        <v>2446</v>
      </c>
      <c r="P5" s="11">
        <f>9258000</f>
        <v>9258000</v>
      </c>
      <c r="Q5" s="11">
        <f>P5+($P$5*0.05)</f>
        <v>9720900</v>
      </c>
      <c r="R5" s="11">
        <f>Q5+($P$5*0.05)</f>
        <v>10183800</v>
      </c>
      <c r="S5" s="14">
        <f>R5*1.9</f>
        <v>19349220</v>
      </c>
      <c r="T5" s="3"/>
      <c r="U5" s="3"/>
      <c r="V5" s="3"/>
      <c r="W5" s="3" t="s">
        <v>1173</v>
      </c>
      <c r="X5" s="107">
        <v>4</v>
      </c>
      <c r="Y5" s="107">
        <v>13</v>
      </c>
      <c r="Z5" s="41">
        <f>6/13</f>
        <v>0.46153846153846156</v>
      </c>
      <c r="AA5" s="110">
        <v>110.1</v>
      </c>
      <c r="AB5" s="110">
        <v>112.2</v>
      </c>
      <c r="AC5" s="110">
        <f t="shared" si="2"/>
        <v>-2.1000000000000085</v>
      </c>
      <c r="AD5" s="110">
        <v>28.7</v>
      </c>
      <c r="AE5" s="110">
        <v>16</v>
      </c>
      <c r="AF5" s="41">
        <v>0.61799999999999999</v>
      </c>
      <c r="AG5" s="110">
        <v>15.8</v>
      </c>
      <c r="AH5" s="110">
        <v>0.7</v>
      </c>
      <c r="AI5" s="110">
        <v>0.6</v>
      </c>
      <c r="AJ5" s="41">
        <v>0.16800000000000001</v>
      </c>
      <c r="AK5" s="110">
        <v>0.7</v>
      </c>
      <c r="AL5" s="110">
        <v>1.1000000000000001</v>
      </c>
      <c r="AM5" s="110">
        <v>0.4</v>
      </c>
      <c r="AN5" s="110">
        <v>10.4</v>
      </c>
    </row>
    <row r="6" spans="1:42" x14ac:dyDescent="0.2">
      <c r="A6" s="3">
        <v>20</v>
      </c>
      <c r="B6" s="3" t="s">
        <v>146</v>
      </c>
      <c r="C6" s="59" t="s">
        <v>234</v>
      </c>
      <c r="D6" s="142">
        <v>610</v>
      </c>
      <c r="E6" s="142">
        <v>610</v>
      </c>
      <c r="F6" s="143">
        <v>225</v>
      </c>
      <c r="G6" s="4">
        <v>34432</v>
      </c>
      <c r="H6" s="119">
        <f t="shared" ca="1" si="0"/>
        <v>26.6</v>
      </c>
      <c r="I6" s="59" t="s">
        <v>621</v>
      </c>
      <c r="J6" s="3">
        <v>5</v>
      </c>
      <c r="K6" s="59">
        <v>2014</v>
      </c>
      <c r="L6" s="59">
        <v>12</v>
      </c>
      <c r="M6" s="3" t="s">
        <v>1555</v>
      </c>
      <c r="N6" s="3" t="s">
        <v>1</v>
      </c>
      <c r="O6" s="59" t="s">
        <v>2450</v>
      </c>
      <c r="P6" s="11">
        <v>8333333</v>
      </c>
      <c r="Q6" s="11">
        <v>9000000</v>
      </c>
      <c r="R6" s="11">
        <v>9333333</v>
      </c>
      <c r="S6" s="14">
        <f>R6*1.9</f>
        <v>17733332.699999999</v>
      </c>
      <c r="T6" s="53"/>
      <c r="W6" s="59" t="s">
        <v>781</v>
      </c>
      <c r="X6" s="69">
        <v>4</v>
      </c>
      <c r="Y6" s="69">
        <v>58</v>
      </c>
      <c r="Z6" s="65">
        <f>24/58</f>
        <v>0.41379310344827586</v>
      </c>
      <c r="AA6" s="119">
        <v>110.2</v>
      </c>
      <c r="AB6" s="119">
        <v>112.1</v>
      </c>
      <c r="AC6" s="119">
        <f t="shared" si="2"/>
        <v>-1.8999999999999915</v>
      </c>
      <c r="AD6" s="119">
        <v>24.9</v>
      </c>
      <c r="AE6" s="119">
        <v>13.3</v>
      </c>
      <c r="AF6" s="65">
        <v>0.57199999999999995</v>
      </c>
      <c r="AG6" s="119">
        <v>17.2</v>
      </c>
      <c r="AH6" s="119">
        <v>1.5</v>
      </c>
      <c r="AI6" s="119">
        <v>1.2</v>
      </c>
      <c r="AJ6" s="65">
        <v>9.0999999999999998E-2</v>
      </c>
      <c r="AK6" s="119">
        <v>-0.5</v>
      </c>
      <c r="AL6" s="119">
        <v>-0.4</v>
      </c>
      <c r="AM6" s="119">
        <v>0.4</v>
      </c>
      <c r="AN6" s="119">
        <v>9.3000000000000007</v>
      </c>
    </row>
    <row r="7" spans="1:42" x14ac:dyDescent="0.2">
      <c r="A7" s="3">
        <v>25</v>
      </c>
      <c r="B7" s="3" t="s">
        <v>1549</v>
      </c>
      <c r="C7" s="59" t="s">
        <v>252</v>
      </c>
      <c r="D7" s="142">
        <v>66</v>
      </c>
      <c r="E7" s="142">
        <v>71</v>
      </c>
      <c r="F7" s="143">
        <v>209</v>
      </c>
      <c r="G7" s="4">
        <v>35307</v>
      </c>
      <c r="H7" s="119">
        <f t="shared" ca="1" si="0"/>
        <v>24.2</v>
      </c>
      <c r="I7" s="59" t="s">
        <v>559</v>
      </c>
      <c r="J7" s="3">
        <v>3</v>
      </c>
      <c r="K7" s="59">
        <v>2018</v>
      </c>
      <c r="L7" s="59">
        <v>10</v>
      </c>
      <c r="M7" s="3" t="s">
        <v>1550</v>
      </c>
      <c r="N7" s="3" t="s">
        <v>244</v>
      </c>
      <c r="O7" s="59" t="s">
        <v>2102</v>
      </c>
      <c r="P7" s="11">
        <v>4359000</v>
      </c>
      <c r="Q7" s="50">
        <v>5557725</v>
      </c>
      <c r="R7" s="49">
        <f>Q7*3</f>
        <v>16673175</v>
      </c>
      <c r="S7" s="12"/>
      <c r="T7" s="12"/>
      <c r="W7" s="59" t="s">
        <v>1551</v>
      </c>
      <c r="X7" s="69">
        <v>3</v>
      </c>
      <c r="Y7" s="69">
        <v>65</v>
      </c>
      <c r="Z7" s="65">
        <f>26/65</f>
        <v>0.4</v>
      </c>
      <c r="AA7" s="119">
        <v>109.9</v>
      </c>
      <c r="AB7" s="119">
        <v>108.2</v>
      </c>
      <c r="AC7" s="119">
        <f t="shared" si="2"/>
        <v>1.7000000000000028</v>
      </c>
      <c r="AD7" s="119">
        <v>27.3</v>
      </c>
      <c r="AE7" s="119">
        <v>13</v>
      </c>
      <c r="AF7" s="65">
        <v>0.623</v>
      </c>
      <c r="AG7" s="119">
        <v>12.4</v>
      </c>
      <c r="AH7" s="119">
        <v>2.2000000000000002</v>
      </c>
      <c r="AI7" s="119">
        <v>1.9</v>
      </c>
      <c r="AJ7" s="65">
        <v>0.111</v>
      </c>
      <c r="AK7" s="119">
        <v>-0.7</v>
      </c>
      <c r="AL7" s="119">
        <v>1.5</v>
      </c>
      <c r="AM7" s="119">
        <v>1.3</v>
      </c>
      <c r="AN7" s="119">
        <v>8.3000000000000007</v>
      </c>
    </row>
    <row r="8" spans="1:42" x14ac:dyDescent="0.2">
      <c r="A8" s="3"/>
      <c r="B8" s="3" t="s">
        <v>2266</v>
      </c>
      <c r="C8" s="59" t="s">
        <v>234</v>
      </c>
      <c r="D8" s="142">
        <v>610</v>
      </c>
      <c r="E8" s="142">
        <v>72</v>
      </c>
      <c r="F8" s="143">
        <v>225</v>
      </c>
      <c r="G8" s="62">
        <v>36601</v>
      </c>
      <c r="H8" s="119">
        <f t="shared" ca="1" si="0"/>
        <v>20.6</v>
      </c>
      <c r="I8" s="59" t="s">
        <v>260</v>
      </c>
      <c r="J8" s="59">
        <v>1</v>
      </c>
      <c r="K8" s="59">
        <v>2020</v>
      </c>
      <c r="L8" s="59">
        <v>10</v>
      </c>
      <c r="M8" s="59" t="s">
        <v>2267</v>
      </c>
      <c r="N8" s="59" t="s">
        <v>244</v>
      </c>
      <c r="O8" s="59" t="s">
        <v>2268</v>
      </c>
      <c r="P8" s="11">
        <v>4245720</v>
      </c>
      <c r="Q8" s="11">
        <v>4458000</v>
      </c>
      <c r="R8" s="31">
        <v>4670160</v>
      </c>
      <c r="S8" s="31">
        <v>5954454</v>
      </c>
      <c r="T8" s="33">
        <f>S8*3</f>
        <v>17863362</v>
      </c>
      <c r="X8" s="69"/>
      <c r="Y8" s="69"/>
      <c r="Z8" s="65"/>
      <c r="AA8" s="119"/>
      <c r="AB8" s="119"/>
      <c r="AC8" s="119"/>
      <c r="AD8" s="119"/>
      <c r="AE8" s="119"/>
      <c r="AF8" s="65"/>
      <c r="AG8" s="119"/>
      <c r="AH8" s="119"/>
      <c r="AI8" s="119"/>
      <c r="AJ8" s="65"/>
      <c r="AK8" s="119"/>
      <c r="AL8" s="119"/>
      <c r="AM8" s="119"/>
      <c r="AN8" s="119"/>
    </row>
    <row r="9" spans="1:42" x14ac:dyDescent="0.2">
      <c r="A9" s="3">
        <v>23</v>
      </c>
      <c r="B9" s="3" t="s">
        <v>1552</v>
      </c>
      <c r="C9" s="59" t="s">
        <v>241</v>
      </c>
      <c r="D9" s="142">
        <v>68</v>
      </c>
      <c r="E9" s="142">
        <v>610</v>
      </c>
      <c r="F9" s="143">
        <v>210</v>
      </c>
      <c r="G9" s="4">
        <v>35127</v>
      </c>
      <c r="H9" s="119">
        <f t="shared" ca="1" si="0"/>
        <v>24.7</v>
      </c>
      <c r="I9" s="59" t="s">
        <v>275</v>
      </c>
      <c r="J9" s="3">
        <v>2</v>
      </c>
      <c r="K9" s="59">
        <v>2019</v>
      </c>
      <c r="L9" s="59">
        <v>11</v>
      </c>
      <c r="M9" s="3" t="s">
        <v>1553</v>
      </c>
      <c r="N9" s="3" t="s">
        <v>244</v>
      </c>
      <c r="O9" s="64" t="s">
        <v>1983</v>
      </c>
      <c r="P9" s="11">
        <v>4235160</v>
      </c>
      <c r="Q9" s="50">
        <v>4437000</v>
      </c>
      <c r="R9" s="50">
        <v>5887899</v>
      </c>
      <c r="S9" s="49">
        <v>17663697</v>
      </c>
      <c r="T9" s="12"/>
      <c r="W9" s="59" t="s">
        <v>1554</v>
      </c>
      <c r="X9" s="69">
        <v>4</v>
      </c>
      <c r="Y9" s="69">
        <v>49</v>
      </c>
      <c r="Z9" s="65">
        <f>20/49</f>
        <v>0.40816326530612246</v>
      </c>
      <c r="AA9" s="119">
        <v>105.6</v>
      </c>
      <c r="AB9" s="119">
        <v>108.3</v>
      </c>
      <c r="AC9" s="119">
        <f t="shared" si="2"/>
        <v>-2.7000000000000028</v>
      </c>
      <c r="AD9" s="119">
        <v>20.3</v>
      </c>
      <c r="AE9" s="119">
        <v>12.2</v>
      </c>
      <c r="AF9" s="65">
        <v>0.57599999999999996</v>
      </c>
      <c r="AG9" s="119">
        <v>16</v>
      </c>
      <c r="AH9" s="119">
        <v>1.1000000000000001</v>
      </c>
      <c r="AI9" s="119">
        <v>0.7</v>
      </c>
      <c r="AJ9" s="65">
        <v>8.5999999999999993E-2</v>
      </c>
      <c r="AK9" s="119">
        <v>0.5</v>
      </c>
      <c r="AL9" s="119">
        <v>-0.7</v>
      </c>
      <c r="AM9" s="119">
        <v>0.5</v>
      </c>
      <c r="AN9" s="119">
        <v>7.8</v>
      </c>
    </row>
    <row r="10" spans="1:42" x14ac:dyDescent="0.2">
      <c r="A10" s="3">
        <v>4</v>
      </c>
      <c r="B10" s="3" t="s">
        <v>148</v>
      </c>
      <c r="C10" s="59" t="s">
        <v>230</v>
      </c>
      <c r="D10" s="142">
        <v>61</v>
      </c>
      <c r="E10" s="142">
        <v>64</v>
      </c>
      <c r="F10" s="143">
        <v>200</v>
      </c>
      <c r="G10" s="4">
        <v>34956</v>
      </c>
      <c r="H10" s="119">
        <f t="shared" ca="1" si="0"/>
        <v>25.2</v>
      </c>
      <c r="I10" s="59" t="s">
        <v>1560</v>
      </c>
      <c r="J10" s="3">
        <v>3</v>
      </c>
      <c r="K10" s="59">
        <v>2018</v>
      </c>
      <c r="L10" s="59">
        <v>32</v>
      </c>
      <c r="M10" s="3" t="s">
        <v>1561</v>
      </c>
      <c r="N10" s="3" t="s">
        <v>5</v>
      </c>
      <c r="O10" s="64" t="s">
        <v>2557</v>
      </c>
      <c r="P10" s="11">
        <v>3925000</v>
      </c>
      <c r="Q10" s="11">
        <v>3650000</v>
      </c>
      <c r="R10" s="11">
        <v>3925000</v>
      </c>
      <c r="S10" s="14">
        <f>R10*1.9</f>
        <v>7457500</v>
      </c>
      <c r="T10" s="53"/>
      <c r="W10" s="96" t="s">
        <v>284</v>
      </c>
      <c r="X10" s="69">
        <v>1</v>
      </c>
      <c r="Y10" s="69">
        <v>50</v>
      </c>
      <c r="Z10" s="65">
        <f>21/50</f>
        <v>0.42</v>
      </c>
      <c r="AA10" s="119">
        <v>103.5</v>
      </c>
      <c r="AB10" s="119">
        <v>107.2</v>
      </c>
      <c r="AC10" s="119">
        <f t="shared" si="2"/>
        <v>-3.7000000000000028</v>
      </c>
      <c r="AD10" s="119">
        <v>15.1</v>
      </c>
      <c r="AE10" s="119">
        <v>10.4</v>
      </c>
      <c r="AF10" s="65">
        <v>0.53500000000000003</v>
      </c>
      <c r="AG10" s="119">
        <v>13.9</v>
      </c>
      <c r="AH10" s="119">
        <v>0.3</v>
      </c>
      <c r="AI10" s="119">
        <v>0.7</v>
      </c>
      <c r="AJ10" s="65">
        <v>6.8000000000000005E-2</v>
      </c>
      <c r="AK10" s="119">
        <v>-1.6</v>
      </c>
      <c r="AL10" s="119">
        <v>1</v>
      </c>
      <c r="AM10" s="119">
        <v>0.3</v>
      </c>
      <c r="AN10" s="119">
        <v>6.8</v>
      </c>
    </row>
    <row r="11" spans="1:42" x14ac:dyDescent="0.2">
      <c r="A11" s="3">
        <v>15</v>
      </c>
      <c r="B11" s="3" t="s">
        <v>1869</v>
      </c>
      <c r="C11" s="59" t="s">
        <v>247</v>
      </c>
      <c r="D11" s="142">
        <v>63</v>
      </c>
      <c r="E11" s="142">
        <v>67</v>
      </c>
      <c r="F11" s="143">
        <v>190</v>
      </c>
      <c r="G11" s="4">
        <v>34554</v>
      </c>
      <c r="H11" s="119">
        <f t="shared" ca="1" si="0"/>
        <v>26.3</v>
      </c>
      <c r="I11" s="59" t="s">
        <v>1115</v>
      </c>
      <c r="J11" s="3">
        <v>6</v>
      </c>
      <c r="K11" s="59">
        <v>2015</v>
      </c>
      <c r="L11" s="59">
        <v>14</v>
      </c>
      <c r="M11" s="3" t="s">
        <v>1870</v>
      </c>
      <c r="N11" s="3" t="s">
        <v>276</v>
      </c>
      <c r="O11" s="202" t="s">
        <v>283</v>
      </c>
      <c r="P11" s="15">
        <v>1977011</v>
      </c>
      <c r="Q11" s="14">
        <v>1856061</v>
      </c>
      <c r="R11" s="16"/>
      <c r="S11" s="16"/>
      <c r="T11" s="53"/>
      <c r="W11" s="96"/>
      <c r="X11" s="69"/>
      <c r="Y11" s="69"/>
      <c r="Z11" s="65"/>
      <c r="AA11" s="119"/>
      <c r="AB11" s="119"/>
      <c r="AC11" s="119"/>
      <c r="AD11" s="119"/>
      <c r="AE11" s="119"/>
      <c r="AF11" s="65"/>
      <c r="AG11" s="119"/>
      <c r="AH11" s="119"/>
      <c r="AI11" s="119"/>
      <c r="AJ11" s="65"/>
      <c r="AK11" s="119"/>
      <c r="AL11" s="119"/>
      <c r="AM11" s="119"/>
      <c r="AN11" s="119"/>
    </row>
    <row r="12" spans="1:42" x14ac:dyDescent="0.2">
      <c r="A12" s="107"/>
      <c r="B12" s="3" t="s">
        <v>130</v>
      </c>
      <c r="C12" s="3" t="s">
        <v>241</v>
      </c>
      <c r="D12" s="105">
        <v>65</v>
      </c>
      <c r="E12" s="105">
        <v>71</v>
      </c>
      <c r="F12" s="106">
        <v>225</v>
      </c>
      <c r="G12" s="4">
        <v>34237</v>
      </c>
      <c r="H12" s="119">
        <f t="shared" ca="1" si="0"/>
        <v>27.1</v>
      </c>
      <c r="I12" t="s">
        <v>228</v>
      </c>
      <c r="J12" s="3">
        <v>4</v>
      </c>
      <c r="K12" s="107">
        <v>2016</v>
      </c>
      <c r="L12" s="107">
        <v>58</v>
      </c>
      <c r="M12" s="2" t="s">
        <v>2199</v>
      </c>
      <c r="N12" s="2" t="s">
        <v>1405</v>
      </c>
      <c r="O12" s="2" t="s">
        <v>2180</v>
      </c>
      <c r="P12" s="16">
        <v>1752950</v>
      </c>
      <c r="Q12" s="14">
        <v>1856061</v>
      </c>
      <c r="R12" s="12"/>
      <c r="S12" s="12"/>
      <c r="T12" s="12"/>
      <c r="U12"/>
      <c r="V12"/>
      <c r="W12" t="s">
        <v>1406</v>
      </c>
      <c r="X12" s="69">
        <v>3</v>
      </c>
      <c r="Y12" s="69">
        <v>48</v>
      </c>
      <c r="Z12" s="65">
        <f>33/48</f>
        <v>0.6875</v>
      </c>
      <c r="AA12" s="119">
        <v>100.6</v>
      </c>
      <c r="AB12" s="119">
        <v>103.9</v>
      </c>
      <c r="AC12" s="119">
        <f t="shared" si="2"/>
        <v>-3.3000000000000114</v>
      </c>
      <c r="AD12" s="119">
        <v>15.8</v>
      </c>
      <c r="AE12" s="119">
        <v>11.2</v>
      </c>
      <c r="AF12" s="65">
        <v>0.57999999999999996</v>
      </c>
      <c r="AG12" s="119">
        <v>16.5</v>
      </c>
      <c r="AH12" s="119">
        <v>0.4</v>
      </c>
      <c r="AI12" s="119">
        <v>0.7</v>
      </c>
      <c r="AJ12" s="65">
        <v>7.1999999999999995E-2</v>
      </c>
      <c r="AK12" s="119">
        <v>-1.1000000000000001</v>
      </c>
      <c r="AL12" s="119">
        <v>0.2</v>
      </c>
      <c r="AM12" s="119">
        <v>0.2</v>
      </c>
      <c r="AN12" s="119">
        <v>7.1</v>
      </c>
    </row>
    <row r="13" spans="1:42" x14ac:dyDescent="0.2">
      <c r="A13" s="107"/>
      <c r="B13" s="3" t="s">
        <v>3</v>
      </c>
      <c r="C13" s="3" t="s">
        <v>234</v>
      </c>
      <c r="D13" s="105">
        <v>611</v>
      </c>
      <c r="E13" s="105">
        <v>74</v>
      </c>
      <c r="F13" s="106">
        <v>245</v>
      </c>
      <c r="G13" s="4">
        <v>34880</v>
      </c>
      <c r="H13" s="110">
        <f t="shared" ca="1" si="0"/>
        <v>25.4</v>
      </c>
      <c r="I13" s="3" t="s">
        <v>270</v>
      </c>
      <c r="J13" s="3">
        <v>5</v>
      </c>
      <c r="K13" s="107">
        <v>2016</v>
      </c>
      <c r="L13" s="108">
        <v>30</v>
      </c>
      <c r="M13" s="3" t="s">
        <v>2556</v>
      </c>
      <c r="N13" s="3" t="s">
        <v>276</v>
      </c>
      <c r="O13" s="3" t="s">
        <v>283</v>
      </c>
      <c r="P13" s="19">
        <v>1737145</v>
      </c>
      <c r="Q13" s="19">
        <v>1824003</v>
      </c>
      <c r="R13" s="14"/>
      <c r="S13" s="3"/>
      <c r="T13" s="3"/>
      <c r="U13" s="3"/>
      <c r="V13" s="3"/>
      <c r="W13" s="3" t="s">
        <v>272</v>
      </c>
      <c r="X13" s="107">
        <v>5</v>
      </c>
      <c r="Y13" s="107">
        <v>55</v>
      </c>
      <c r="Z13" s="41">
        <f>15/55</f>
        <v>0.27272727272727271</v>
      </c>
      <c r="AA13" s="110">
        <v>104.7</v>
      </c>
      <c r="AB13" s="110">
        <v>117.3</v>
      </c>
      <c r="AC13" s="110">
        <f t="shared" si="2"/>
        <v>-12.599999999999994</v>
      </c>
      <c r="AD13" s="110">
        <v>16.100000000000001</v>
      </c>
      <c r="AE13" s="110">
        <v>15.5</v>
      </c>
      <c r="AF13" s="3">
        <v>0.71199999999999997</v>
      </c>
      <c r="AG13" s="3">
        <v>11.4</v>
      </c>
      <c r="AH13" s="3">
        <v>2.2000000000000002</v>
      </c>
      <c r="AI13" s="3">
        <v>0.6</v>
      </c>
      <c r="AJ13" s="41">
        <v>0.152</v>
      </c>
      <c r="AK13" s="110">
        <v>-1.6</v>
      </c>
      <c r="AL13" s="110">
        <v>0.1</v>
      </c>
      <c r="AM13" s="110">
        <v>0.1</v>
      </c>
      <c r="AN13" s="110">
        <v>8</v>
      </c>
      <c r="AO13" s="3"/>
      <c r="AP13" s="3"/>
    </row>
    <row r="14" spans="1:42" x14ac:dyDescent="0.2">
      <c r="A14" s="3"/>
      <c r="B14" s="3" t="s">
        <v>48</v>
      </c>
      <c r="C14" s="3" t="s">
        <v>252</v>
      </c>
      <c r="D14" s="105">
        <v>61</v>
      </c>
      <c r="E14" s="105">
        <v>68</v>
      </c>
      <c r="F14" s="106">
        <v>200</v>
      </c>
      <c r="G14" s="4">
        <v>33581</v>
      </c>
      <c r="H14" s="110">
        <f t="shared" ca="1" si="0"/>
        <v>28.9</v>
      </c>
      <c r="I14" s="3" t="s">
        <v>264</v>
      </c>
      <c r="J14" s="3">
        <v>7</v>
      </c>
      <c r="K14" s="109">
        <v>2014</v>
      </c>
      <c r="L14" s="109"/>
      <c r="M14" s="3" t="s">
        <v>2639</v>
      </c>
      <c r="N14" s="3" t="s">
        <v>276</v>
      </c>
      <c r="O14" t="s">
        <v>2438</v>
      </c>
      <c r="P14" s="19">
        <v>1620564</v>
      </c>
      <c r="Q14" s="18"/>
      <c r="R14" s="3"/>
      <c r="S14" s="3"/>
      <c r="T14" s="25"/>
      <c r="W14" s="59" t="s">
        <v>790</v>
      </c>
      <c r="X14" s="69">
        <v>2</v>
      </c>
      <c r="Y14" s="69">
        <v>66</v>
      </c>
      <c r="Z14" s="65">
        <f>20/66</f>
        <v>0.30303030303030304</v>
      </c>
      <c r="AA14" s="119">
        <v>107.7</v>
      </c>
      <c r="AB14" s="119">
        <v>112.1</v>
      </c>
      <c r="AC14" s="119">
        <f t="shared" ref="AC14" si="3">AA14-AB14</f>
        <v>-4.3999999999999915</v>
      </c>
      <c r="AD14" s="119">
        <v>25.8</v>
      </c>
      <c r="AE14" s="119">
        <v>12.3</v>
      </c>
      <c r="AF14" s="65">
        <v>0.58399999999999996</v>
      </c>
      <c r="AG14" s="119">
        <v>15.9</v>
      </c>
      <c r="AH14" s="119">
        <v>2.4</v>
      </c>
      <c r="AI14" s="119">
        <v>0.7</v>
      </c>
      <c r="AJ14" s="65">
        <v>8.6999999999999994E-2</v>
      </c>
      <c r="AK14" s="119">
        <v>0.1</v>
      </c>
      <c r="AL14" s="119">
        <v>-0.9</v>
      </c>
      <c r="AM14" s="119">
        <v>0.5</v>
      </c>
      <c r="AN14" s="119">
        <v>7.5</v>
      </c>
    </row>
    <row r="15" spans="1:42" x14ac:dyDescent="0.2">
      <c r="A15" s="3"/>
      <c r="B15" s="3" t="s">
        <v>112</v>
      </c>
      <c r="C15" s="2" t="s">
        <v>252</v>
      </c>
      <c r="D15" s="105">
        <v>63</v>
      </c>
      <c r="E15" s="105">
        <v>610</v>
      </c>
      <c r="F15" s="106">
        <v>191</v>
      </c>
      <c r="G15" s="4">
        <v>32564</v>
      </c>
      <c r="H15" s="119">
        <f t="shared" ca="1" si="0"/>
        <v>31.7</v>
      </c>
      <c r="I15" t="s">
        <v>1306</v>
      </c>
      <c r="J15" s="3">
        <v>10</v>
      </c>
      <c r="K15" s="107">
        <v>2011</v>
      </c>
      <c r="L15" s="107">
        <v>55</v>
      </c>
      <c r="M15" s="2" t="s">
        <v>2586</v>
      </c>
      <c r="N15" s="3" t="s">
        <v>276</v>
      </c>
      <c r="O15" t="s">
        <v>2438</v>
      </c>
      <c r="P15" s="19">
        <v>1620564</v>
      </c>
      <c r="Q15" s="18"/>
      <c r="R15" s="12"/>
      <c r="S15" s="12"/>
      <c r="T15" s="12"/>
      <c r="U15"/>
      <c r="V15"/>
      <c r="W15" t="s">
        <v>1307</v>
      </c>
      <c r="X15" s="107">
        <v>2</v>
      </c>
      <c r="Y15" s="107">
        <v>51</v>
      </c>
      <c r="Z15" s="41">
        <f>26/51</f>
        <v>0.50980392156862742</v>
      </c>
      <c r="AA15" s="110">
        <v>108.8</v>
      </c>
      <c r="AB15" s="110">
        <v>110.7</v>
      </c>
      <c r="AC15" s="110">
        <f t="shared" ref="AC15" si="4">AA15-AB15</f>
        <v>-1.9000000000000057</v>
      </c>
      <c r="AD15" s="110">
        <v>18.8</v>
      </c>
      <c r="AE15" s="110">
        <v>11.1</v>
      </c>
      <c r="AF15" s="41">
        <v>0.50900000000000001</v>
      </c>
      <c r="AG15" s="110">
        <v>19.899999999999999</v>
      </c>
      <c r="AH15" s="110">
        <v>0.2</v>
      </c>
      <c r="AI15" s="110">
        <v>0.6</v>
      </c>
      <c r="AJ15" s="41">
        <v>4.2000000000000003E-2</v>
      </c>
      <c r="AK15" s="110">
        <v>-2</v>
      </c>
      <c r="AL15" s="110">
        <v>-1</v>
      </c>
      <c r="AM15" s="110">
        <v>-0.2</v>
      </c>
      <c r="AN15" s="110">
        <v>7.2</v>
      </c>
      <c r="AO15"/>
      <c r="AP15"/>
    </row>
    <row r="16" spans="1:42" x14ac:dyDescent="0.2">
      <c r="A16" s="3"/>
      <c r="B16" s="3" t="s">
        <v>2656</v>
      </c>
      <c r="C16" s="2"/>
      <c r="D16" s="105"/>
      <c r="E16" s="105"/>
      <c r="F16" s="106"/>
      <c r="G16" s="4"/>
      <c r="H16" s="119"/>
      <c r="I16"/>
      <c r="J16" s="3"/>
      <c r="K16" s="107"/>
      <c r="L16" s="107"/>
      <c r="M16" s="3" t="s">
        <v>2660</v>
      </c>
      <c r="N16" s="3" t="s">
        <v>288</v>
      </c>
      <c r="O16"/>
      <c r="P16" s="19" t="s">
        <v>288</v>
      </c>
      <c r="Q16" s="32"/>
      <c r="R16" s="12"/>
      <c r="S16" s="12"/>
      <c r="T16" s="12"/>
      <c r="U16"/>
      <c r="V16"/>
      <c r="W16"/>
      <c r="X16" s="107"/>
      <c r="Y16" s="107"/>
      <c r="Z16" s="41"/>
      <c r="AA16" s="110"/>
      <c r="AB16" s="110"/>
      <c r="AC16" s="110"/>
      <c r="AD16" s="110"/>
      <c r="AE16" s="110"/>
      <c r="AF16" s="41"/>
      <c r="AG16" s="110"/>
      <c r="AH16" s="110"/>
      <c r="AI16" s="110"/>
      <c r="AJ16" s="41"/>
      <c r="AK16" s="110"/>
      <c r="AL16" s="110"/>
      <c r="AM16" s="110"/>
      <c r="AN16" s="110"/>
      <c r="AO16"/>
      <c r="AP16"/>
    </row>
    <row r="17" spans="1:40" x14ac:dyDescent="0.2">
      <c r="A17" s="3"/>
      <c r="B17" s="3" t="s">
        <v>290</v>
      </c>
      <c r="D17" s="142"/>
      <c r="E17" s="142"/>
      <c r="F17" s="143"/>
      <c r="G17" s="4"/>
      <c r="H17" s="119"/>
      <c r="J17" s="3"/>
      <c r="M17" s="3"/>
      <c r="N17" s="3"/>
      <c r="P17" s="3"/>
      <c r="Q17" s="12"/>
      <c r="R17" s="12"/>
      <c r="S17" s="3"/>
      <c r="T17" s="12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/>
      <c r="P18" s="11"/>
      <c r="Q18" s="11"/>
      <c r="R18" s="237"/>
      <c r="S18" s="237"/>
      <c r="T18" s="237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>
        <v>14</v>
      </c>
      <c r="B19" s="3" t="s">
        <v>147</v>
      </c>
      <c r="C19" s="59" t="s">
        <v>234</v>
      </c>
      <c r="D19" s="142">
        <v>68</v>
      </c>
      <c r="E19" s="142">
        <v>74</v>
      </c>
      <c r="F19" s="143">
        <v>219</v>
      </c>
      <c r="G19" s="4">
        <v>35321</v>
      </c>
      <c r="H19" s="119">
        <f t="shared" ref="H19" ca="1" si="5">ROUNDDOWN(YEARFRAC($G$23,G19),1)</f>
        <v>24.2</v>
      </c>
      <c r="I19" s="59" t="s">
        <v>498</v>
      </c>
      <c r="J19" s="3">
        <v>5</v>
      </c>
      <c r="K19" s="59">
        <v>2016</v>
      </c>
      <c r="L19" s="59">
        <v>33</v>
      </c>
      <c r="M19" s="3" t="s">
        <v>1558</v>
      </c>
      <c r="N19" s="3"/>
      <c r="O19" s="202"/>
      <c r="P19" s="14">
        <v>1620564</v>
      </c>
      <c r="Q19" s="16"/>
      <c r="R19" s="53"/>
      <c r="S19" s="80"/>
      <c r="T19" s="12"/>
      <c r="W19" s="59" t="s">
        <v>1559</v>
      </c>
      <c r="X19" s="69">
        <v>5</v>
      </c>
      <c r="Y19" s="69">
        <v>44</v>
      </c>
      <c r="Z19" s="65">
        <f>17/44</f>
        <v>0.38636363636363635</v>
      </c>
      <c r="AA19" s="119">
        <v>104.5</v>
      </c>
      <c r="AB19" s="119">
        <v>109</v>
      </c>
      <c r="AC19" s="119">
        <f t="shared" ref="AC19:AC21" si="6">AA19-AB19</f>
        <v>-4.5</v>
      </c>
      <c r="AD19" s="119">
        <v>10.6</v>
      </c>
      <c r="AE19" s="119">
        <v>6.3</v>
      </c>
      <c r="AF19" s="65">
        <v>0.68799999999999994</v>
      </c>
      <c r="AG19" s="119">
        <v>16.7</v>
      </c>
      <c r="AH19" s="119">
        <v>0.8</v>
      </c>
      <c r="AI19" s="119">
        <v>0.5</v>
      </c>
      <c r="AJ19" s="65">
        <v>0.129</v>
      </c>
      <c r="AK19" s="119">
        <v>-1.1000000000000001</v>
      </c>
      <c r="AL19" s="119">
        <v>-0.3</v>
      </c>
      <c r="AM19" s="119">
        <v>0.1</v>
      </c>
      <c r="AN19" s="119">
        <v>12.1</v>
      </c>
    </row>
    <row r="20" spans="1:40" x14ac:dyDescent="0.2">
      <c r="A20" s="3">
        <v>41</v>
      </c>
      <c r="B20" s="3" t="s">
        <v>1567</v>
      </c>
      <c r="C20" s="59" t="s">
        <v>234</v>
      </c>
      <c r="D20" s="142">
        <v>610</v>
      </c>
      <c r="E20" s="142">
        <v>74</v>
      </c>
      <c r="F20" s="143">
        <v>205</v>
      </c>
      <c r="G20" s="4">
        <v>34880</v>
      </c>
      <c r="H20" s="119">
        <f ca="1">ROUNDDOWN(YEARFRAC($G$23,G20),1)</f>
        <v>25.4</v>
      </c>
      <c r="I20" s="59" t="s">
        <v>641</v>
      </c>
      <c r="J20" s="3">
        <v>2</v>
      </c>
      <c r="K20" s="59">
        <v>2019</v>
      </c>
      <c r="M20" s="3" t="s">
        <v>452</v>
      </c>
      <c r="N20" s="3"/>
      <c r="P20" s="234"/>
      <c r="Q20" s="53"/>
      <c r="R20" s="53"/>
      <c r="S20" s="54"/>
      <c r="T20" s="53"/>
      <c r="W20" s="96" t="s">
        <v>1568</v>
      </c>
      <c r="X20" s="69">
        <v>4</v>
      </c>
      <c r="Y20" s="69">
        <v>3</v>
      </c>
      <c r="Z20" s="65">
        <f>0/3</f>
        <v>0</v>
      </c>
      <c r="AA20" s="119">
        <v>83.9</v>
      </c>
      <c r="AB20" s="119">
        <v>127.3</v>
      </c>
      <c r="AC20" s="119">
        <f t="shared" si="6"/>
        <v>-43.399999999999991</v>
      </c>
      <c r="AD20" s="119">
        <v>5.0999999999999996</v>
      </c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3">
        <v>2</v>
      </c>
      <c r="B21" s="3" t="s">
        <v>149</v>
      </c>
      <c r="C21" s="59" t="s">
        <v>230</v>
      </c>
      <c r="D21" s="142">
        <v>63</v>
      </c>
      <c r="E21" s="142">
        <v>68</v>
      </c>
      <c r="F21" s="143">
        <v>190</v>
      </c>
      <c r="G21" s="4">
        <v>35726</v>
      </c>
      <c r="H21" s="119">
        <f t="shared" ref="H21" ca="1" si="7">ROUNDDOWN(YEARFRAC($G$23,G21),1)</f>
        <v>23</v>
      </c>
      <c r="I21" s="59" t="s">
        <v>1562</v>
      </c>
      <c r="J21" s="3">
        <v>3</v>
      </c>
      <c r="K21" s="59">
        <v>2018</v>
      </c>
      <c r="L21" s="59">
        <v>31</v>
      </c>
      <c r="M21" s="3" t="s">
        <v>1563</v>
      </c>
      <c r="N21" s="3"/>
      <c r="O21" s="202"/>
      <c r="P21" s="14"/>
      <c r="Q21" s="16"/>
      <c r="R21" s="16"/>
      <c r="S21" s="12"/>
      <c r="T21" s="12"/>
      <c r="W21" s="59" t="s">
        <v>1564</v>
      </c>
      <c r="X21" s="69">
        <v>1</v>
      </c>
      <c r="Y21" s="69">
        <v>54</v>
      </c>
      <c r="Z21" s="65">
        <f>22/54</f>
        <v>0.40740740740740738</v>
      </c>
      <c r="AA21" s="119">
        <v>105.8</v>
      </c>
      <c r="AB21" s="119">
        <v>109.1</v>
      </c>
      <c r="AC21" s="119">
        <f t="shared" si="6"/>
        <v>-3.2999999999999972</v>
      </c>
      <c r="AD21" s="119">
        <v>13.1</v>
      </c>
      <c r="AE21" s="119">
        <v>10.5</v>
      </c>
      <c r="AF21" s="65">
        <v>0.51100000000000001</v>
      </c>
      <c r="AG21" s="119">
        <v>14.9</v>
      </c>
      <c r="AH21" s="119">
        <v>0.4</v>
      </c>
      <c r="AI21" s="119">
        <v>0.5</v>
      </c>
      <c r="AJ21" s="65">
        <v>5.8999999999999997E-2</v>
      </c>
      <c r="AK21" s="119">
        <v>-2</v>
      </c>
      <c r="AL21" s="119">
        <v>-0.1</v>
      </c>
      <c r="AM21" s="119">
        <v>0</v>
      </c>
      <c r="AN21" s="119">
        <v>7.7</v>
      </c>
    </row>
    <row r="22" spans="1:40" x14ac:dyDescent="0.2">
      <c r="A22" s="3"/>
      <c r="B22" s="3"/>
      <c r="P22" s="11"/>
      <c r="Q22" s="270"/>
      <c r="R22" s="270"/>
      <c r="S22" s="237"/>
      <c r="T22" s="207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G23" s="62">
        <f ca="1">TODAY()</f>
        <v>44162</v>
      </c>
      <c r="H23" s="63">
        <f ca="1">AVERAGE(H2:H15)</f>
        <v>26.628571428571423</v>
      </c>
      <c r="J23" s="63">
        <f>AVERAGE(J2:J15)</f>
        <v>5.6428571428571432</v>
      </c>
      <c r="Q23" s="78"/>
      <c r="R23" s="78"/>
      <c r="X23" s="69"/>
      <c r="Y23" s="69"/>
      <c r="Z23" s="65"/>
      <c r="AF23" s="65"/>
      <c r="AJ23" s="65"/>
    </row>
    <row r="24" spans="1:40" x14ac:dyDescent="0.2">
      <c r="H24" s="63">
        <f ca="1">MEDIAN(H2:H15)</f>
        <v>25.85</v>
      </c>
      <c r="J24" s="69">
        <f>MEDIAN(J2:J15)</f>
        <v>5</v>
      </c>
      <c r="P24" s="121"/>
      <c r="Q24" s="78"/>
      <c r="R24" s="78"/>
      <c r="X24" s="69"/>
      <c r="Y24" s="69"/>
      <c r="Z24" s="65"/>
      <c r="AF24" s="65"/>
      <c r="AJ24" s="65"/>
    </row>
    <row r="25" spans="1:40" x14ac:dyDescent="0.2">
      <c r="B25" s="197" t="s">
        <v>1985</v>
      </c>
      <c r="P25" s="64">
        <f>SUM(P2:P17)-P11+25000</f>
        <v>121957250</v>
      </c>
      <c r="X25" s="69"/>
      <c r="Y25" s="69"/>
      <c r="Z25" s="65"/>
      <c r="AF25" s="65"/>
      <c r="AJ25" s="65"/>
    </row>
    <row r="26" spans="1:40" x14ac:dyDescent="0.2">
      <c r="B26" s="3" t="s">
        <v>1876</v>
      </c>
      <c r="C26" s="59">
        <v>13</v>
      </c>
      <c r="I26" s="197"/>
      <c r="P26" s="121">
        <f>SUM(P2:P17)</f>
        <v>123909261</v>
      </c>
      <c r="X26" s="69"/>
      <c r="Y26" s="69"/>
      <c r="Z26" s="65"/>
      <c r="AF26" s="65"/>
      <c r="AJ26" s="65"/>
    </row>
    <row r="27" spans="1:40" x14ac:dyDescent="0.2">
      <c r="B27" s="3" t="s">
        <v>2457</v>
      </c>
      <c r="C27" s="59">
        <v>1</v>
      </c>
      <c r="I27" s="3"/>
      <c r="O27" s="3"/>
      <c r="P27" s="121"/>
      <c r="X27" s="69"/>
      <c r="Y27" s="69"/>
      <c r="Z27" s="65"/>
      <c r="AF27" s="65"/>
      <c r="AJ27" s="65"/>
    </row>
    <row r="28" spans="1:40" x14ac:dyDescent="0.2">
      <c r="B28" s="3" t="s">
        <v>2539</v>
      </c>
      <c r="C28" s="59">
        <v>1</v>
      </c>
      <c r="I28" s="3"/>
      <c r="O28" s="3" t="s">
        <v>292</v>
      </c>
      <c r="P28" s="22" t="e">
        <f>#REF!</f>
        <v>#REF!</v>
      </c>
      <c r="Z28" s="65"/>
      <c r="AF28" s="65"/>
      <c r="AJ28" s="65"/>
    </row>
    <row r="29" spans="1:40" x14ac:dyDescent="0.2">
      <c r="B29" s="3" t="s">
        <v>495</v>
      </c>
      <c r="C29" s="60">
        <f>9258000-P5</f>
        <v>0</v>
      </c>
      <c r="D29" s="59" t="s">
        <v>93</v>
      </c>
      <c r="I29" s="3"/>
      <c r="O29" s="3" t="s">
        <v>294</v>
      </c>
      <c r="P29" s="22" t="e">
        <f>#REF!</f>
        <v>#REF!</v>
      </c>
      <c r="AJ29" s="65"/>
    </row>
    <row r="30" spans="1:40" x14ac:dyDescent="0.2">
      <c r="B30" s="3" t="s">
        <v>514</v>
      </c>
      <c r="C30" s="60">
        <f>3623000</f>
        <v>3623000</v>
      </c>
      <c r="D30" s="59" t="s">
        <v>48</v>
      </c>
      <c r="I30" s="3"/>
      <c r="O30" s="3" t="s">
        <v>2563</v>
      </c>
      <c r="P30" s="22">
        <v>138928000</v>
      </c>
      <c r="AJ30" s="65"/>
    </row>
    <row r="31" spans="1:40" x14ac:dyDescent="0.2">
      <c r="B31" s="3" t="s">
        <v>293</v>
      </c>
      <c r="C31" s="60">
        <v>0</v>
      </c>
      <c r="I31" s="3"/>
      <c r="O31" s="3"/>
      <c r="P31" s="22"/>
      <c r="AJ31" s="65"/>
    </row>
    <row r="32" spans="1:40" x14ac:dyDescent="0.2">
      <c r="B32" s="3" t="s">
        <v>295</v>
      </c>
      <c r="C32" s="60">
        <v>0</v>
      </c>
      <c r="I32" s="3"/>
      <c r="J32" s="60"/>
      <c r="AJ32" s="65"/>
    </row>
    <row r="33" spans="2:10" x14ac:dyDescent="0.2">
      <c r="B33" s="3"/>
      <c r="I33" s="3"/>
      <c r="J33" s="60"/>
    </row>
    <row r="34" spans="2:10" x14ac:dyDescent="0.2">
      <c r="B34" s="5" t="s">
        <v>1875</v>
      </c>
      <c r="I34" s="3"/>
    </row>
    <row r="35" spans="2:10" x14ac:dyDescent="0.2">
      <c r="B35" s="3" t="s">
        <v>296</v>
      </c>
      <c r="C35" s="65">
        <f>34/(34+39)</f>
        <v>0.46575342465753422</v>
      </c>
      <c r="D35" s="59" t="s">
        <v>722</v>
      </c>
      <c r="I35" s="5"/>
    </row>
    <row r="36" spans="2:10" x14ac:dyDescent="0.2">
      <c r="B36" s="3" t="s">
        <v>298</v>
      </c>
      <c r="C36" s="59">
        <v>111.3</v>
      </c>
      <c r="D36" s="59" t="s">
        <v>2067</v>
      </c>
      <c r="I36" s="3"/>
    </row>
    <row r="37" spans="2:10" x14ac:dyDescent="0.2">
      <c r="B37" s="3" t="s">
        <v>299</v>
      </c>
      <c r="C37" s="59">
        <v>110.8</v>
      </c>
      <c r="D37" s="59" t="s">
        <v>1986</v>
      </c>
      <c r="I37" s="3"/>
    </row>
    <row r="38" spans="2:10" x14ac:dyDescent="0.2">
      <c r="B38" s="3" t="s">
        <v>300</v>
      </c>
      <c r="C38" s="59">
        <f>C36-C37</f>
        <v>0.5</v>
      </c>
      <c r="D38" s="59" t="s">
        <v>2057</v>
      </c>
      <c r="I38" s="3"/>
    </row>
    <row r="39" spans="2:10" x14ac:dyDescent="0.2">
      <c r="B39" s="3" t="s">
        <v>301</v>
      </c>
      <c r="C39" s="59">
        <v>101.74</v>
      </c>
      <c r="D39" s="59" t="s">
        <v>1996</v>
      </c>
      <c r="I39" s="3"/>
    </row>
    <row r="40" spans="2:10" x14ac:dyDescent="0.2">
      <c r="B40" s="3"/>
      <c r="I40" s="3"/>
    </row>
    <row r="41" spans="2:10" x14ac:dyDescent="0.2">
      <c r="B41" s="2" t="s">
        <v>302</v>
      </c>
      <c r="I41" s="3"/>
    </row>
    <row r="42" spans="2:10" x14ac:dyDescent="0.2">
      <c r="B42" s="2" t="s">
        <v>1089</v>
      </c>
    </row>
    <row r="43" spans="2:10" x14ac:dyDescent="0.2">
      <c r="B43" s="2"/>
    </row>
    <row r="44" spans="2:10" x14ac:dyDescent="0.2">
      <c r="B44" s="2" t="s">
        <v>310</v>
      </c>
    </row>
    <row r="45" spans="2:10" x14ac:dyDescent="0.2">
      <c r="B45" s="2" t="s">
        <v>1569</v>
      </c>
    </row>
    <row r="46" spans="2:10" x14ac:dyDescent="0.2">
      <c r="B46" s="2" t="s">
        <v>2179</v>
      </c>
    </row>
    <row r="47" spans="2:10" x14ac:dyDescent="0.2">
      <c r="B47" s="2"/>
    </row>
    <row r="48" spans="2:10" x14ac:dyDescent="0.2">
      <c r="B48" s="71" t="s">
        <v>2088</v>
      </c>
    </row>
    <row r="49" spans="2:10" x14ac:dyDescent="0.2">
      <c r="B49" s="39" t="s">
        <v>314</v>
      </c>
      <c r="C49" s="59">
        <v>34</v>
      </c>
      <c r="D49" s="59">
        <v>39</v>
      </c>
      <c r="E49" s="59" t="s">
        <v>722</v>
      </c>
      <c r="G49" s="59" t="s">
        <v>1335</v>
      </c>
      <c r="J49" s="145" t="s">
        <v>316</v>
      </c>
    </row>
    <row r="50" spans="2:10" x14ac:dyDescent="0.2">
      <c r="B50" s="39" t="s">
        <v>317</v>
      </c>
      <c r="C50" s="59">
        <v>19</v>
      </c>
      <c r="D50" s="59">
        <v>63</v>
      </c>
      <c r="E50" s="59" t="s">
        <v>883</v>
      </c>
      <c r="G50" s="59" t="s">
        <v>1570</v>
      </c>
      <c r="I50" s="145"/>
      <c r="J50" s="145" t="s">
        <v>316</v>
      </c>
    </row>
    <row r="51" spans="2:10" x14ac:dyDescent="0.2">
      <c r="B51" s="39" t="s">
        <v>319</v>
      </c>
      <c r="C51" s="59">
        <v>21</v>
      </c>
      <c r="D51" s="59">
        <v>61</v>
      </c>
      <c r="E51" s="59" t="s">
        <v>883</v>
      </c>
      <c r="G51" s="59" t="s">
        <v>1571</v>
      </c>
      <c r="J51" s="145" t="s">
        <v>316</v>
      </c>
    </row>
    <row r="52" spans="2:10" x14ac:dyDescent="0.2">
      <c r="B52" s="39" t="s">
        <v>322</v>
      </c>
      <c r="C52" s="59">
        <v>24</v>
      </c>
      <c r="D52" s="59">
        <v>58</v>
      </c>
      <c r="E52" s="59" t="s">
        <v>883</v>
      </c>
      <c r="G52" s="59" t="s">
        <v>1572</v>
      </c>
      <c r="J52" s="145" t="s">
        <v>316</v>
      </c>
    </row>
    <row r="53" spans="2:10" x14ac:dyDescent="0.2">
      <c r="B53" s="39" t="s">
        <v>325</v>
      </c>
      <c r="C53" s="59">
        <v>23</v>
      </c>
      <c r="D53" s="59">
        <v>59</v>
      </c>
      <c r="E53" s="59" t="s">
        <v>714</v>
      </c>
      <c r="G53" s="59" t="s">
        <v>1573</v>
      </c>
      <c r="J53" s="145" t="s">
        <v>316</v>
      </c>
    </row>
    <row r="54" spans="2:10" x14ac:dyDescent="0.2">
      <c r="B54" s="39" t="s">
        <v>328</v>
      </c>
      <c r="C54" s="59">
        <v>39</v>
      </c>
      <c r="D54" s="59">
        <v>43</v>
      </c>
      <c r="E54" s="59" t="s">
        <v>722</v>
      </c>
      <c r="G54" s="59" t="s">
        <v>1374</v>
      </c>
      <c r="J54" s="145" t="s">
        <v>316</v>
      </c>
    </row>
    <row r="55" spans="2:10" x14ac:dyDescent="0.2">
      <c r="B55" s="39" t="s">
        <v>331</v>
      </c>
      <c r="C55" s="59">
        <v>48</v>
      </c>
      <c r="D55" s="59">
        <v>34</v>
      </c>
      <c r="E55" s="59" t="s">
        <v>769</v>
      </c>
      <c r="G55" s="59" t="s">
        <v>1374</v>
      </c>
      <c r="J55" s="145" t="s">
        <v>316</v>
      </c>
    </row>
    <row r="56" spans="2:10" x14ac:dyDescent="0.2">
      <c r="B56" s="39" t="s">
        <v>334</v>
      </c>
      <c r="C56" s="59">
        <v>25</v>
      </c>
      <c r="D56" s="59">
        <v>57</v>
      </c>
      <c r="E56" s="59" t="s">
        <v>883</v>
      </c>
      <c r="G56" s="59" t="s">
        <v>1574</v>
      </c>
      <c r="J56" s="145" t="s">
        <v>316</v>
      </c>
    </row>
    <row r="57" spans="2:10" x14ac:dyDescent="0.2">
      <c r="B57" s="39" t="s">
        <v>338</v>
      </c>
      <c r="C57" s="59">
        <v>33</v>
      </c>
      <c r="D57" s="59">
        <v>33</v>
      </c>
      <c r="E57" s="59" t="s">
        <v>722</v>
      </c>
      <c r="G57" s="59" t="s">
        <v>1326</v>
      </c>
      <c r="J57" s="145" t="s">
        <v>316</v>
      </c>
    </row>
    <row r="58" spans="2:10" x14ac:dyDescent="0.2">
      <c r="B58" s="39" t="s">
        <v>340</v>
      </c>
      <c r="C58" s="59">
        <v>40</v>
      </c>
      <c r="D58" s="59">
        <v>42</v>
      </c>
      <c r="E58" s="59" t="s">
        <v>722</v>
      </c>
      <c r="G58" s="59" t="s">
        <v>1326</v>
      </c>
      <c r="J58" s="145" t="s">
        <v>316</v>
      </c>
    </row>
    <row r="59" spans="2:10" x14ac:dyDescent="0.2">
      <c r="B59" s="59" t="s">
        <v>342</v>
      </c>
      <c r="C59" s="59">
        <f>SUM(C49:C58)</f>
        <v>306</v>
      </c>
      <c r="D59" s="59">
        <f>SUM(D49:D58)</f>
        <v>489</v>
      </c>
      <c r="E59" s="65">
        <f>C59/(C59+D59)</f>
        <v>0.38490566037735852</v>
      </c>
    </row>
  </sheetData>
  <hyperlinks>
    <hyperlink ref="B49" r:id="rId1" xr:uid="{4FB1FE0F-D02C-AF43-89EF-7FD21177CCCC}"/>
    <hyperlink ref="B50" r:id="rId2" xr:uid="{0CDF2A87-4026-A445-867F-4243BA755E31}"/>
    <hyperlink ref="B51" r:id="rId3" xr:uid="{009C3F51-1248-C84B-9D01-99064198E6F3}"/>
    <hyperlink ref="B52" r:id="rId4" xr:uid="{6A5CE9F8-A4D1-EE4D-B470-2C8114F6586D}"/>
    <hyperlink ref="B53" r:id="rId5" xr:uid="{8C8E5AFF-7787-BC43-87F5-4369F3623E8C}"/>
    <hyperlink ref="B54" r:id="rId6" xr:uid="{1FF00D1C-162E-E041-BE4F-6C1CA6C94B8A}"/>
    <hyperlink ref="B55" r:id="rId7" xr:uid="{3A7CEC4B-3E2C-1C45-99E4-36FC1A096888}"/>
    <hyperlink ref="B56" r:id="rId8" xr:uid="{8D672BB7-9932-B844-9192-B226AE5FD2B5}"/>
    <hyperlink ref="B57" r:id="rId9" xr:uid="{66E7105A-5624-B046-8B34-F3117A20D017}"/>
    <hyperlink ref="B58" r:id="rId10" xr:uid="{D94D413E-BCAE-584A-89B5-6AF26FB3454D}"/>
  </hyperlinks>
  <pageMargins left="0.7" right="0.7" top="0.75" bottom="0.75" header="0.3" footer="0.3"/>
  <legacyDrawing r:id="rId1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42AE-5035-4242-88BF-1F8B78A912CD}">
  <dimension ref="A1:AR62"/>
  <sheetViews>
    <sheetView zoomScaleNormal="100" workbookViewId="0"/>
  </sheetViews>
  <sheetFormatPr baseColWidth="10" defaultColWidth="10.83203125" defaultRowHeight="16" x14ac:dyDescent="0.2"/>
  <cols>
    <col min="1" max="1" width="5.5" style="3" customWidth="1"/>
    <col min="2" max="2" width="19" style="3" customWidth="1"/>
    <col min="3" max="3" width="11.83203125" style="3" customWidth="1"/>
    <col min="4" max="4" width="9.33203125" style="3" customWidth="1"/>
    <col min="5" max="5" width="10.83203125" style="3"/>
    <col min="6" max="6" width="8" style="3" customWidth="1"/>
    <col min="7" max="7" width="11.5" style="3" customWidth="1"/>
    <col min="8" max="8" width="5.83203125" style="3" customWidth="1"/>
    <col min="9" max="9" width="17.6640625" style="3" customWidth="1"/>
    <col min="10" max="10" width="11" style="3" customWidth="1"/>
    <col min="11" max="11" width="11.6640625" style="3" customWidth="1"/>
    <col min="12" max="12" width="4.83203125" style="3" customWidth="1"/>
    <col min="13" max="13" width="26.1640625" style="3" customWidth="1"/>
    <col min="14" max="14" width="20.83203125" style="3" customWidth="1"/>
    <col min="15" max="15" width="95.6640625" style="3" customWidth="1"/>
    <col min="16" max="16" width="14.33203125" style="3" customWidth="1"/>
    <col min="17" max="17" width="13.1640625" style="3" customWidth="1"/>
    <col min="18" max="18" width="13.33203125" style="3" customWidth="1"/>
    <col min="19" max="19" width="11.6640625" style="3" customWidth="1"/>
    <col min="20" max="20" width="12.1640625" style="3" customWidth="1"/>
    <col min="21" max="21" width="11.6640625" style="3" bestFit="1" customWidth="1"/>
    <col min="22" max="22" width="56.33203125" style="3" customWidth="1"/>
    <col min="23" max="23" width="26.1640625" style="3" customWidth="1"/>
    <col min="24" max="24" width="9.6640625" style="3" customWidth="1"/>
    <col min="25" max="25" width="3.83203125" style="3" customWidth="1"/>
    <col min="26" max="26" width="7.6640625" style="3" customWidth="1"/>
    <col min="27" max="27" width="6.1640625" style="3" customWidth="1"/>
    <col min="28" max="28" width="6" style="3" customWidth="1"/>
    <col min="29" max="29" width="7.6640625" style="3" customWidth="1"/>
    <col min="30" max="30" width="5.6640625" style="3" customWidth="1"/>
    <col min="31" max="31" width="5.1640625" style="3" customWidth="1"/>
    <col min="32" max="32" width="6.5" style="3" customWidth="1"/>
    <col min="33" max="33" width="7.83203125" style="3" customWidth="1"/>
    <col min="34" max="34" width="5.33203125" style="3" customWidth="1"/>
    <col min="35" max="35" width="5" style="3" customWidth="1"/>
    <col min="36" max="36" width="7" style="3" customWidth="1"/>
    <col min="37" max="37" width="6.33203125" style="3" customWidth="1"/>
    <col min="38" max="38" width="6.1640625" style="3" customWidth="1"/>
    <col min="39" max="39" width="5.83203125" style="3" customWidth="1"/>
    <col min="40" max="40" width="4.5" style="3" customWidth="1"/>
    <col min="41" max="16384" width="10.83203125" style="3"/>
  </cols>
  <sheetData>
    <row r="1" spans="1:44" x14ac:dyDescent="0.2">
      <c r="A1" s="210" t="s">
        <v>2125</v>
      </c>
      <c r="B1" s="210" t="s">
        <v>2126</v>
      </c>
      <c r="C1" s="210" t="s">
        <v>2127</v>
      </c>
      <c r="D1" s="210" t="s">
        <v>2128</v>
      </c>
      <c r="E1" s="210" t="s">
        <v>2129</v>
      </c>
      <c r="F1" s="210" t="s">
        <v>2130</v>
      </c>
      <c r="G1" s="210" t="s">
        <v>2131</v>
      </c>
      <c r="H1" s="210" t="s">
        <v>2132</v>
      </c>
      <c r="I1" s="210" t="s">
        <v>2133</v>
      </c>
      <c r="J1" s="210" t="s">
        <v>2134</v>
      </c>
      <c r="K1" s="210" t="s">
        <v>2135</v>
      </c>
      <c r="L1" s="210" t="s">
        <v>2136</v>
      </c>
      <c r="M1" s="210" t="s">
        <v>2137</v>
      </c>
      <c r="N1" s="210" t="s">
        <v>2138</v>
      </c>
      <c r="O1" s="210" t="s">
        <v>2139</v>
      </c>
      <c r="P1" s="210" t="s">
        <v>2140</v>
      </c>
      <c r="Q1" s="210" t="s">
        <v>2141</v>
      </c>
      <c r="R1" s="210" t="s">
        <v>2142</v>
      </c>
      <c r="S1" s="210" t="s">
        <v>2143</v>
      </c>
      <c r="T1" s="210" t="s">
        <v>2144</v>
      </c>
      <c r="U1" s="210" t="s">
        <v>2145</v>
      </c>
      <c r="V1" s="210" t="s">
        <v>2146</v>
      </c>
      <c r="W1" s="210" t="s">
        <v>2147</v>
      </c>
      <c r="X1" s="210" t="s">
        <v>2127</v>
      </c>
      <c r="Y1" s="210" t="s">
        <v>2148</v>
      </c>
      <c r="Z1" s="210" t="s">
        <v>2149</v>
      </c>
      <c r="AA1" s="210" t="s">
        <v>2150</v>
      </c>
      <c r="AB1" s="210" t="s">
        <v>2151</v>
      </c>
      <c r="AC1" s="210" t="s">
        <v>2152</v>
      </c>
      <c r="AD1" s="210" t="s">
        <v>2153</v>
      </c>
      <c r="AE1" s="210" t="s">
        <v>2154</v>
      </c>
      <c r="AF1" s="210" t="s">
        <v>2155</v>
      </c>
      <c r="AG1" s="210" t="s">
        <v>2156</v>
      </c>
      <c r="AH1" s="210" t="s">
        <v>2157</v>
      </c>
      <c r="AI1" s="210" t="s">
        <v>2158</v>
      </c>
      <c r="AJ1" s="210" t="s">
        <v>2159</v>
      </c>
      <c r="AK1" s="210" t="s">
        <v>2160</v>
      </c>
      <c r="AL1" s="210" t="s">
        <v>2161</v>
      </c>
      <c r="AM1" s="210" t="s">
        <v>2162</v>
      </c>
      <c r="AN1" s="210" t="s">
        <v>2163</v>
      </c>
    </row>
    <row r="2" spans="1:44" x14ac:dyDescent="0.2">
      <c r="A2" s="3">
        <v>0</v>
      </c>
      <c r="B2" s="3" t="s">
        <v>1575</v>
      </c>
      <c r="C2" s="3" t="s">
        <v>247</v>
      </c>
      <c r="D2" s="105">
        <v>62</v>
      </c>
      <c r="E2" s="105">
        <v>68</v>
      </c>
      <c r="F2" s="106">
        <v>195</v>
      </c>
      <c r="G2" s="4">
        <v>33069</v>
      </c>
      <c r="H2" s="110">
        <f t="shared" ref="H2:H16" ca="1" si="0">ROUNDDOWN(YEARFRAC($G$22,G2),1)</f>
        <v>30.3</v>
      </c>
      <c r="I2" s="3" t="s">
        <v>1576</v>
      </c>
      <c r="J2" s="3">
        <v>9</v>
      </c>
      <c r="K2" s="3">
        <v>2012</v>
      </c>
      <c r="L2" s="3">
        <v>6</v>
      </c>
      <c r="M2" s="3" t="s">
        <v>1577</v>
      </c>
      <c r="N2" s="3" t="s">
        <v>1578</v>
      </c>
      <c r="O2" s="3" t="s">
        <v>2198</v>
      </c>
      <c r="P2" s="11">
        <v>31626953</v>
      </c>
      <c r="Q2" s="11">
        <f>0.35*112414200</f>
        <v>39344970</v>
      </c>
      <c r="R2" s="11">
        <f>$Q$2+($Q$2*0.08)</f>
        <v>42492567.600000001</v>
      </c>
      <c r="S2" s="11">
        <f>$Q$2+($Q$2*0.08)*2</f>
        <v>45640165.200000003</v>
      </c>
      <c r="T2" s="47">
        <f>$Q$2+($Q$2*0.08)*3</f>
        <v>48787762.799999997</v>
      </c>
      <c r="U2" s="51">
        <v>56962500</v>
      </c>
      <c r="W2" s="5" t="s">
        <v>284</v>
      </c>
      <c r="X2" s="107">
        <v>1</v>
      </c>
      <c r="Y2" s="107">
        <v>58</v>
      </c>
      <c r="Z2" s="41">
        <f>27/58</f>
        <v>0.46551724137931033</v>
      </c>
      <c r="AA2" s="110">
        <v>114.4</v>
      </c>
      <c r="AB2" s="110">
        <v>113.1</v>
      </c>
      <c r="AC2" s="110">
        <f t="shared" ref="AC2:AC13" si="1">AA2-AB2</f>
        <v>1.3000000000000114</v>
      </c>
      <c r="AD2" s="110">
        <v>36.9</v>
      </c>
      <c r="AE2" s="110">
        <v>26.2</v>
      </c>
      <c r="AF2" s="41">
        <v>0.61899999999999999</v>
      </c>
      <c r="AG2" s="110">
        <v>30.2</v>
      </c>
      <c r="AH2" s="110">
        <v>8.9</v>
      </c>
      <c r="AI2" s="110">
        <v>0.7</v>
      </c>
      <c r="AJ2" s="41">
        <v>0.215</v>
      </c>
      <c r="AK2" s="110">
        <v>7.9</v>
      </c>
      <c r="AL2" s="110">
        <v>-0.7</v>
      </c>
      <c r="AM2" s="110">
        <v>5</v>
      </c>
      <c r="AN2" s="110">
        <v>16.5</v>
      </c>
    </row>
    <row r="3" spans="1:44" x14ac:dyDescent="0.2">
      <c r="A3" s="3">
        <v>3</v>
      </c>
      <c r="B3" s="3" t="s">
        <v>1579</v>
      </c>
      <c r="C3" s="3" t="s">
        <v>230</v>
      </c>
      <c r="D3" s="105">
        <v>63</v>
      </c>
      <c r="E3" s="105">
        <v>66</v>
      </c>
      <c r="F3" s="106">
        <v>190</v>
      </c>
      <c r="G3" s="4">
        <v>33500</v>
      </c>
      <c r="H3" s="110">
        <f t="shared" ca="1" si="0"/>
        <v>29.1</v>
      </c>
      <c r="I3" s="3" t="s">
        <v>1580</v>
      </c>
      <c r="J3" s="3">
        <v>8</v>
      </c>
      <c r="K3" s="3">
        <v>2013</v>
      </c>
      <c r="L3" s="3">
        <v>10</v>
      </c>
      <c r="M3" s="3" t="s">
        <v>1581</v>
      </c>
      <c r="N3" s="3" t="s">
        <v>1578</v>
      </c>
      <c r="O3" s="3" t="s">
        <v>2112</v>
      </c>
      <c r="P3" s="11">
        <v>29354152</v>
      </c>
      <c r="Q3" s="11">
        <v>30864198</v>
      </c>
      <c r="R3" s="11">
        <v>33333333</v>
      </c>
      <c r="S3" s="11">
        <v>35802469</v>
      </c>
      <c r="T3" s="51">
        <v>49926100</v>
      </c>
      <c r="W3" s="3" t="s">
        <v>2462</v>
      </c>
      <c r="X3" s="107">
        <v>2</v>
      </c>
      <c r="Y3" s="107">
        <v>62</v>
      </c>
      <c r="Z3" s="41">
        <f>28/62</f>
        <v>0.45161290322580644</v>
      </c>
      <c r="AA3" s="110">
        <v>113</v>
      </c>
      <c r="AB3" s="110">
        <v>112.2</v>
      </c>
      <c r="AC3" s="110">
        <f t="shared" si="1"/>
        <v>0.79999999999999716</v>
      </c>
      <c r="AD3" s="110">
        <v>36</v>
      </c>
      <c r="AE3" s="110">
        <v>17.399999999999999</v>
      </c>
      <c r="AF3" s="41">
        <v>0.54300000000000004</v>
      </c>
      <c r="AG3" s="110">
        <v>26.7</v>
      </c>
      <c r="AH3" s="110">
        <v>3.1</v>
      </c>
      <c r="AI3" s="110">
        <v>0.6</v>
      </c>
      <c r="AJ3" s="41">
        <v>7.9000000000000001E-2</v>
      </c>
      <c r="AK3" s="110">
        <v>2.5</v>
      </c>
      <c r="AL3" s="110">
        <v>-1.7</v>
      </c>
      <c r="AM3" s="110">
        <v>1.6</v>
      </c>
      <c r="AN3" s="110">
        <v>10.5</v>
      </c>
    </row>
    <row r="4" spans="1:44" x14ac:dyDescent="0.2">
      <c r="A4" s="3">
        <v>27</v>
      </c>
      <c r="B4" s="3" t="s">
        <v>213</v>
      </c>
      <c r="C4" s="3" t="s">
        <v>234</v>
      </c>
      <c r="D4" s="105">
        <v>70</v>
      </c>
      <c r="E4" s="105">
        <v>72</v>
      </c>
      <c r="F4" s="106">
        <v>290</v>
      </c>
      <c r="G4" s="4">
        <v>34569</v>
      </c>
      <c r="H4" s="110">
        <f t="shared" ca="1" si="0"/>
        <v>26.2</v>
      </c>
      <c r="I4" s="3" t="s">
        <v>431</v>
      </c>
      <c r="J4" s="3">
        <v>7</v>
      </c>
      <c r="K4" s="3">
        <v>2014</v>
      </c>
      <c r="L4" s="3">
        <v>16</v>
      </c>
      <c r="M4" s="3" t="s">
        <v>1583</v>
      </c>
      <c r="N4" s="3" t="s">
        <v>1</v>
      </c>
      <c r="O4" s="3" t="s">
        <v>1954</v>
      </c>
      <c r="P4" s="11">
        <f>14138889-1250000</f>
        <v>12888889</v>
      </c>
      <c r="Q4" s="15">
        <f>13250000-1250000</f>
        <v>12000000</v>
      </c>
      <c r="R4" s="14">
        <f>Q4*1.5</f>
        <v>18000000</v>
      </c>
      <c r="V4" s="3" t="s">
        <v>2111</v>
      </c>
      <c r="W4" s="3" t="s">
        <v>375</v>
      </c>
      <c r="X4" s="107">
        <v>5</v>
      </c>
      <c r="Y4" s="107">
        <v>72</v>
      </c>
      <c r="Z4" s="41">
        <f>45/72</f>
        <v>0.625</v>
      </c>
      <c r="AA4" s="110">
        <v>117</v>
      </c>
      <c r="AB4" s="110">
        <v>106.5</v>
      </c>
      <c r="AC4" s="110">
        <f t="shared" si="1"/>
        <v>10.5</v>
      </c>
      <c r="AD4" s="110">
        <v>27.4</v>
      </c>
      <c r="AE4" s="110">
        <v>23.4</v>
      </c>
      <c r="AF4" s="41">
        <v>0.56999999999999995</v>
      </c>
      <c r="AG4" s="110">
        <v>24.7</v>
      </c>
      <c r="AH4" s="110">
        <v>4.4000000000000004</v>
      </c>
      <c r="AI4" s="110">
        <v>3.3</v>
      </c>
      <c r="AJ4" s="41">
        <v>0.189</v>
      </c>
      <c r="AK4" s="110">
        <v>2.1</v>
      </c>
      <c r="AL4" s="110">
        <v>1.7</v>
      </c>
      <c r="AM4" s="110">
        <v>2.8</v>
      </c>
      <c r="AN4" s="110">
        <v>14.6</v>
      </c>
    </row>
    <row r="5" spans="1:44" x14ac:dyDescent="0.2">
      <c r="A5" s="3">
        <v>23</v>
      </c>
      <c r="B5" s="3" t="s">
        <v>905</v>
      </c>
      <c r="C5" s="3" t="s">
        <v>234</v>
      </c>
      <c r="D5" s="105">
        <v>67</v>
      </c>
      <c r="E5" s="105">
        <v>72</v>
      </c>
      <c r="F5" s="106">
        <v>209</v>
      </c>
      <c r="G5" s="4">
        <v>33221</v>
      </c>
      <c r="H5" s="110">
        <f t="shared" ca="1" si="0"/>
        <v>29.9</v>
      </c>
      <c r="I5" s="3" t="s">
        <v>906</v>
      </c>
      <c r="J5" s="3">
        <v>8</v>
      </c>
      <c r="K5" s="109">
        <v>2013</v>
      </c>
      <c r="L5" s="109"/>
      <c r="M5" s="3" t="s">
        <v>2624</v>
      </c>
      <c r="N5" s="3" t="s">
        <v>907</v>
      </c>
      <c r="O5" s="3" t="s">
        <v>2023</v>
      </c>
      <c r="P5" s="11">
        <v>12138345</v>
      </c>
      <c r="Q5" s="11">
        <v>12975471</v>
      </c>
      <c r="R5" s="14">
        <f>Q5*1.5</f>
        <v>19463206.5</v>
      </c>
      <c r="U5" s="2"/>
      <c r="V5" s="2"/>
      <c r="W5" s="2" t="s">
        <v>2463</v>
      </c>
      <c r="X5" s="107">
        <v>5</v>
      </c>
      <c r="Y5" s="107">
        <v>14</v>
      </c>
      <c r="Z5" s="41">
        <f>8/14</f>
        <v>0.5714285714285714</v>
      </c>
      <c r="AA5" s="110">
        <v>111.6</v>
      </c>
      <c r="AB5" s="110">
        <v>107.6</v>
      </c>
      <c r="AC5" s="110">
        <f t="shared" si="1"/>
        <v>4</v>
      </c>
      <c r="AD5" s="110">
        <v>32.6</v>
      </c>
      <c r="AE5" s="110">
        <v>14.1</v>
      </c>
      <c r="AF5" s="41">
        <v>0.56599999999999995</v>
      </c>
      <c r="AG5" s="110">
        <v>16.100000000000001</v>
      </c>
      <c r="AH5" s="110">
        <v>0.3</v>
      </c>
      <c r="AI5" s="110">
        <v>0.7</v>
      </c>
      <c r="AJ5" s="41">
        <v>0.108</v>
      </c>
      <c r="AK5" s="110">
        <v>-0.3</v>
      </c>
      <c r="AL5" s="110">
        <v>0.8</v>
      </c>
      <c r="AM5" s="110">
        <v>0.3</v>
      </c>
      <c r="AN5" s="110">
        <v>9.4</v>
      </c>
      <c r="AO5" s="2"/>
      <c r="AP5" s="2"/>
      <c r="AQ5" s="2"/>
      <c r="AR5" s="2"/>
    </row>
    <row r="6" spans="1:44" x14ac:dyDescent="0.2">
      <c r="A6" s="3">
        <v>5</v>
      </c>
      <c r="B6" s="3" t="s">
        <v>152</v>
      </c>
      <c r="C6" s="3" t="s">
        <v>241</v>
      </c>
      <c r="D6" s="105">
        <v>68</v>
      </c>
      <c r="E6" s="105">
        <v>68</v>
      </c>
      <c r="F6" s="106">
        <v>208</v>
      </c>
      <c r="G6" s="4">
        <v>33897</v>
      </c>
      <c r="H6" s="110">
        <f t="shared" ca="1" si="0"/>
        <v>28.1</v>
      </c>
      <c r="I6" s="3" t="s">
        <v>253</v>
      </c>
      <c r="J6" s="3">
        <v>7</v>
      </c>
      <c r="K6" s="3">
        <v>2014</v>
      </c>
      <c r="L6" s="3">
        <v>23</v>
      </c>
      <c r="M6" s="3" t="s">
        <v>1586</v>
      </c>
      <c r="N6" s="3" t="s">
        <v>5</v>
      </c>
      <c r="O6" s="3" t="s">
        <v>2461</v>
      </c>
      <c r="P6" s="16">
        <v>10047450</v>
      </c>
      <c r="Q6" s="15">
        <f>P6*1.08</f>
        <v>10851246</v>
      </c>
      <c r="R6" s="14">
        <f>Q6*1.5</f>
        <v>16276869</v>
      </c>
      <c r="W6" s="3" t="s">
        <v>2464</v>
      </c>
      <c r="X6" s="107">
        <v>3</v>
      </c>
      <c r="Y6" s="107">
        <v>21</v>
      </c>
      <c r="Z6" s="41">
        <f>8/21</f>
        <v>0.38095238095238093</v>
      </c>
      <c r="AA6" s="110">
        <v>112.3</v>
      </c>
      <c r="AB6" s="110">
        <v>111.6</v>
      </c>
      <c r="AC6" s="110">
        <f t="shared" si="1"/>
        <v>0.70000000000000284</v>
      </c>
      <c r="AD6" s="110">
        <v>29.5</v>
      </c>
      <c r="AE6" s="110">
        <v>12.2</v>
      </c>
      <c r="AF6" s="41">
        <v>0.625</v>
      </c>
      <c r="AG6" s="110">
        <v>13.9</v>
      </c>
      <c r="AH6" s="110">
        <v>0.9</v>
      </c>
      <c r="AI6" s="110">
        <v>0.2</v>
      </c>
      <c r="AJ6" s="41">
        <v>8.6999999999999994E-2</v>
      </c>
      <c r="AK6" s="110">
        <v>-0.4</v>
      </c>
      <c r="AL6" s="110">
        <v>-0.5</v>
      </c>
      <c r="AM6" s="110">
        <v>0.2</v>
      </c>
      <c r="AN6" s="110">
        <v>7.4</v>
      </c>
      <c r="AO6" s="2"/>
      <c r="AP6" s="2"/>
      <c r="AQ6" s="2"/>
      <c r="AR6" s="2"/>
    </row>
    <row r="7" spans="1:44" x14ac:dyDescent="0.2">
      <c r="A7" s="107">
        <v>55</v>
      </c>
      <c r="B7" s="3" t="s">
        <v>94</v>
      </c>
      <c r="C7" s="3" t="s">
        <v>252</v>
      </c>
      <c r="D7" s="105">
        <v>66</v>
      </c>
      <c r="E7" s="105">
        <v>70</v>
      </c>
      <c r="F7" s="106">
        <v>210</v>
      </c>
      <c r="G7" s="4">
        <v>35476</v>
      </c>
      <c r="H7" s="110">
        <f t="shared" ca="1" si="0"/>
        <v>23.7</v>
      </c>
      <c r="I7" s="3" t="s">
        <v>802</v>
      </c>
      <c r="J7" s="3">
        <v>4</v>
      </c>
      <c r="K7" s="107">
        <v>2016</v>
      </c>
      <c r="L7" s="107"/>
      <c r="M7" s="3" t="s">
        <v>2626</v>
      </c>
      <c r="N7" s="3" t="s">
        <v>495</v>
      </c>
      <c r="O7" s="11" t="s">
        <v>2454</v>
      </c>
      <c r="P7" s="57">
        <v>9258000</v>
      </c>
      <c r="Q7" s="55">
        <f>P7*1.05</f>
        <v>9720900</v>
      </c>
      <c r="R7" s="268">
        <f>Q7*1.3</f>
        <v>12637170</v>
      </c>
      <c r="S7" s="238"/>
      <c r="W7" s="3" t="s">
        <v>1180</v>
      </c>
      <c r="X7" s="107">
        <v>3</v>
      </c>
      <c r="Y7" s="107">
        <v>51</v>
      </c>
      <c r="Z7" s="41">
        <f>31/51</f>
        <v>0.60784313725490191</v>
      </c>
      <c r="AA7" s="110">
        <v>109.2</v>
      </c>
      <c r="AB7" s="110">
        <v>110.1</v>
      </c>
      <c r="AC7" s="110">
        <f t="shared" si="1"/>
        <v>-0.89999999999999147</v>
      </c>
      <c r="AD7" s="110">
        <v>24.5</v>
      </c>
      <c r="AE7" s="110">
        <v>14.8</v>
      </c>
      <c r="AF7" s="41">
        <v>0.60899999999999999</v>
      </c>
      <c r="AG7" s="110">
        <v>14.1</v>
      </c>
      <c r="AH7" s="110">
        <v>2.2999999999999998</v>
      </c>
      <c r="AI7" s="110">
        <v>1.6</v>
      </c>
      <c r="AJ7" s="41">
        <v>0.15</v>
      </c>
      <c r="AK7" s="110">
        <v>-0.4</v>
      </c>
      <c r="AL7" s="110">
        <v>1.1000000000000001</v>
      </c>
      <c r="AM7" s="110">
        <v>0.9</v>
      </c>
      <c r="AN7" s="110">
        <v>8.6999999999999993</v>
      </c>
    </row>
    <row r="8" spans="1:44" x14ac:dyDescent="0.2">
      <c r="A8" s="3">
        <v>33</v>
      </c>
      <c r="B8" s="3" t="s">
        <v>1587</v>
      </c>
      <c r="C8" s="3" t="s">
        <v>234</v>
      </c>
      <c r="D8" s="105">
        <v>611</v>
      </c>
      <c r="E8" s="105">
        <v>71</v>
      </c>
      <c r="F8" s="106">
        <v>250</v>
      </c>
      <c r="G8" s="4">
        <v>35753</v>
      </c>
      <c r="H8" s="110">
        <f t="shared" ca="1" si="0"/>
        <v>23</v>
      </c>
      <c r="I8" s="3" t="s">
        <v>973</v>
      </c>
      <c r="J8" s="3">
        <v>4</v>
      </c>
      <c r="K8" s="3">
        <v>2017</v>
      </c>
      <c r="L8" s="3">
        <v>10</v>
      </c>
      <c r="M8" s="3" t="s">
        <v>1588</v>
      </c>
      <c r="N8" s="3" t="s">
        <v>244</v>
      </c>
      <c r="O8" s="3" t="s">
        <v>1921</v>
      </c>
      <c r="P8" s="11">
        <v>5406255</v>
      </c>
      <c r="Q8" s="49">
        <f>P8*3</f>
        <v>16218765</v>
      </c>
      <c r="W8" s="3" t="s">
        <v>2465</v>
      </c>
      <c r="X8" s="107">
        <v>4</v>
      </c>
      <c r="Y8" s="107">
        <v>3</v>
      </c>
      <c r="Z8" s="41">
        <f>2/3</f>
        <v>0.66666666666666663</v>
      </c>
      <c r="AA8" s="110">
        <v>116.3</v>
      </c>
      <c r="AB8" s="110">
        <v>103.2</v>
      </c>
      <c r="AC8" s="110">
        <f t="shared" si="1"/>
        <v>13.099999999999994</v>
      </c>
      <c r="AD8" s="110">
        <v>28.8</v>
      </c>
      <c r="AE8" s="110">
        <v>9</v>
      </c>
      <c r="AF8" s="41">
        <v>0.624</v>
      </c>
      <c r="AG8" s="110">
        <v>13.6</v>
      </c>
      <c r="AH8" s="110">
        <v>0.1</v>
      </c>
      <c r="AI8" s="110">
        <v>0</v>
      </c>
      <c r="AJ8" s="41">
        <v>4.4999999999999998E-2</v>
      </c>
      <c r="AK8" s="110">
        <v>-1.1000000000000001</v>
      </c>
      <c r="AL8" s="110">
        <v>-0.7</v>
      </c>
      <c r="AM8" s="110">
        <v>0</v>
      </c>
      <c r="AN8" s="110">
        <v>5.0999999999999996</v>
      </c>
    </row>
    <row r="9" spans="1:44" x14ac:dyDescent="0.2">
      <c r="A9" s="107">
        <v>11</v>
      </c>
      <c r="B9" s="24" t="s">
        <v>8</v>
      </c>
      <c r="C9" s="3" t="s">
        <v>234</v>
      </c>
      <c r="D9" s="105">
        <v>610</v>
      </c>
      <c r="E9" s="105">
        <v>71</v>
      </c>
      <c r="F9" s="106">
        <v>250</v>
      </c>
      <c r="G9" s="4">
        <v>33744</v>
      </c>
      <c r="H9" s="110">
        <f t="shared" ca="1" si="0"/>
        <v>28.5</v>
      </c>
      <c r="I9" s="3" t="s">
        <v>266</v>
      </c>
      <c r="J9" s="3">
        <v>10</v>
      </c>
      <c r="K9" s="109">
        <v>2011</v>
      </c>
      <c r="L9" s="108">
        <v>3</v>
      </c>
      <c r="M9" s="3" t="s">
        <v>2528</v>
      </c>
      <c r="N9" s="3" t="s">
        <v>2432</v>
      </c>
      <c r="O9" s="3" t="s">
        <v>1882</v>
      </c>
      <c r="P9" s="19">
        <v>5005350</v>
      </c>
      <c r="Q9" s="18">
        <f>P9*1.3</f>
        <v>6506955</v>
      </c>
      <c r="W9" s="5" t="s">
        <v>238</v>
      </c>
      <c r="X9" s="107">
        <v>5</v>
      </c>
      <c r="Y9" s="107">
        <v>51</v>
      </c>
      <c r="Z9" s="41">
        <f>32/51</f>
        <v>0.62745098039215685</v>
      </c>
      <c r="AA9" s="110">
        <v>112</v>
      </c>
      <c r="AB9" s="110">
        <v>103.7</v>
      </c>
      <c r="AC9" s="110">
        <f t="shared" si="1"/>
        <v>8.2999999999999972</v>
      </c>
      <c r="AD9" s="110">
        <v>17.5</v>
      </c>
      <c r="AE9" s="110">
        <v>22</v>
      </c>
      <c r="AF9" s="41">
        <v>0.59399999999999997</v>
      </c>
      <c r="AG9" s="110">
        <v>19.3</v>
      </c>
      <c r="AH9" s="110">
        <v>2.1</v>
      </c>
      <c r="AI9" s="110">
        <v>1.7</v>
      </c>
      <c r="AJ9" s="41">
        <v>0.20699999999999999</v>
      </c>
      <c r="AK9" s="110">
        <v>1.6</v>
      </c>
      <c r="AL9" s="110">
        <v>-0.1</v>
      </c>
      <c r="AM9" s="110">
        <v>0.8</v>
      </c>
      <c r="AN9" s="110">
        <v>15.5</v>
      </c>
    </row>
    <row r="10" spans="1:44" x14ac:dyDescent="0.2">
      <c r="A10" s="3">
        <v>1</v>
      </c>
      <c r="B10" s="3" t="s">
        <v>1589</v>
      </c>
      <c r="C10" s="3" t="s">
        <v>230</v>
      </c>
      <c r="D10" s="105">
        <v>63</v>
      </c>
      <c r="E10" s="105">
        <v>69</v>
      </c>
      <c r="F10" s="106">
        <v>181</v>
      </c>
      <c r="G10" s="4">
        <v>36319</v>
      </c>
      <c r="H10" s="110">
        <f t="shared" ca="1" si="0"/>
        <v>21.4</v>
      </c>
      <c r="I10" s="3" t="s">
        <v>1590</v>
      </c>
      <c r="J10" s="3">
        <v>3</v>
      </c>
      <c r="K10" s="3">
        <v>2018</v>
      </c>
      <c r="L10" s="3">
        <v>24</v>
      </c>
      <c r="M10" s="3" t="s">
        <v>1591</v>
      </c>
      <c r="N10" s="3" t="s">
        <v>244</v>
      </c>
      <c r="O10" s="26" t="s">
        <v>1943</v>
      </c>
      <c r="P10" s="11">
        <v>2252040</v>
      </c>
      <c r="Q10" s="50">
        <v>3938818</v>
      </c>
      <c r="R10" s="49">
        <f>Q10*3</f>
        <v>11816454</v>
      </c>
      <c r="W10" s="3" t="s">
        <v>2466</v>
      </c>
      <c r="X10" s="107">
        <v>1</v>
      </c>
      <c r="Y10" s="107">
        <v>65</v>
      </c>
      <c r="Z10" s="41">
        <f>28/65</f>
        <v>0.43076923076923079</v>
      </c>
      <c r="AA10" s="110">
        <v>105.6</v>
      </c>
      <c r="AB10" s="110">
        <v>114.1</v>
      </c>
      <c r="AC10" s="110">
        <f t="shared" si="1"/>
        <v>-8.5</v>
      </c>
      <c r="AD10" s="110">
        <v>21.5</v>
      </c>
      <c r="AE10" s="110">
        <v>9.3000000000000007</v>
      </c>
      <c r="AF10" s="41">
        <v>0.50600000000000001</v>
      </c>
      <c r="AG10" s="110">
        <v>19</v>
      </c>
      <c r="AH10" s="110">
        <v>0.1</v>
      </c>
      <c r="AI10" s="110">
        <v>0.2</v>
      </c>
      <c r="AJ10" s="41">
        <v>0.01</v>
      </c>
      <c r="AK10" s="110">
        <v>-2.5</v>
      </c>
      <c r="AL10" s="110">
        <v>-1.8</v>
      </c>
      <c r="AM10" s="110">
        <v>-0.8</v>
      </c>
      <c r="AN10" s="110">
        <v>5.7</v>
      </c>
    </row>
    <row r="11" spans="1:44" x14ac:dyDescent="0.2">
      <c r="A11" s="3">
        <v>9</v>
      </c>
      <c r="B11" s="3" t="s">
        <v>1592</v>
      </c>
      <c r="C11" s="3" t="s">
        <v>241</v>
      </c>
      <c r="D11" s="105">
        <v>65</v>
      </c>
      <c r="E11" s="105">
        <v>72</v>
      </c>
      <c r="F11" s="106">
        <v>220</v>
      </c>
      <c r="G11" s="4">
        <v>36567</v>
      </c>
      <c r="H11" s="110">
        <f t="shared" ca="1" si="0"/>
        <v>20.7</v>
      </c>
      <c r="I11" s="3" t="s">
        <v>275</v>
      </c>
      <c r="J11" s="3">
        <v>2</v>
      </c>
      <c r="K11" s="3">
        <v>2019</v>
      </c>
      <c r="L11" s="3">
        <v>25</v>
      </c>
      <c r="M11" s="3" t="s">
        <v>1593</v>
      </c>
      <c r="N11" s="3" t="s">
        <v>244</v>
      </c>
      <c r="O11" s="11" t="s">
        <v>1888</v>
      </c>
      <c r="P11" s="11">
        <v>2210640</v>
      </c>
      <c r="Q11" s="50">
        <v>2316240</v>
      </c>
      <c r="R11" s="50">
        <v>4171548</v>
      </c>
      <c r="S11" s="49">
        <f>R11*3</f>
        <v>12514644</v>
      </c>
      <c r="W11" s="3" t="s">
        <v>2467</v>
      </c>
      <c r="X11" s="107">
        <v>4</v>
      </c>
      <c r="Y11" s="107">
        <v>48</v>
      </c>
      <c r="Z11" s="41">
        <f>22/48</f>
        <v>0.45833333333333331</v>
      </c>
      <c r="AA11" s="110">
        <v>109.5</v>
      </c>
      <c r="AB11" s="110">
        <v>112.7</v>
      </c>
      <c r="AC11" s="110">
        <f t="shared" si="1"/>
        <v>-3.2000000000000028</v>
      </c>
      <c r="AD11" s="110">
        <v>11.9</v>
      </c>
      <c r="AE11" s="110">
        <v>9.6999999999999993</v>
      </c>
      <c r="AF11" s="41">
        <v>0.505</v>
      </c>
      <c r="AG11" s="110">
        <v>13.7</v>
      </c>
      <c r="AH11" s="110">
        <v>0.3</v>
      </c>
      <c r="AI11" s="110">
        <v>0.3</v>
      </c>
      <c r="AJ11" s="41">
        <v>0.05</v>
      </c>
      <c r="AK11" s="110">
        <v>-2.9</v>
      </c>
      <c r="AL11" s="110">
        <v>-0.6</v>
      </c>
      <c r="AM11" s="110">
        <v>-0.2</v>
      </c>
      <c r="AN11" s="110">
        <v>5</v>
      </c>
    </row>
    <row r="12" spans="1:44" x14ac:dyDescent="0.2">
      <c r="A12" s="3">
        <v>2</v>
      </c>
      <c r="B12" s="3" t="s">
        <v>1596</v>
      </c>
      <c r="C12" s="3" t="s">
        <v>252</v>
      </c>
      <c r="D12" s="105">
        <v>65</v>
      </c>
      <c r="E12" s="105">
        <v>69</v>
      </c>
      <c r="F12" s="106">
        <v>209</v>
      </c>
      <c r="G12" s="4">
        <v>36178</v>
      </c>
      <c r="H12" s="110">
        <f t="shared" ca="1" si="0"/>
        <v>21.8</v>
      </c>
      <c r="I12" s="3" t="s">
        <v>253</v>
      </c>
      <c r="J12" s="3">
        <v>3</v>
      </c>
      <c r="K12" s="3">
        <v>2018</v>
      </c>
      <c r="L12" s="3">
        <v>37</v>
      </c>
      <c r="M12" s="3" t="s">
        <v>1597</v>
      </c>
      <c r="N12" s="3" t="s">
        <v>495</v>
      </c>
      <c r="O12" s="3" t="s">
        <v>1955</v>
      </c>
      <c r="P12" s="11">
        <v>1663861</v>
      </c>
      <c r="Q12" s="68">
        <v>2122822</v>
      </c>
      <c r="W12" s="3" t="s">
        <v>2468</v>
      </c>
      <c r="X12" s="107">
        <v>3</v>
      </c>
      <c r="Y12" s="107">
        <v>53</v>
      </c>
      <c r="Z12" s="41">
        <f>23/53</f>
        <v>0.43396226415094341</v>
      </c>
      <c r="AA12" s="110">
        <v>108.8</v>
      </c>
      <c r="AB12" s="110">
        <v>113.2</v>
      </c>
      <c r="AC12" s="110">
        <f t="shared" si="1"/>
        <v>-4.4000000000000057</v>
      </c>
      <c r="AD12" s="110">
        <v>20</v>
      </c>
      <c r="AE12" s="110">
        <v>11.8</v>
      </c>
      <c r="AF12" s="41">
        <v>0.55500000000000005</v>
      </c>
      <c r="AG12" s="110">
        <v>15.4</v>
      </c>
      <c r="AH12" s="110">
        <v>1.2</v>
      </c>
      <c r="AI12" s="110">
        <v>0.4</v>
      </c>
      <c r="AJ12" s="41">
        <v>7.0999999999999994E-2</v>
      </c>
      <c r="AK12" s="110">
        <v>-0.5</v>
      </c>
      <c r="AL12" s="110">
        <v>-0.6</v>
      </c>
      <c r="AM12" s="110">
        <v>0.3</v>
      </c>
      <c r="AN12" s="110">
        <v>6.6</v>
      </c>
    </row>
    <row r="13" spans="1:44" x14ac:dyDescent="0.2">
      <c r="A13" s="107" t="s">
        <v>229</v>
      </c>
      <c r="B13" s="3" t="s">
        <v>155</v>
      </c>
      <c r="C13" s="3" t="s">
        <v>234</v>
      </c>
      <c r="D13" s="105">
        <v>68</v>
      </c>
      <c r="E13" s="105">
        <v>70</v>
      </c>
      <c r="F13" s="106">
        <v>238</v>
      </c>
      <c r="G13" s="4">
        <v>30831</v>
      </c>
      <c r="H13" s="110">
        <f t="shared" ca="1" si="0"/>
        <v>36.4</v>
      </c>
      <c r="I13" s="3" t="s">
        <v>733</v>
      </c>
      <c r="J13" s="3">
        <v>18</v>
      </c>
      <c r="K13" s="3">
        <v>2003</v>
      </c>
      <c r="L13" s="3">
        <v>3</v>
      </c>
      <c r="M13" s="3" t="s">
        <v>1598</v>
      </c>
      <c r="N13" s="3" t="s">
        <v>276</v>
      </c>
      <c r="O13" s="11" t="s">
        <v>2438</v>
      </c>
      <c r="P13" s="11">
        <v>1620564</v>
      </c>
      <c r="Q13" s="14">
        <v>1707576</v>
      </c>
      <c r="W13" s="3" t="s">
        <v>2471</v>
      </c>
      <c r="X13" s="107">
        <v>4</v>
      </c>
      <c r="Y13" s="107">
        <v>50</v>
      </c>
      <c r="Z13" s="41">
        <f>22/50</f>
        <v>0.44</v>
      </c>
      <c r="AA13" s="110">
        <v>112.8</v>
      </c>
      <c r="AB13" s="110">
        <v>112.5</v>
      </c>
      <c r="AC13" s="110">
        <f t="shared" si="1"/>
        <v>0.29999999999999716</v>
      </c>
      <c r="AD13" s="110">
        <v>32.5</v>
      </c>
      <c r="AE13" s="110">
        <v>12.2</v>
      </c>
      <c r="AF13" s="41">
        <v>0.51700000000000002</v>
      </c>
      <c r="AG13" s="110">
        <v>21.6</v>
      </c>
      <c r="AH13" s="110">
        <v>0.1</v>
      </c>
      <c r="AI13" s="110">
        <v>0.9</v>
      </c>
      <c r="AJ13" s="41">
        <v>2.9000000000000001E-2</v>
      </c>
      <c r="AK13" s="110">
        <v>-1.9</v>
      </c>
      <c r="AL13" s="110">
        <v>-1.8</v>
      </c>
      <c r="AM13" s="110">
        <v>-0.7</v>
      </c>
      <c r="AN13" s="110">
        <v>7.8</v>
      </c>
    </row>
    <row r="14" spans="1:44" x14ac:dyDescent="0.2">
      <c r="A14" s="3">
        <v>10</v>
      </c>
      <c r="B14" s="3" t="s">
        <v>162</v>
      </c>
      <c r="C14" s="3" t="s">
        <v>234</v>
      </c>
      <c r="D14" s="105">
        <v>611</v>
      </c>
      <c r="E14" s="105">
        <v>73</v>
      </c>
      <c r="F14" s="106">
        <v>240</v>
      </c>
      <c r="G14" s="4">
        <v>35907</v>
      </c>
      <c r="H14" s="110">
        <f t="shared" ca="1" si="0"/>
        <v>22.5</v>
      </c>
      <c r="I14" s="3" t="s">
        <v>253</v>
      </c>
      <c r="J14" s="3">
        <v>4</v>
      </c>
      <c r="K14" s="3">
        <v>2017</v>
      </c>
      <c r="L14" s="3">
        <v>20</v>
      </c>
      <c r="M14" s="3" t="s">
        <v>2623</v>
      </c>
      <c r="N14" s="3" t="s">
        <v>276</v>
      </c>
      <c r="O14" s="3" t="s">
        <v>2438</v>
      </c>
      <c r="P14" s="11">
        <v>1620564</v>
      </c>
      <c r="Q14" s="14">
        <v>1707576</v>
      </c>
      <c r="R14" s="12"/>
      <c r="S14" s="12"/>
      <c r="T14" s="12"/>
      <c r="X14" s="3" t="s">
        <v>375</v>
      </c>
      <c r="Y14" s="107">
        <v>5</v>
      </c>
      <c r="Z14" s="107">
        <v>38</v>
      </c>
      <c r="AA14" s="41">
        <f>19/38</f>
        <v>0.5</v>
      </c>
      <c r="AB14" s="110">
        <v>106.6</v>
      </c>
      <c r="AC14" s="110">
        <v>114.3</v>
      </c>
      <c r="AD14" s="110">
        <f t="shared" ref="AD14" si="2">AB14-AC14</f>
        <v>-7.7000000000000028</v>
      </c>
      <c r="AE14" s="110">
        <v>15.2</v>
      </c>
      <c r="AF14" s="110">
        <v>16.3</v>
      </c>
      <c r="AG14" s="41">
        <v>0.58599999999999997</v>
      </c>
      <c r="AH14" s="110">
        <v>19.600000000000001</v>
      </c>
      <c r="AI14" s="110">
        <v>0.7</v>
      </c>
      <c r="AJ14" s="110">
        <v>0.7</v>
      </c>
      <c r="AK14" s="41">
        <v>0.12</v>
      </c>
      <c r="AL14" s="110">
        <v>-2.2000000000000002</v>
      </c>
      <c r="AM14" s="110">
        <v>1.1000000000000001</v>
      </c>
      <c r="AN14" s="110">
        <v>0.1</v>
      </c>
      <c r="AO14" s="110">
        <v>10.3</v>
      </c>
    </row>
    <row r="15" spans="1:44" x14ac:dyDescent="0.2">
      <c r="B15" s="3" t="s">
        <v>2353</v>
      </c>
      <c r="C15" s="3" t="s">
        <v>252</v>
      </c>
      <c r="D15" s="105">
        <v>66</v>
      </c>
      <c r="E15" s="105">
        <v>67</v>
      </c>
      <c r="F15" s="106">
        <v>200</v>
      </c>
      <c r="G15" s="4">
        <v>36693</v>
      </c>
      <c r="H15" s="110">
        <f t="shared" ca="1" si="0"/>
        <v>20.399999999999999</v>
      </c>
      <c r="I15" s="3" t="s">
        <v>831</v>
      </c>
      <c r="J15" s="3">
        <v>1</v>
      </c>
      <c r="K15" s="3">
        <v>2020</v>
      </c>
      <c r="L15" s="3">
        <v>46</v>
      </c>
      <c r="M15" s="3" t="s">
        <v>2354</v>
      </c>
      <c r="N15" s="3" t="s">
        <v>276</v>
      </c>
      <c r="O15" s="3" t="s">
        <v>2513</v>
      </c>
      <c r="P15" s="57">
        <v>898310</v>
      </c>
      <c r="Q15" s="57">
        <v>1517981</v>
      </c>
      <c r="R15" s="34"/>
      <c r="X15" s="107"/>
      <c r="Y15" s="107"/>
      <c r="Z15" s="107"/>
      <c r="AA15" s="41"/>
      <c r="AB15" s="110"/>
      <c r="AC15" s="110"/>
      <c r="AD15" s="110"/>
      <c r="AE15" s="110"/>
      <c r="AF15" s="110"/>
      <c r="AG15" s="41"/>
      <c r="AH15" s="110"/>
      <c r="AI15" s="110"/>
      <c r="AJ15" s="110"/>
      <c r="AK15" s="41"/>
      <c r="AL15" s="110"/>
      <c r="AM15" s="110"/>
      <c r="AN15" s="110"/>
      <c r="AO15" s="110"/>
    </row>
    <row r="16" spans="1:44" x14ac:dyDescent="0.2">
      <c r="B16" s="3" t="s">
        <v>2750</v>
      </c>
      <c r="D16" s="105">
        <v>66</v>
      </c>
      <c r="E16" s="105"/>
      <c r="F16" s="106">
        <v>200</v>
      </c>
      <c r="G16" s="4">
        <v>35027</v>
      </c>
      <c r="H16" s="110">
        <f t="shared" ca="1" si="0"/>
        <v>25</v>
      </c>
      <c r="J16" s="3">
        <v>1</v>
      </c>
      <c r="K16" s="3">
        <v>2019</v>
      </c>
      <c r="M16" s="3" t="s">
        <v>2436</v>
      </c>
      <c r="N16" s="3" t="s">
        <v>288</v>
      </c>
      <c r="O16" s="3" t="s">
        <v>2516</v>
      </c>
      <c r="P16" s="57" t="s">
        <v>288</v>
      </c>
      <c r="Q16" s="68"/>
      <c r="R16" s="54"/>
      <c r="X16" s="107"/>
      <c r="Y16" s="107"/>
      <c r="Z16" s="107"/>
      <c r="AA16" s="41"/>
      <c r="AB16" s="110"/>
      <c r="AC16" s="110"/>
      <c r="AD16" s="110"/>
      <c r="AE16" s="110"/>
      <c r="AF16" s="110"/>
      <c r="AG16" s="41"/>
      <c r="AH16" s="110"/>
      <c r="AI16" s="110"/>
      <c r="AJ16" s="110"/>
      <c r="AK16" s="41"/>
      <c r="AL16" s="110"/>
      <c r="AM16" s="110"/>
      <c r="AN16" s="110"/>
      <c r="AO16" s="110"/>
    </row>
    <row r="17" spans="1:40" x14ac:dyDescent="0.2">
      <c r="B17" s="3" t="s">
        <v>290</v>
      </c>
      <c r="D17" s="105"/>
      <c r="F17" s="106"/>
      <c r="H17" s="110"/>
      <c r="P17" s="239">
        <f>2844430+1913345</f>
        <v>4757775</v>
      </c>
      <c r="Q17" s="22">
        <v>2844430</v>
      </c>
      <c r="R17" s="22">
        <v>2844430</v>
      </c>
      <c r="S17" s="22">
        <v>2844430</v>
      </c>
      <c r="X17" s="107"/>
      <c r="Y17" s="107"/>
      <c r="Z17" s="41"/>
      <c r="AA17" s="110"/>
      <c r="AB17" s="110"/>
      <c r="AC17" s="110"/>
      <c r="AD17" s="110"/>
      <c r="AE17" s="110"/>
      <c r="AF17" s="41"/>
      <c r="AG17" s="110"/>
      <c r="AH17" s="110"/>
      <c r="AI17" s="110"/>
      <c r="AJ17" s="41"/>
      <c r="AK17" s="110"/>
      <c r="AL17" s="110"/>
      <c r="AM17" s="110"/>
      <c r="AN17" s="110"/>
    </row>
    <row r="18" spans="1:40" x14ac:dyDescent="0.2">
      <c r="P18" s="11"/>
      <c r="Q18" s="54"/>
      <c r="X18" s="107"/>
      <c r="Y18" s="107"/>
      <c r="AA18" s="110"/>
      <c r="AB18" s="110"/>
      <c r="AC18" s="110"/>
      <c r="AD18" s="110"/>
      <c r="AE18" s="110"/>
      <c r="AF18" s="41"/>
      <c r="AG18" s="110"/>
      <c r="AH18" s="110"/>
      <c r="AI18" s="110"/>
      <c r="AJ18" s="41"/>
      <c r="AK18" s="110"/>
      <c r="AL18" s="110"/>
      <c r="AM18" s="110"/>
      <c r="AN18" s="110"/>
    </row>
    <row r="19" spans="1:40" x14ac:dyDescent="0.2">
      <c r="A19" s="3">
        <v>50</v>
      </c>
      <c r="B19" s="3" t="s">
        <v>1594</v>
      </c>
      <c r="C19" s="3" t="s">
        <v>234</v>
      </c>
      <c r="D19" s="105">
        <v>69</v>
      </c>
      <c r="E19" s="105">
        <v>73</v>
      </c>
      <c r="F19" s="106">
        <v>260</v>
      </c>
      <c r="G19" s="4">
        <v>35538</v>
      </c>
      <c r="H19" s="110">
        <f ca="1">ROUNDDOWN(YEARFRAC($G$22,G19),1)</f>
        <v>23.6</v>
      </c>
      <c r="I19" s="3" t="s">
        <v>382</v>
      </c>
      <c r="J19" s="3">
        <v>4</v>
      </c>
      <c r="K19" s="3">
        <v>2017</v>
      </c>
      <c r="L19" s="3">
        <v>26</v>
      </c>
      <c r="M19" s="3" t="s">
        <v>1584</v>
      </c>
      <c r="P19" s="14">
        <v>3665787</v>
      </c>
      <c r="Q19" s="54"/>
      <c r="W19" s="3" t="s">
        <v>2469</v>
      </c>
      <c r="X19" s="107">
        <v>5</v>
      </c>
      <c r="Y19" s="107">
        <v>20</v>
      </c>
      <c r="Z19" s="41">
        <f>9/20</f>
        <v>0.45</v>
      </c>
      <c r="AA19" s="110">
        <v>110.7</v>
      </c>
      <c r="AB19" s="110">
        <v>115.4</v>
      </c>
      <c r="AC19" s="110">
        <f t="shared" ref="AC19" si="3">AA19-AB19</f>
        <v>-4.7000000000000028</v>
      </c>
      <c r="AD19" s="110">
        <v>13.3</v>
      </c>
      <c r="AE19" s="110">
        <v>8.3000000000000007</v>
      </c>
      <c r="AF19" s="41">
        <v>0.60499999999999998</v>
      </c>
      <c r="AG19" s="110">
        <v>12.9</v>
      </c>
      <c r="AH19" s="110">
        <v>-0.1</v>
      </c>
      <c r="AI19" s="110">
        <v>0.2</v>
      </c>
      <c r="AJ19" s="41">
        <v>2.3E-2</v>
      </c>
      <c r="AK19" s="110">
        <v>-5.5</v>
      </c>
      <c r="AL19" s="110">
        <v>0</v>
      </c>
      <c r="AM19" s="110">
        <v>-0.2</v>
      </c>
      <c r="AN19" s="110">
        <v>6</v>
      </c>
    </row>
    <row r="20" spans="1:40" x14ac:dyDescent="0.2">
      <c r="A20" s="3">
        <v>6</v>
      </c>
      <c r="B20" s="3" t="s">
        <v>1601</v>
      </c>
      <c r="C20" s="3" t="s">
        <v>234</v>
      </c>
      <c r="D20" s="105">
        <v>68</v>
      </c>
      <c r="E20" s="105">
        <v>71</v>
      </c>
      <c r="F20" s="106">
        <v>216</v>
      </c>
      <c r="G20" s="4">
        <v>36249</v>
      </c>
      <c r="H20" s="110">
        <f ca="1">ROUNDDOWN(YEARFRAC($G$22,G20),1)</f>
        <v>21.6</v>
      </c>
      <c r="I20" s="3" t="s">
        <v>231</v>
      </c>
      <c r="J20" s="3">
        <v>2</v>
      </c>
      <c r="K20" s="3">
        <v>2019</v>
      </c>
      <c r="M20" s="3" t="s">
        <v>995</v>
      </c>
      <c r="P20" s="34"/>
      <c r="W20" s="3" t="s">
        <v>2472</v>
      </c>
      <c r="X20" s="107">
        <v>3</v>
      </c>
      <c r="Y20" s="107">
        <v>13</v>
      </c>
      <c r="Z20" s="41">
        <f>7/13</f>
        <v>0.53846153846153844</v>
      </c>
      <c r="AA20" s="110">
        <v>112.1</v>
      </c>
      <c r="AB20" s="110">
        <v>109.1</v>
      </c>
      <c r="AC20" s="110">
        <f t="shared" ref="AC20" si="4">AA20-AB20</f>
        <v>3</v>
      </c>
      <c r="AD20" s="110">
        <v>7.9</v>
      </c>
      <c r="AE20" s="110">
        <v>14.9</v>
      </c>
      <c r="AF20" s="41">
        <v>0.504</v>
      </c>
      <c r="AG20" s="110">
        <v>17.2</v>
      </c>
      <c r="AH20" s="110">
        <v>0.1</v>
      </c>
      <c r="AI20" s="110">
        <v>0.1</v>
      </c>
      <c r="AJ20" s="41">
        <v>9.6000000000000002E-2</v>
      </c>
      <c r="AK20" s="110">
        <v>-0.9</v>
      </c>
      <c r="AL20" s="110">
        <v>-1.1000000000000001</v>
      </c>
      <c r="AM20" s="110">
        <v>0</v>
      </c>
      <c r="AN20" s="110">
        <v>8.8000000000000007</v>
      </c>
    </row>
    <row r="21" spans="1:40" x14ac:dyDescent="0.2">
      <c r="P21" s="11"/>
      <c r="X21" s="107"/>
      <c r="Y21" s="107"/>
      <c r="AA21" s="110"/>
      <c r="AB21" s="110"/>
      <c r="AC21" s="110"/>
      <c r="AD21" s="110"/>
      <c r="AE21" s="110"/>
      <c r="AF21" s="41"/>
      <c r="AG21" s="110"/>
      <c r="AH21" s="110"/>
      <c r="AI21" s="110"/>
      <c r="AJ21" s="41"/>
      <c r="AK21" s="110"/>
      <c r="AL21" s="110"/>
      <c r="AM21" s="110"/>
      <c r="AN21" s="110"/>
    </row>
    <row r="22" spans="1:40" x14ac:dyDescent="0.2">
      <c r="G22" s="4">
        <f ca="1">TODAY()</f>
        <v>44162</v>
      </c>
      <c r="H22" s="36">
        <f ca="1">AVERAGE(H2:H15)</f>
        <v>25.857142857142854</v>
      </c>
      <c r="J22" s="36">
        <f>AVERAGE(J2:J15)</f>
        <v>6.2857142857142856</v>
      </c>
      <c r="X22" s="107"/>
      <c r="Y22" s="107"/>
      <c r="AA22" s="110"/>
      <c r="AB22" s="110"/>
      <c r="AC22" s="110"/>
      <c r="AD22" s="110"/>
      <c r="AE22" s="110"/>
      <c r="AF22" s="41"/>
      <c r="AG22" s="110"/>
      <c r="AH22" s="110"/>
      <c r="AI22" s="110"/>
      <c r="AJ22" s="110"/>
      <c r="AK22" s="110"/>
      <c r="AL22" s="110"/>
      <c r="AM22" s="110"/>
      <c r="AN22" s="110"/>
    </row>
    <row r="23" spans="1:40" x14ac:dyDescent="0.2">
      <c r="H23" s="36">
        <f ca="1">MEDIAN(H2:H15)</f>
        <v>24.95</v>
      </c>
      <c r="J23" s="107">
        <f>MEDIAN(J2:J15)</f>
        <v>5.5</v>
      </c>
      <c r="P23" s="11"/>
      <c r="AA23" s="110"/>
      <c r="AB23" s="110"/>
      <c r="AC23" s="110"/>
      <c r="AD23" s="110"/>
      <c r="AE23" s="110"/>
      <c r="AF23" s="41"/>
      <c r="AG23" s="110"/>
      <c r="AH23" s="110"/>
      <c r="AI23" s="110"/>
      <c r="AJ23" s="110"/>
      <c r="AK23" s="110"/>
      <c r="AL23" s="110"/>
      <c r="AM23" s="110"/>
      <c r="AN23" s="110"/>
    </row>
    <row r="24" spans="1:40" x14ac:dyDescent="0.2">
      <c r="B24" s="197" t="s">
        <v>1985</v>
      </c>
      <c r="P24" s="29">
        <f>SUM(P2:P17)</f>
        <v>130749148</v>
      </c>
      <c r="AF24" s="41"/>
    </row>
    <row r="25" spans="1:40" x14ac:dyDescent="0.2">
      <c r="B25" s="3" t="s">
        <v>1876</v>
      </c>
      <c r="C25" s="3">
        <v>14</v>
      </c>
      <c r="P25" s="29"/>
      <c r="AF25" s="41"/>
    </row>
    <row r="26" spans="1:40" x14ac:dyDescent="0.2">
      <c r="B26" s="3" t="s">
        <v>2457</v>
      </c>
      <c r="C26" s="3">
        <v>0</v>
      </c>
      <c r="I26" s="197"/>
      <c r="O26" s="3" t="s">
        <v>292</v>
      </c>
      <c r="P26" s="22" t="e">
        <f>#REF!</f>
        <v>#REF!</v>
      </c>
      <c r="AF26" s="41"/>
    </row>
    <row r="27" spans="1:40" x14ac:dyDescent="0.2">
      <c r="B27" s="3" t="s">
        <v>2539</v>
      </c>
      <c r="C27" s="3">
        <v>1</v>
      </c>
      <c r="D27" s="4"/>
      <c r="O27" s="3" t="s">
        <v>294</v>
      </c>
      <c r="P27" s="22" t="e">
        <f>#REF!</f>
        <v>#REF!</v>
      </c>
      <c r="AF27" s="41"/>
    </row>
    <row r="28" spans="1:40" x14ac:dyDescent="0.2">
      <c r="B28" s="3" t="s">
        <v>495</v>
      </c>
      <c r="C28" s="11">
        <f>9258000-P7</f>
        <v>0</v>
      </c>
      <c r="D28" s="4"/>
      <c r="O28" s="3" t="s">
        <v>2562</v>
      </c>
      <c r="P28" s="22">
        <v>138928000</v>
      </c>
    </row>
    <row r="29" spans="1:40" x14ac:dyDescent="0.2">
      <c r="B29" s="3" t="s">
        <v>514</v>
      </c>
      <c r="C29" s="11">
        <f>3623000</f>
        <v>3623000</v>
      </c>
      <c r="D29" s="4"/>
      <c r="P29" s="22"/>
    </row>
    <row r="30" spans="1:40" x14ac:dyDescent="0.2">
      <c r="B30" s="3" t="s">
        <v>2534</v>
      </c>
      <c r="C30" s="11">
        <v>2338847</v>
      </c>
      <c r="D30" s="4"/>
      <c r="P30" s="22"/>
    </row>
    <row r="31" spans="1:40" x14ac:dyDescent="0.2">
      <c r="B31" s="3" t="s">
        <v>2535</v>
      </c>
      <c r="C31" s="11">
        <f>7069662-4767000</f>
        <v>2302662</v>
      </c>
      <c r="D31" s="4"/>
      <c r="G31" s="11"/>
      <c r="P31" s="22"/>
    </row>
    <row r="32" spans="1:40" x14ac:dyDescent="0.2">
      <c r="B32" s="3" t="s">
        <v>293</v>
      </c>
      <c r="C32" s="22">
        <v>0</v>
      </c>
    </row>
    <row r="33" spans="2:10" x14ac:dyDescent="0.2">
      <c r="B33" s="3" t="s">
        <v>295</v>
      </c>
      <c r="C33" s="22">
        <v>0</v>
      </c>
    </row>
    <row r="34" spans="2:10" x14ac:dyDescent="0.2">
      <c r="J34" s="22"/>
    </row>
    <row r="35" spans="2:10" x14ac:dyDescent="0.2">
      <c r="B35" s="5" t="s">
        <v>1875</v>
      </c>
      <c r="J35" s="22"/>
    </row>
    <row r="36" spans="2:10" x14ac:dyDescent="0.2">
      <c r="B36" s="3" t="s">
        <v>296</v>
      </c>
      <c r="C36" s="3">
        <f>35/(35+39)</f>
        <v>0.47297297297297297</v>
      </c>
    </row>
    <row r="37" spans="2:10" x14ac:dyDescent="0.2">
      <c r="B37" s="3" t="s">
        <v>298</v>
      </c>
      <c r="C37" s="3">
        <v>113.2</v>
      </c>
      <c r="D37" s="3" t="s">
        <v>1956</v>
      </c>
      <c r="I37" s="5"/>
    </row>
    <row r="38" spans="2:10" x14ac:dyDescent="0.2">
      <c r="B38" s="3" t="s">
        <v>299</v>
      </c>
      <c r="C38" s="3">
        <v>114.3</v>
      </c>
      <c r="D38" s="3" t="s">
        <v>1957</v>
      </c>
    </row>
    <row r="39" spans="2:10" x14ac:dyDescent="0.2">
      <c r="B39" s="3" t="s">
        <v>300</v>
      </c>
      <c r="C39" s="3">
        <f>C37-C38</f>
        <v>-1.0999999999999943</v>
      </c>
      <c r="D39" s="3" t="s">
        <v>1958</v>
      </c>
    </row>
    <row r="40" spans="2:10" x14ac:dyDescent="0.2">
      <c r="B40" s="3" t="s">
        <v>301</v>
      </c>
      <c r="C40" s="3">
        <v>101.17</v>
      </c>
      <c r="D40" s="3" t="s">
        <v>1959</v>
      </c>
    </row>
    <row r="42" spans="2:10" x14ac:dyDescent="0.2">
      <c r="B42" s="3" t="s">
        <v>302</v>
      </c>
    </row>
    <row r="43" spans="2:10" x14ac:dyDescent="0.2">
      <c r="B43" s="3" t="s">
        <v>1603</v>
      </c>
    </row>
    <row r="45" spans="2:10" x14ac:dyDescent="0.2">
      <c r="B45" s="3" t="s">
        <v>310</v>
      </c>
    </row>
    <row r="46" spans="2:10" x14ac:dyDescent="0.2">
      <c r="B46" s="3" t="s">
        <v>2187</v>
      </c>
    </row>
    <row r="47" spans="2:10" x14ac:dyDescent="0.2">
      <c r="B47" s="3" t="s">
        <v>1604</v>
      </c>
    </row>
    <row r="48" spans="2:10" x14ac:dyDescent="0.2">
      <c r="B48" s="3" t="s">
        <v>1605</v>
      </c>
    </row>
    <row r="49" spans="2:10" x14ac:dyDescent="0.2">
      <c r="B49" s="3" t="s">
        <v>1606</v>
      </c>
    </row>
    <row r="50" spans="2:10" x14ac:dyDescent="0.2">
      <c r="B50" s="3" t="s">
        <v>1607</v>
      </c>
    </row>
    <row r="52" spans="2:10" x14ac:dyDescent="0.2">
      <c r="B52" s="40" t="s">
        <v>314</v>
      </c>
      <c r="C52" s="3">
        <v>35</v>
      </c>
      <c r="D52" s="3">
        <v>39</v>
      </c>
      <c r="E52" s="3" t="s">
        <v>720</v>
      </c>
      <c r="G52" s="3" t="s">
        <v>1602</v>
      </c>
      <c r="J52" s="3" t="s">
        <v>2110</v>
      </c>
    </row>
    <row r="53" spans="2:10" x14ac:dyDescent="0.2">
      <c r="B53" s="40" t="s">
        <v>317</v>
      </c>
      <c r="C53" s="3">
        <v>53</v>
      </c>
      <c r="D53" s="3">
        <v>29</v>
      </c>
      <c r="E53" s="3" t="s">
        <v>724</v>
      </c>
      <c r="G53" s="3" t="s">
        <v>1602</v>
      </c>
      <c r="J53" s="3" t="s">
        <v>1608</v>
      </c>
    </row>
    <row r="54" spans="2:10" x14ac:dyDescent="0.2">
      <c r="B54" s="40" t="s">
        <v>319</v>
      </c>
      <c r="C54" s="3">
        <v>49</v>
      </c>
      <c r="D54" s="3">
        <v>33</v>
      </c>
      <c r="E54" s="3" t="s">
        <v>724</v>
      </c>
      <c r="G54" s="3" t="s">
        <v>1602</v>
      </c>
      <c r="J54" s="3" t="s">
        <v>1609</v>
      </c>
    </row>
    <row r="55" spans="2:10" x14ac:dyDescent="0.2">
      <c r="B55" s="40" t="s">
        <v>322</v>
      </c>
      <c r="C55" s="3">
        <v>41</v>
      </c>
      <c r="D55" s="3">
        <v>41</v>
      </c>
      <c r="E55" s="3" t="s">
        <v>720</v>
      </c>
      <c r="G55" s="3" t="s">
        <v>1602</v>
      </c>
      <c r="J55" s="3" t="s">
        <v>1336</v>
      </c>
    </row>
    <row r="56" spans="2:10" x14ac:dyDescent="0.2">
      <c r="B56" s="40" t="s">
        <v>325</v>
      </c>
      <c r="C56" s="3">
        <v>44</v>
      </c>
      <c r="D56" s="3">
        <v>38</v>
      </c>
      <c r="E56" s="3" t="s">
        <v>776</v>
      </c>
      <c r="G56" s="3" t="s">
        <v>1602</v>
      </c>
      <c r="J56" s="3" t="s">
        <v>1610</v>
      </c>
    </row>
    <row r="57" spans="2:10" x14ac:dyDescent="0.2">
      <c r="B57" s="40" t="s">
        <v>328</v>
      </c>
      <c r="C57" s="3">
        <v>51</v>
      </c>
      <c r="D57" s="3">
        <v>31</v>
      </c>
      <c r="E57" s="3" t="s">
        <v>943</v>
      </c>
      <c r="G57" s="3" t="s">
        <v>1602</v>
      </c>
      <c r="J57" s="3" t="s">
        <v>1611</v>
      </c>
    </row>
    <row r="58" spans="2:10" x14ac:dyDescent="0.2">
      <c r="B58" s="40" t="s">
        <v>331</v>
      </c>
      <c r="C58" s="3">
        <v>54</v>
      </c>
      <c r="D58" s="3">
        <v>28</v>
      </c>
      <c r="E58" s="3" t="s">
        <v>776</v>
      </c>
      <c r="G58" s="3" t="s">
        <v>1602</v>
      </c>
      <c r="J58" s="3" t="s">
        <v>1612</v>
      </c>
    </row>
    <row r="59" spans="2:10" x14ac:dyDescent="0.2">
      <c r="B59" s="40" t="s">
        <v>334</v>
      </c>
      <c r="C59" s="3">
        <v>33</v>
      </c>
      <c r="D59" s="3">
        <v>49</v>
      </c>
      <c r="E59" s="3" t="s">
        <v>716</v>
      </c>
      <c r="G59" s="3" t="s">
        <v>1602</v>
      </c>
      <c r="I59" s="38"/>
      <c r="J59" s="38" t="s">
        <v>316</v>
      </c>
    </row>
    <row r="60" spans="2:10" x14ac:dyDescent="0.2">
      <c r="B60" s="40" t="s">
        <v>338</v>
      </c>
      <c r="C60" s="3">
        <v>28</v>
      </c>
      <c r="D60" s="3">
        <v>38</v>
      </c>
      <c r="E60" s="3" t="s">
        <v>716</v>
      </c>
      <c r="G60" s="3" t="s">
        <v>1613</v>
      </c>
      <c r="J60" s="38" t="s">
        <v>316</v>
      </c>
    </row>
    <row r="61" spans="2:10" x14ac:dyDescent="0.2">
      <c r="B61" s="40" t="s">
        <v>340</v>
      </c>
      <c r="C61" s="3">
        <v>48</v>
      </c>
      <c r="D61" s="3">
        <v>34</v>
      </c>
      <c r="E61" s="3" t="s">
        <v>717</v>
      </c>
      <c r="G61" s="3" t="s">
        <v>997</v>
      </c>
      <c r="J61" s="3" t="s">
        <v>1614</v>
      </c>
    </row>
    <row r="62" spans="2:10" x14ac:dyDescent="0.2">
      <c r="B62" s="3" t="s">
        <v>342</v>
      </c>
      <c r="C62" s="3">
        <f>SUM(C52:C61)</f>
        <v>436</v>
      </c>
      <c r="D62" s="3">
        <f>SUM(D52:D61)</f>
        <v>360</v>
      </c>
      <c r="E62" s="41">
        <f>C62/(C62+D62)</f>
        <v>0.54773869346733672</v>
      </c>
    </row>
  </sheetData>
  <hyperlinks>
    <hyperlink ref="B52" r:id="rId1" xr:uid="{0DD52442-BBFE-854C-991B-91169536BB14}"/>
    <hyperlink ref="B53" r:id="rId2" xr:uid="{915666A9-EF83-7B4E-9E28-A67D8922E307}"/>
    <hyperlink ref="B54" r:id="rId3" xr:uid="{81CC84F9-F266-F541-BD95-3A9E30B81C02}"/>
    <hyperlink ref="B55" r:id="rId4" xr:uid="{5BD94FA0-8446-134C-A833-E17C6DB9F323}"/>
    <hyperlink ref="B56" r:id="rId5" xr:uid="{EC632B63-77DC-E04D-9790-3A0AD1EF19F7}"/>
    <hyperlink ref="B57" r:id="rId6" xr:uid="{DB3850AB-BB98-064C-A615-0E1C2F664153}"/>
    <hyperlink ref="B58" r:id="rId7" xr:uid="{A32D12AE-DA14-F04E-BA06-50D379A33B8B}"/>
    <hyperlink ref="B59" r:id="rId8" xr:uid="{DB4DAF8E-E2DF-F14E-B1CC-5A88F17C121A}"/>
    <hyperlink ref="B60" r:id="rId9" xr:uid="{F5503ADC-0071-914C-8B42-FF02B81AC08B}"/>
    <hyperlink ref="B61" r:id="rId10" xr:uid="{95EFB10B-9962-9243-85AD-78AC71D04491}"/>
  </hyperlinks>
  <pageMargins left="0.7" right="0.7" top="0.75" bottom="0.75" header="0.3" footer="0.3"/>
  <ignoredErrors>
    <ignoredError sqref="A13" numberStoredAsText="1"/>
  </ignoredErrors>
  <legacyDrawing r:id="rId1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D3DF-BC5D-EB45-BB2A-DF66531E51AC}">
  <dimension ref="A1:AU61"/>
  <sheetViews>
    <sheetView zoomScaleNormal="100" workbookViewId="0"/>
  </sheetViews>
  <sheetFormatPr baseColWidth="10" defaultColWidth="10.83203125" defaultRowHeight="16" x14ac:dyDescent="0.2"/>
  <cols>
    <col min="1" max="1" width="5" style="59" customWidth="1"/>
    <col min="2" max="2" width="18.83203125" style="59" customWidth="1"/>
    <col min="3" max="3" width="10.83203125" style="59" customWidth="1"/>
    <col min="4" max="4" width="7.5" style="59" customWidth="1"/>
    <col min="5" max="5" width="10.83203125" style="59"/>
    <col min="6" max="6" width="8.5" style="59" customWidth="1"/>
    <col min="7" max="7" width="10.5" style="59" customWidth="1"/>
    <col min="8" max="8" width="5.5" style="59" customWidth="1"/>
    <col min="9" max="9" width="17.83203125" style="59" customWidth="1"/>
    <col min="10" max="10" width="11.5" style="59" customWidth="1"/>
    <col min="11" max="11" width="12" style="59" customWidth="1"/>
    <col min="12" max="12" width="5.1640625" style="59" customWidth="1"/>
    <col min="13" max="13" width="28.33203125" style="59" customWidth="1"/>
    <col min="14" max="14" width="22.6640625" style="59" bestFit="1" customWidth="1"/>
    <col min="15" max="15" width="76.5" style="59" bestFit="1" customWidth="1"/>
    <col min="16" max="16" width="13.33203125" style="59" bestFit="1" customWidth="1"/>
    <col min="17" max="17" width="12.5" style="59" bestFit="1" customWidth="1"/>
    <col min="18" max="18" width="12.1640625" style="59" customWidth="1"/>
    <col min="19" max="20" width="14.33203125" style="59" bestFit="1" customWidth="1"/>
    <col min="21" max="21" width="11.33203125" style="59" customWidth="1"/>
    <col min="22" max="22" width="10.6640625" style="59" customWidth="1"/>
    <col min="23" max="23" width="165" style="59" customWidth="1"/>
    <col min="24" max="24" width="31.6640625" style="59" customWidth="1"/>
    <col min="25" max="25" width="9.83203125" style="59" customWidth="1"/>
    <col min="26" max="26" width="3.33203125" style="59" customWidth="1"/>
    <col min="27" max="27" width="7.83203125" style="59" customWidth="1"/>
    <col min="28" max="28" width="5.6640625" style="59" customWidth="1"/>
    <col min="29" max="29" width="5.83203125" style="59" customWidth="1"/>
    <col min="30" max="30" width="7.1640625" style="59" customWidth="1"/>
    <col min="31" max="31" width="5" style="59" customWidth="1"/>
    <col min="32" max="32" width="4.6640625" style="59" customWidth="1"/>
    <col min="33" max="33" width="6" style="59" customWidth="1"/>
    <col min="34" max="34" width="7.5" style="59" customWidth="1"/>
    <col min="35" max="35" width="5.1640625" style="59" customWidth="1"/>
    <col min="36" max="36" width="5" style="59" customWidth="1"/>
    <col min="37" max="37" width="6.5" style="59" customWidth="1"/>
    <col min="38" max="39" width="6" style="59" customWidth="1"/>
    <col min="40" max="40" width="5.5" style="59" customWidth="1"/>
    <col min="41" max="41" width="5" style="59" customWidth="1"/>
    <col min="42" max="16384" width="10.83203125" style="59"/>
  </cols>
  <sheetData>
    <row r="1" spans="1:47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2441</v>
      </c>
      <c r="W1" s="169" t="s">
        <v>2146</v>
      </c>
      <c r="X1" s="169" t="s">
        <v>2147</v>
      </c>
      <c r="Y1" s="169" t="s">
        <v>2127</v>
      </c>
      <c r="Z1" s="169" t="s">
        <v>2148</v>
      </c>
      <c r="AA1" s="169" t="s">
        <v>2149</v>
      </c>
      <c r="AB1" s="169" t="s">
        <v>2150</v>
      </c>
      <c r="AC1" s="169" t="s">
        <v>2151</v>
      </c>
      <c r="AD1" s="169" t="s">
        <v>2152</v>
      </c>
      <c r="AE1" s="169" t="s">
        <v>2153</v>
      </c>
      <c r="AF1" s="169" t="s">
        <v>2154</v>
      </c>
      <c r="AG1" s="169" t="s">
        <v>2155</v>
      </c>
      <c r="AH1" s="169" t="s">
        <v>2156</v>
      </c>
      <c r="AI1" s="169" t="s">
        <v>2157</v>
      </c>
      <c r="AJ1" s="169" t="s">
        <v>2158</v>
      </c>
      <c r="AK1" s="169" t="s">
        <v>2159</v>
      </c>
      <c r="AL1" s="169" t="s">
        <v>2160</v>
      </c>
      <c r="AM1" s="169" t="s">
        <v>2161</v>
      </c>
      <c r="AN1" s="169" t="s">
        <v>2162</v>
      </c>
      <c r="AO1" s="169" t="s">
        <v>2163</v>
      </c>
      <c r="AP1" s="3"/>
      <c r="AQ1" s="82"/>
    </row>
    <row r="2" spans="1:47" x14ac:dyDescent="0.2">
      <c r="A2" s="3">
        <v>24</v>
      </c>
      <c r="B2" s="3" t="s">
        <v>214</v>
      </c>
      <c r="C2" s="3" t="s">
        <v>2697</v>
      </c>
      <c r="D2" s="105">
        <v>64</v>
      </c>
      <c r="E2" s="105">
        <v>69</v>
      </c>
      <c r="F2" s="106">
        <v>220</v>
      </c>
      <c r="G2" s="4">
        <v>33955</v>
      </c>
      <c r="H2" s="110">
        <f t="shared" ref="H2:H16" ca="1" si="0">ROUNDDOWN(YEARFRAC($G$23,G2),1)</f>
        <v>27.9</v>
      </c>
      <c r="I2" s="3" t="s">
        <v>248</v>
      </c>
      <c r="J2" s="3">
        <v>5</v>
      </c>
      <c r="K2" s="3">
        <v>2016</v>
      </c>
      <c r="L2" s="3">
        <v>6</v>
      </c>
      <c r="M2" s="3" t="s">
        <v>1634</v>
      </c>
      <c r="N2" s="3" t="s">
        <v>1</v>
      </c>
      <c r="O2" s="3" t="s">
        <v>2731</v>
      </c>
      <c r="P2" s="11">
        <v>24931817</v>
      </c>
      <c r="Q2" s="11">
        <v>22977272</v>
      </c>
      <c r="R2" s="11">
        <v>21022728</v>
      </c>
      <c r="S2" s="11">
        <v>19068183</v>
      </c>
      <c r="T2" s="14">
        <f>S2*1.5</f>
        <v>28602274.5</v>
      </c>
      <c r="U2" s="3"/>
      <c r="V2" s="3"/>
      <c r="W2" s="3" t="s">
        <v>2732</v>
      </c>
      <c r="X2" s="3" t="s">
        <v>1635</v>
      </c>
      <c r="Y2" s="107">
        <v>2</v>
      </c>
      <c r="Z2" s="107">
        <v>64</v>
      </c>
      <c r="AA2" s="41">
        <f>28/64</f>
        <v>0.4375</v>
      </c>
      <c r="AB2" s="110">
        <v>109</v>
      </c>
      <c r="AC2" s="110">
        <v>111</v>
      </c>
      <c r="AD2" s="110">
        <f t="shared" ref="AD2:AD16" si="1">AB2-AC2</f>
        <v>-2</v>
      </c>
      <c r="AE2" s="110">
        <v>32</v>
      </c>
      <c r="AF2" s="110">
        <v>16.3</v>
      </c>
      <c r="AG2" s="41">
        <v>0.56599999999999995</v>
      </c>
      <c r="AH2" s="110">
        <v>27.1</v>
      </c>
      <c r="AI2" s="110">
        <v>1.6</v>
      </c>
      <c r="AJ2" s="110">
        <v>1.5</v>
      </c>
      <c r="AK2" s="41">
        <v>7.3999999999999996E-2</v>
      </c>
      <c r="AL2" s="110">
        <v>2.6</v>
      </c>
      <c r="AM2" s="110">
        <v>-1.3</v>
      </c>
      <c r="AN2" s="110">
        <v>1.7</v>
      </c>
      <c r="AO2" s="110">
        <v>10.6</v>
      </c>
    </row>
    <row r="3" spans="1:47" x14ac:dyDescent="0.2">
      <c r="A3" s="3">
        <v>40</v>
      </c>
      <c r="B3" s="3" t="s">
        <v>1615</v>
      </c>
      <c r="C3" s="3" t="s">
        <v>2701</v>
      </c>
      <c r="D3" s="105">
        <v>68</v>
      </c>
      <c r="E3" s="105">
        <v>611</v>
      </c>
      <c r="F3" s="106">
        <v>225</v>
      </c>
      <c r="G3" s="4">
        <v>33754</v>
      </c>
      <c r="H3" s="110">
        <f t="shared" ca="1" si="0"/>
        <v>28.4</v>
      </c>
      <c r="I3" s="3" t="s">
        <v>275</v>
      </c>
      <c r="J3" s="3">
        <v>9</v>
      </c>
      <c r="K3" s="3">
        <v>2012</v>
      </c>
      <c r="L3" s="3">
        <v>7</v>
      </c>
      <c r="M3" s="3" t="s">
        <v>1616</v>
      </c>
      <c r="N3" s="3" t="s">
        <v>1</v>
      </c>
      <c r="O3" s="3" t="s">
        <v>1879</v>
      </c>
      <c r="P3" s="11">
        <v>22215909</v>
      </c>
      <c r="Q3" s="11">
        <v>20284091</v>
      </c>
      <c r="R3" s="11">
        <v>18352273</v>
      </c>
      <c r="S3" s="14">
        <f>R3*1.5</f>
        <v>27528409.5</v>
      </c>
      <c r="T3" s="3"/>
      <c r="U3" s="3"/>
      <c r="V3" s="3"/>
      <c r="W3" s="3"/>
      <c r="X3" s="3" t="s">
        <v>1617</v>
      </c>
      <c r="Y3" s="107">
        <v>4</v>
      </c>
      <c r="Z3" s="107">
        <v>64</v>
      </c>
      <c r="AA3" s="41">
        <f>28/64</f>
        <v>0.4375</v>
      </c>
      <c r="AB3" s="110">
        <v>109.1</v>
      </c>
      <c r="AC3" s="110">
        <v>110.3</v>
      </c>
      <c r="AD3" s="110">
        <f t="shared" si="1"/>
        <v>-1.2000000000000028</v>
      </c>
      <c r="AE3" s="110">
        <v>34.9</v>
      </c>
      <c r="AF3" s="110">
        <v>13.3</v>
      </c>
      <c r="AG3" s="41">
        <v>0.57499999999999996</v>
      </c>
      <c r="AH3" s="110">
        <v>17.600000000000001</v>
      </c>
      <c r="AI3" s="110">
        <v>3.1</v>
      </c>
      <c r="AJ3" s="110">
        <v>1.1000000000000001</v>
      </c>
      <c r="AK3" s="41">
        <v>9.0999999999999998E-2</v>
      </c>
      <c r="AL3" s="110">
        <v>0</v>
      </c>
      <c r="AM3" s="110">
        <v>-1.2</v>
      </c>
      <c r="AN3" s="110">
        <v>0.5</v>
      </c>
      <c r="AO3" s="110">
        <v>9</v>
      </c>
    </row>
    <row r="4" spans="1:47" x14ac:dyDescent="0.2">
      <c r="A4" s="3">
        <v>9</v>
      </c>
      <c r="B4" s="3" t="s">
        <v>1621</v>
      </c>
      <c r="C4" s="3" t="s">
        <v>2700</v>
      </c>
      <c r="D4" s="105">
        <v>63</v>
      </c>
      <c r="E4" s="105">
        <v>66</v>
      </c>
      <c r="F4" s="106">
        <v>200</v>
      </c>
      <c r="G4" s="4">
        <v>33470</v>
      </c>
      <c r="H4" s="110">
        <f t="shared" ca="1" si="0"/>
        <v>29.2</v>
      </c>
      <c r="I4" s="3" t="s">
        <v>406</v>
      </c>
      <c r="J4" s="3">
        <v>10</v>
      </c>
      <c r="K4" s="3">
        <v>2011</v>
      </c>
      <c r="L4" s="3">
        <v>29</v>
      </c>
      <c r="M4" s="3" t="s">
        <v>1622</v>
      </c>
      <c r="N4" s="3" t="s">
        <v>279</v>
      </c>
      <c r="O4" s="3" t="s">
        <v>1880</v>
      </c>
      <c r="P4" s="11">
        <v>12600000</v>
      </c>
      <c r="Q4" s="15">
        <v>12600000</v>
      </c>
      <c r="R4" s="14">
        <f>Q4*1.5</f>
        <v>18900000</v>
      </c>
      <c r="S4" s="3"/>
      <c r="T4" s="3"/>
      <c r="U4" s="3"/>
      <c r="V4" s="3"/>
      <c r="W4" s="3"/>
      <c r="X4" s="3" t="s">
        <v>1623</v>
      </c>
      <c r="Y4" s="107">
        <v>1</v>
      </c>
      <c r="Z4" s="107">
        <v>64</v>
      </c>
      <c r="AA4" s="41">
        <f>28/64</f>
        <v>0.4375</v>
      </c>
      <c r="AB4" s="110">
        <v>107.2</v>
      </c>
      <c r="AC4" s="110">
        <v>107.6</v>
      </c>
      <c r="AD4" s="110">
        <f t="shared" si="1"/>
        <v>-0.39999999999999147</v>
      </c>
      <c r="AE4" s="110">
        <v>24</v>
      </c>
      <c r="AF4" s="110">
        <v>10.3</v>
      </c>
      <c r="AG4" s="41">
        <v>0.51300000000000001</v>
      </c>
      <c r="AH4" s="110">
        <v>13</v>
      </c>
      <c r="AI4" s="110">
        <v>1.1000000000000001</v>
      </c>
      <c r="AJ4" s="110">
        <v>1</v>
      </c>
      <c r="AK4" s="41">
        <v>6.7000000000000004E-2</v>
      </c>
      <c r="AL4" s="110">
        <v>-2.1</v>
      </c>
      <c r="AM4" s="110">
        <v>0.3</v>
      </c>
      <c r="AN4" s="110">
        <v>0.1</v>
      </c>
      <c r="AO4" s="110">
        <v>7</v>
      </c>
    </row>
    <row r="5" spans="1:47" x14ac:dyDescent="0.2">
      <c r="A5" s="3">
        <v>35</v>
      </c>
      <c r="B5" s="3" t="s">
        <v>1624</v>
      </c>
      <c r="C5" s="3" t="s">
        <v>2706</v>
      </c>
      <c r="D5" s="105">
        <v>611</v>
      </c>
      <c r="E5" s="105">
        <v>71</v>
      </c>
      <c r="F5" s="106">
        <v>235</v>
      </c>
      <c r="G5" s="4">
        <v>36233</v>
      </c>
      <c r="H5" s="110">
        <f t="shared" ca="1" si="0"/>
        <v>21.7</v>
      </c>
      <c r="I5" s="3" t="s">
        <v>253</v>
      </c>
      <c r="J5" s="3">
        <v>3</v>
      </c>
      <c r="K5" s="3">
        <v>2018</v>
      </c>
      <c r="L5" s="3">
        <v>2</v>
      </c>
      <c r="M5" s="3" t="s">
        <v>1625</v>
      </c>
      <c r="N5" s="3" t="s">
        <v>244</v>
      </c>
      <c r="O5" s="3" t="s">
        <v>1881</v>
      </c>
      <c r="P5" s="11">
        <v>8963640</v>
      </c>
      <c r="Q5" s="50">
        <v>11312114</v>
      </c>
      <c r="R5" s="49">
        <f>Q5*2.5</f>
        <v>28280285</v>
      </c>
      <c r="S5" s="12"/>
      <c r="T5" s="12"/>
      <c r="U5" s="3"/>
      <c r="V5" s="3"/>
      <c r="W5" s="3"/>
      <c r="X5" s="3" t="s">
        <v>1626</v>
      </c>
      <c r="Y5" s="107">
        <v>5</v>
      </c>
      <c r="Z5" s="107">
        <v>13</v>
      </c>
      <c r="AA5" s="41">
        <f>2/13</f>
        <v>0.15384615384615385</v>
      </c>
      <c r="AB5" s="110">
        <v>102</v>
      </c>
      <c r="AC5" s="110">
        <v>114.6</v>
      </c>
      <c r="AD5" s="110">
        <f t="shared" si="1"/>
        <v>-12.599999999999994</v>
      </c>
      <c r="AE5" s="110">
        <v>25.7</v>
      </c>
      <c r="AF5" s="110">
        <v>15.7</v>
      </c>
      <c r="AG5" s="41">
        <v>0.51200000000000001</v>
      </c>
      <c r="AH5" s="110">
        <v>25.9</v>
      </c>
      <c r="AI5" s="110">
        <v>0</v>
      </c>
      <c r="AJ5" s="110">
        <v>0.4</v>
      </c>
      <c r="AK5" s="41">
        <v>5.5E-2</v>
      </c>
      <c r="AL5" s="110">
        <v>-2.1</v>
      </c>
      <c r="AM5" s="110">
        <v>-1.3</v>
      </c>
      <c r="AN5" s="110">
        <v>-0.1</v>
      </c>
      <c r="AO5" s="110">
        <v>9.6999999999999993</v>
      </c>
    </row>
    <row r="6" spans="1:47" x14ac:dyDescent="0.2">
      <c r="A6" s="3">
        <v>5</v>
      </c>
      <c r="B6" s="3" t="s">
        <v>1631</v>
      </c>
      <c r="C6" s="3" t="s">
        <v>2702</v>
      </c>
      <c r="D6" s="105">
        <v>63</v>
      </c>
      <c r="E6" s="105">
        <v>67</v>
      </c>
      <c r="F6" s="106">
        <v>185</v>
      </c>
      <c r="G6" s="4">
        <v>35784</v>
      </c>
      <c r="H6" s="110">
        <f t="shared" ca="1" si="0"/>
        <v>22.9</v>
      </c>
      <c r="I6" s="3" t="s">
        <v>266</v>
      </c>
      <c r="J6" s="3">
        <v>4</v>
      </c>
      <c r="K6" s="3">
        <v>2017</v>
      </c>
      <c r="L6" s="3">
        <v>5</v>
      </c>
      <c r="M6" s="3" t="s">
        <v>1632</v>
      </c>
      <c r="N6" s="3" t="s">
        <v>2443</v>
      </c>
      <c r="O6" s="3" t="s">
        <v>2442</v>
      </c>
      <c r="P6" s="11">
        <v>8099627</v>
      </c>
      <c r="Q6" s="57">
        <f>(109140000*1.03)*0.25</f>
        <v>28103550</v>
      </c>
      <c r="R6" s="57">
        <f>Q6+($Q$6*0.08)</f>
        <v>30351834</v>
      </c>
      <c r="S6" s="57">
        <f t="shared" ref="S6:U6" si="2">R6+($Q$6*0.08)</f>
        <v>32600118</v>
      </c>
      <c r="T6" s="57">
        <f t="shared" si="2"/>
        <v>34848402</v>
      </c>
      <c r="U6" s="57">
        <f t="shared" si="2"/>
        <v>37096686</v>
      </c>
      <c r="V6" s="51"/>
      <c r="W6" s="3" t="s">
        <v>2447</v>
      </c>
      <c r="X6" s="3" t="s">
        <v>1633</v>
      </c>
      <c r="Y6" s="107">
        <v>1</v>
      </c>
      <c r="Z6" s="107">
        <v>45</v>
      </c>
      <c r="AA6" s="41">
        <f>19/45</f>
        <v>0.42222222222222222</v>
      </c>
      <c r="AB6" s="110">
        <v>110.8</v>
      </c>
      <c r="AC6" s="110">
        <v>113.7</v>
      </c>
      <c r="AD6" s="110">
        <f t="shared" si="1"/>
        <v>-2.9000000000000057</v>
      </c>
      <c r="AE6" s="110">
        <v>31.7</v>
      </c>
      <c r="AF6" s="110">
        <v>20.3</v>
      </c>
      <c r="AG6" s="41">
        <v>0.55600000000000005</v>
      </c>
      <c r="AH6" s="110">
        <v>29.6</v>
      </c>
      <c r="AI6" s="110">
        <v>2.1</v>
      </c>
      <c r="AJ6" s="110">
        <v>1.3</v>
      </c>
      <c r="AK6" s="41">
        <v>0.11700000000000001</v>
      </c>
      <c r="AL6" s="110">
        <v>2.1</v>
      </c>
      <c r="AM6" s="110">
        <v>-0.3</v>
      </c>
      <c r="AN6" s="110">
        <v>1.4</v>
      </c>
      <c r="AO6" s="110">
        <v>12.3</v>
      </c>
    </row>
    <row r="7" spans="1:47" x14ac:dyDescent="0.2">
      <c r="A7" s="3">
        <v>88</v>
      </c>
      <c r="B7" s="3" t="s">
        <v>158</v>
      </c>
      <c r="C7" s="3" t="s">
        <v>2696</v>
      </c>
      <c r="D7" s="105">
        <v>610</v>
      </c>
      <c r="E7" s="105">
        <v>70</v>
      </c>
      <c r="F7" s="106">
        <v>234</v>
      </c>
      <c r="G7" s="4">
        <v>32272</v>
      </c>
      <c r="H7" s="110">
        <f t="shared" ca="1" si="0"/>
        <v>32.5</v>
      </c>
      <c r="I7" s="3" t="s">
        <v>379</v>
      </c>
      <c r="J7" s="3">
        <v>6</v>
      </c>
      <c r="K7" s="3">
        <v>2010</v>
      </c>
      <c r="L7" s="3">
        <v>35</v>
      </c>
      <c r="M7" s="3" t="s">
        <v>1628</v>
      </c>
      <c r="N7" s="3" t="s">
        <v>279</v>
      </c>
      <c r="O7" s="3" t="s">
        <v>2420</v>
      </c>
      <c r="P7" s="16">
        <v>7150000</v>
      </c>
      <c r="Q7" s="14">
        <f>P7*1.9</f>
        <v>13585000</v>
      </c>
      <c r="R7" s="12"/>
      <c r="S7" s="12"/>
      <c r="T7" s="12"/>
      <c r="U7" s="3"/>
      <c r="V7" s="3"/>
      <c r="W7" s="3"/>
      <c r="X7" s="3" t="s">
        <v>1629</v>
      </c>
      <c r="Y7" s="107">
        <v>4</v>
      </c>
      <c r="Z7" s="107">
        <v>64</v>
      </c>
      <c r="AA7" s="41">
        <f>28/64</f>
        <v>0.4375</v>
      </c>
      <c r="AB7" s="110">
        <v>109.4</v>
      </c>
      <c r="AC7" s="110">
        <v>111.6</v>
      </c>
      <c r="AD7" s="110">
        <f t="shared" si="1"/>
        <v>-2.1999999999999886</v>
      </c>
      <c r="AE7" s="110">
        <v>28.5</v>
      </c>
      <c r="AF7" s="110">
        <v>15.6</v>
      </c>
      <c r="AG7" s="41">
        <v>0.59699999999999998</v>
      </c>
      <c r="AH7" s="110">
        <v>17.399999999999999</v>
      </c>
      <c r="AI7" s="110">
        <v>3</v>
      </c>
      <c r="AJ7" s="110">
        <v>1.7</v>
      </c>
      <c r="AK7" s="41">
        <v>0.125</v>
      </c>
      <c r="AL7" s="110">
        <v>1.2</v>
      </c>
      <c r="AM7" s="110">
        <v>0.4</v>
      </c>
      <c r="AN7" s="110">
        <v>1.7</v>
      </c>
      <c r="AO7" s="110">
        <v>10.1</v>
      </c>
    </row>
    <row r="8" spans="1:47" x14ac:dyDescent="0.2">
      <c r="A8" s="3">
        <v>33</v>
      </c>
      <c r="B8" s="3" t="s">
        <v>159</v>
      </c>
      <c r="C8" s="3" t="s">
        <v>2705</v>
      </c>
      <c r="D8" s="105">
        <v>68</v>
      </c>
      <c r="E8" s="105">
        <v>70</v>
      </c>
      <c r="F8" s="106">
        <v>245</v>
      </c>
      <c r="G8" s="4">
        <v>34773</v>
      </c>
      <c r="H8" s="110">
        <f t="shared" ca="1" si="0"/>
        <v>25.7</v>
      </c>
      <c r="I8" s="3" t="s">
        <v>253</v>
      </c>
      <c r="J8" s="3">
        <v>5</v>
      </c>
      <c r="K8" s="3">
        <v>2014</v>
      </c>
      <c r="L8" s="3">
        <v>2</v>
      </c>
      <c r="M8" s="3" t="s">
        <v>1630</v>
      </c>
      <c r="N8" s="3" t="s">
        <v>1619</v>
      </c>
      <c r="O8" s="3" t="s">
        <v>2211</v>
      </c>
      <c r="P8" s="16">
        <v>6500000</v>
      </c>
      <c r="Q8" s="14">
        <f>P8*1.3</f>
        <v>8450000</v>
      </c>
      <c r="R8" s="3"/>
      <c r="S8" s="12"/>
      <c r="T8" s="3"/>
      <c r="U8" s="3"/>
      <c r="V8" s="3"/>
      <c r="W8" s="3"/>
      <c r="X8" s="3" t="s">
        <v>355</v>
      </c>
      <c r="Y8" s="107">
        <v>4</v>
      </c>
      <c r="Z8" s="107">
        <v>32</v>
      </c>
      <c r="AA8" s="41">
        <f>6/32</f>
        <v>0.1875</v>
      </c>
      <c r="AB8" s="110">
        <v>108.9</v>
      </c>
      <c r="AC8" s="110">
        <v>116.5</v>
      </c>
      <c r="AD8" s="110">
        <f t="shared" si="1"/>
        <v>-7.5999999999999943</v>
      </c>
      <c r="AE8" s="110">
        <v>26.2</v>
      </c>
      <c r="AF8" s="110">
        <v>17.2</v>
      </c>
      <c r="AG8" s="41">
        <v>0.56499999999999995</v>
      </c>
      <c r="AH8" s="110">
        <v>24</v>
      </c>
      <c r="AI8" s="110">
        <v>0.5</v>
      </c>
      <c r="AJ8" s="110">
        <v>0.7</v>
      </c>
      <c r="AK8" s="41">
        <v>6.9000000000000006E-2</v>
      </c>
      <c r="AL8" s="110">
        <v>0.4</v>
      </c>
      <c r="AM8" s="110">
        <v>-0.3</v>
      </c>
      <c r="AN8" s="110">
        <v>0.4</v>
      </c>
      <c r="AO8" s="110">
        <v>10.8</v>
      </c>
    </row>
    <row r="9" spans="1:47" x14ac:dyDescent="0.2">
      <c r="A9" s="3">
        <v>22</v>
      </c>
      <c r="B9" s="3" t="s">
        <v>1636</v>
      </c>
      <c r="C9" s="3" t="s">
        <v>2698</v>
      </c>
      <c r="D9" s="105">
        <v>610</v>
      </c>
      <c r="E9" s="105">
        <v>72</v>
      </c>
      <c r="F9" s="106">
        <v>235</v>
      </c>
      <c r="G9" s="4">
        <v>34257</v>
      </c>
      <c r="H9" s="110">
        <f t="shared" ca="1" si="0"/>
        <v>27.1</v>
      </c>
      <c r="I9" s="3" t="s">
        <v>1637</v>
      </c>
      <c r="J9" s="3">
        <v>4</v>
      </c>
      <c r="K9" s="3">
        <v>2015</v>
      </c>
      <c r="L9" s="3">
        <v>37</v>
      </c>
      <c r="M9" s="3" t="s">
        <v>1638</v>
      </c>
      <c r="N9" s="3" t="s">
        <v>291</v>
      </c>
      <c r="O9" s="26" t="s">
        <v>1882</v>
      </c>
      <c r="P9" s="11">
        <v>5005350</v>
      </c>
      <c r="Q9" s="14">
        <f>P9*1.3</f>
        <v>6506955</v>
      </c>
      <c r="R9" s="12"/>
      <c r="S9" s="12"/>
      <c r="T9" s="12"/>
      <c r="U9" s="3"/>
      <c r="V9" s="3"/>
      <c r="W9" s="3"/>
      <c r="X9" s="5" t="s">
        <v>238</v>
      </c>
      <c r="Y9" s="107">
        <v>5</v>
      </c>
      <c r="Z9" s="107">
        <v>39</v>
      </c>
      <c r="AA9" s="41">
        <f>15/39</f>
        <v>0.38461538461538464</v>
      </c>
      <c r="AB9" s="110">
        <v>110.3</v>
      </c>
      <c r="AC9" s="110">
        <v>108.8</v>
      </c>
      <c r="AD9" s="110">
        <f t="shared" si="1"/>
        <v>1.5</v>
      </c>
      <c r="AE9" s="110">
        <v>28.9</v>
      </c>
      <c r="AF9" s="110">
        <v>20.5</v>
      </c>
      <c r="AG9" s="41">
        <v>0.68500000000000005</v>
      </c>
      <c r="AH9" s="110">
        <v>16</v>
      </c>
      <c r="AI9" s="110">
        <v>3.2</v>
      </c>
      <c r="AJ9" s="110">
        <v>1.5</v>
      </c>
      <c r="AK9" s="41">
        <v>0.19800000000000001</v>
      </c>
      <c r="AL9" s="110">
        <v>0.6</v>
      </c>
      <c r="AM9" s="110">
        <v>0.9</v>
      </c>
      <c r="AN9" s="110">
        <v>1</v>
      </c>
      <c r="AO9" s="110">
        <v>12</v>
      </c>
    </row>
    <row r="10" spans="1:47" x14ac:dyDescent="0.2">
      <c r="A10" s="3"/>
      <c r="B10" s="3" t="s">
        <v>2271</v>
      </c>
      <c r="C10" s="3" t="s">
        <v>2707</v>
      </c>
      <c r="D10" s="105">
        <v>65</v>
      </c>
      <c r="E10" s="105">
        <v>70</v>
      </c>
      <c r="F10" s="106">
        <v>175</v>
      </c>
      <c r="G10" s="4">
        <v>36585</v>
      </c>
      <c r="H10" s="110">
        <f t="shared" ca="1" si="0"/>
        <v>20.7</v>
      </c>
      <c r="I10" s="3" t="s">
        <v>228</v>
      </c>
      <c r="J10" s="3">
        <v>1</v>
      </c>
      <c r="K10" s="3">
        <v>2020</v>
      </c>
      <c r="L10" s="3">
        <v>12</v>
      </c>
      <c r="M10" s="3" t="s">
        <v>2272</v>
      </c>
      <c r="N10" s="3" t="s">
        <v>244</v>
      </c>
      <c r="O10" s="3" t="s">
        <v>2273</v>
      </c>
      <c r="P10" s="11">
        <v>3831840</v>
      </c>
      <c r="Q10" s="11">
        <v>4023600</v>
      </c>
      <c r="R10" s="50">
        <v>4215120</v>
      </c>
      <c r="S10" s="50">
        <v>5808435</v>
      </c>
      <c r="T10" s="49">
        <f>S10*3</f>
        <v>17425305</v>
      </c>
      <c r="U10" s="3"/>
      <c r="V10" s="3"/>
      <c r="W10" s="3"/>
      <c r="X10" s="3"/>
      <c r="Y10" s="107"/>
      <c r="Z10" s="107"/>
      <c r="AA10" s="41"/>
      <c r="AB10" s="110"/>
      <c r="AC10" s="110"/>
      <c r="AD10" s="110"/>
      <c r="AE10" s="110"/>
      <c r="AF10" s="110"/>
      <c r="AG10" s="41"/>
      <c r="AH10" s="110"/>
      <c r="AI10" s="110"/>
      <c r="AJ10" s="110"/>
      <c r="AK10" s="41"/>
      <c r="AL10" s="110"/>
      <c r="AM10" s="110"/>
      <c r="AN10" s="110"/>
      <c r="AO10" s="110"/>
    </row>
    <row r="11" spans="1:47" x14ac:dyDescent="0.2">
      <c r="A11" s="3"/>
      <c r="B11" s="3" t="s">
        <v>150</v>
      </c>
      <c r="C11" s="3" t="s">
        <v>2703</v>
      </c>
      <c r="D11" s="105">
        <v>70</v>
      </c>
      <c r="E11" s="105">
        <v>77</v>
      </c>
      <c r="F11" s="106">
        <v>265</v>
      </c>
      <c r="G11" s="4">
        <v>32672</v>
      </c>
      <c r="H11" s="110">
        <f t="shared" ca="1" si="0"/>
        <v>31.4</v>
      </c>
      <c r="I11" s="3" t="s">
        <v>1582</v>
      </c>
      <c r="J11" s="3">
        <v>9</v>
      </c>
      <c r="K11" s="3">
        <v>2010</v>
      </c>
      <c r="L11" s="3">
        <v>33</v>
      </c>
      <c r="M11" s="3" t="s">
        <v>2515</v>
      </c>
      <c r="N11" s="3" t="s">
        <v>276</v>
      </c>
      <c r="O11" s="3" t="s">
        <v>2438</v>
      </c>
      <c r="P11" s="11">
        <v>1620564</v>
      </c>
      <c r="Q11" s="14"/>
      <c r="R11" s="238"/>
      <c r="S11" s="238"/>
      <c r="T11" s="3"/>
      <c r="U11" s="3"/>
      <c r="V11" s="3"/>
      <c r="W11" s="5"/>
      <c r="X11" s="5" t="s">
        <v>238</v>
      </c>
      <c r="Y11" s="107">
        <v>5</v>
      </c>
      <c r="Z11" s="107">
        <v>61</v>
      </c>
      <c r="AA11" s="41">
        <f>29/61</f>
        <v>0.47540983606557374</v>
      </c>
      <c r="AB11" s="110">
        <v>114.5</v>
      </c>
      <c r="AC11" s="110">
        <v>112.2</v>
      </c>
      <c r="AD11" s="110">
        <f t="shared" si="1"/>
        <v>2.2999999999999972</v>
      </c>
      <c r="AE11" s="110">
        <v>31.3</v>
      </c>
      <c r="AF11" s="110">
        <v>25</v>
      </c>
      <c r="AG11" s="41">
        <v>0.64100000000000001</v>
      </c>
      <c r="AH11" s="110">
        <v>19.8</v>
      </c>
      <c r="AI11" s="110">
        <v>5.0999999999999996</v>
      </c>
      <c r="AJ11" s="110">
        <v>3</v>
      </c>
      <c r="AK11" s="41">
        <v>0.20399999999999999</v>
      </c>
      <c r="AL11" s="110">
        <v>2.5</v>
      </c>
      <c r="AM11" s="110">
        <v>0.7</v>
      </c>
      <c r="AN11" s="110">
        <v>2.5</v>
      </c>
      <c r="AO11" s="110">
        <v>16</v>
      </c>
      <c r="AP11" s="3"/>
    </row>
    <row r="12" spans="1:47" x14ac:dyDescent="0.2">
      <c r="A12" s="3"/>
      <c r="B12" s="3" t="s">
        <v>1547</v>
      </c>
      <c r="C12" s="59" t="s">
        <v>2710</v>
      </c>
      <c r="D12" s="142">
        <v>70</v>
      </c>
      <c r="E12" s="142">
        <v>611</v>
      </c>
      <c r="F12" s="143">
        <v>240</v>
      </c>
      <c r="G12" s="4">
        <v>34063</v>
      </c>
      <c r="H12" s="119">
        <f t="shared" ca="1" si="0"/>
        <v>27.6</v>
      </c>
      <c r="I12" s="59" t="s">
        <v>1548</v>
      </c>
      <c r="J12" s="3">
        <v>6</v>
      </c>
      <c r="K12" s="59">
        <v>2015</v>
      </c>
      <c r="L12" s="59">
        <v>9</v>
      </c>
      <c r="M12" s="3" t="s">
        <v>2729</v>
      </c>
      <c r="N12" s="3" t="s">
        <v>276</v>
      </c>
      <c r="O12" s="3" t="s">
        <v>2438</v>
      </c>
      <c r="P12" s="11">
        <v>1620564</v>
      </c>
      <c r="Q12" s="14"/>
      <c r="R12" s="12"/>
      <c r="S12" s="12"/>
      <c r="T12" s="12"/>
      <c r="W12" s="96"/>
      <c r="X12" s="96" t="s">
        <v>238</v>
      </c>
      <c r="Y12" s="69">
        <v>5</v>
      </c>
      <c r="Z12" s="69">
        <v>32</v>
      </c>
      <c r="AA12" s="65">
        <f>12/32</f>
        <v>0.375</v>
      </c>
      <c r="AB12" s="119">
        <v>106.6</v>
      </c>
      <c r="AC12" s="119">
        <v>108.9</v>
      </c>
      <c r="AD12" s="119">
        <f t="shared" si="1"/>
        <v>-2.3000000000000114</v>
      </c>
      <c r="AE12" s="119">
        <v>22.4</v>
      </c>
      <c r="AF12" s="119">
        <v>14.5</v>
      </c>
      <c r="AG12" s="65">
        <v>0.55400000000000005</v>
      </c>
      <c r="AH12" s="119">
        <v>20.8</v>
      </c>
      <c r="AI12" s="119">
        <v>0.8</v>
      </c>
      <c r="AJ12" s="119">
        <v>0.6</v>
      </c>
      <c r="AK12" s="65">
        <v>9.1999999999999998E-2</v>
      </c>
      <c r="AL12" s="119">
        <v>0.2</v>
      </c>
      <c r="AM12" s="119">
        <v>-0.3</v>
      </c>
      <c r="AN12" s="119">
        <v>0.3</v>
      </c>
      <c r="AO12" s="119">
        <v>10.199999999999999</v>
      </c>
    </row>
    <row r="13" spans="1:47" x14ac:dyDescent="0.2">
      <c r="A13" s="3"/>
      <c r="B13" s="3" t="s">
        <v>1678</v>
      </c>
      <c r="C13" s="3" t="s">
        <v>2712</v>
      </c>
      <c r="D13" s="105">
        <v>69</v>
      </c>
      <c r="E13" s="105">
        <v>71</v>
      </c>
      <c r="F13" s="106">
        <v>225</v>
      </c>
      <c r="G13" s="4">
        <v>35511</v>
      </c>
      <c r="H13" s="110">
        <f t="shared" ca="1" si="0"/>
        <v>23.6</v>
      </c>
      <c r="I13" s="3" t="s">
        <v>224</v>
      </c>
      <c r="J13" s="3">
        <v>3</v>
      </c>
      <c r="K13" s="3">
        <v>2018</v>
      </c>
      <c r="L13" s="3">
        <v>49</v>
      </c>
      <c r="M13" s="3" t="s">
        <v>2734</v>
      </c>
      <c r="N13" s="3" t="s">
        <v>2403</v>
      </c>
      <c r="O13" s="3" t="s">
        <v>2533</v>
      </c>
      <c r="P13" s="15">
        <v>1620564</v>
      </c>
      <c r="Q13" s="14"/>
      <c r="R13" s="3"/>
      <c r="S13" s="3"/>
      <c r="T13" s="3"/>
      <c r="U13" s="3"/>
      <c r="V13" s="70"/>
      <c r="W13" s="70" t="s">
        <v>1679</v>
      </c>
      <c r="X13" s="101">
        <v>5</v>
      </c>
      <c r="Y13" s="101">
        <v>16</v>
      </c>
      <c r="Z13" s="163">
        <f>7/16</f>
        <v>0.4375</v>
      </c>
      <c r="AA13" s="162">
        <v>102.5</v>
      </c>
      <c r="AB13" s="162">
        <v>100</v>
      </c>
      <c r="AC13" s="162">
        <f t="shared" ref="AC13" si="3">AA13-AB13</f>
        <v>2.5</v>
      </c>
      <c r="AD13" s="162">
        <v>4.5</v>
      </c>
      <c r="AE13" s="162">
        <v>25.4</v>
      </c>
      <c r="AF13" s="163">
        <v>0.59699999999999998</v>
      </c>
      <c r="AG13" s="162">
        <v>25.9</v>
      </c>
      <c r="AH13" s="162">
        <v>0.2</v>
      </c>
      <c r="AI13" s="162">
        <v>0.1</v>
      </c>
      <c r="AJ13" s="163">
        <v>0.159</v>
      </c>
      <c r="AK13" s="162">
        <v>3.8</v>
      </c>
      <c r="AL13" s="162">
        <v>-0.8</v>
      </c>
      <c r="AM13" s="162">
        <v>0.1</v>
      </c>
      <c r="AN13" s="162">
        <v>18.600000000000001</v>
      </c>
      <c r="AO13"/>
      <c r="AP13"/>
      <c r="AQ13"/>
      <c r="AR13"/>
      <c r="AS13"/>
      <c r="AT13"/>
      <c r="AU13"/>
    </row>
    <row r="14" spans="1:47" x14ac:dyDescent="0.2">
      <c r="A14" s="3"/>
      <c r="B14" s="3" t="s">
        <v>1640</v>
      </c>
      <c r="C14" s="3" t="s">
        <v>2699</v>
      </c>
      <c r="D14" s="105">
        <v>67</v>
      </c>
      <c r="E14" s="105">
        <v>68</v>
      </c>
      <c r="F14" s="106">
        <v>190</v>
      </c>
      <c r="G14" s="4">
        <v>35454</v>
      </c>
      <c r="H14" s="110">
        <f t="shared" ca="1" si="0"/>
        <v>23.8</v>
      </c>
      <c r="I14" s="3" t="s">
        <v>603</v>
      </c>
      <c r="J14" s="3">
        <v>2</v>
      </c>
      <c r="K14" s="3">
        <v>2019</v>
      </c>
      <c r="L14" s="3">
        <v>40</v>
      </c>
      <c r="M14" s="3" t="s">
        <v>2676</v>
      </c>
      <c r="N14" s="3" t="s">
        <v>239</v>
      </c>
      <c r="O14" s="3" t="s">
        <v>750</v>
      </c>
      <c r="P14" s="11">
        <v>1517981</v>
      </c>
      <c r="Q14" s="15">
        <v>1782621</v>
      </c>
      <c r="R14" s="49">
        <v>2228276</v>
      </c>
      <c r="S14" s="3"/>
      <c r="T14" s="3"/>
      <c r="U14" s="3"/>
      <c r="V14" s="3"/>
      <c r="W14" s="3"/>
      <c r="X14" s="3" t="s">
        <v>1641</v>
      </c>
      <c r="Y14" s="107">
        <v>2</v>
      </c>
      <c r="Z14" s="107">
        <v>34</v>
      </c>
      <c r="AA14" s="41">
        <f>13/34</f>
        <v>0.38235294117647056</v>
      </c>
      <c r="AB14" s="110">
        <v>96.8</v>
      </c>
      <c r="AC14" s="110">
        <v>98.3</v>
      </c>
      <c r="AD14" s="110">
        <f t="shared" si="1"/>
        <v>-1.5</v>
      </c>
      <c r="AE14" s="110">
        <v>6.4</v>
      </c>
      <c r="AF14" s="110">
        <v>11.5</v>
      </c>
      <c r="AG14" s="41">
        <v>0.48699999999999999</v>
      </c>
      <c r="AH14" s="110">
        <v>19</v>
      </c>
      <c r="AI14" s="110">
        <v>0</v>
      </c>
      <c r="AJ14" s="110">
        <v>0.2</v>
      </c>
      <c r="AK14" s="41">
        <v>3.6999999999999998E-2</v>
      </c>
      <c r="AL14" s="110">
        <v>-1</v>
      </c>
      <c r="AM14" s="110">
        <v>0.2</v>
      </c>
      <c r="AN14" s="110">
        <v>0.1</v>
      </c>
      <c r="AO14" s="110">
        <v>7.9</v>
      </c>
      <c r="AP14" s="70"/>
      <c r="AQ14" s="70"/>
      <c r="AR14" s="70"/>
      <c r="AS14" s="70"/>
    </row>
    <row r="15" spans="1:47" x14ac:dyDescent="0.2">
      <c r="A15" s="3">
        <v>19</v>
      </c>
      <c r="B15" s="3" t="s">
        <v>1642</v>
      </c>
      <c r="C15" s="3" t="s">
        <v>2711</v>
      </c>
      <c r="D15" s="105">
        <v>65</v>
      </c>
      <c r="E15" s="105">
        <v>611</v>
      </c>
      <c r="F15" s="106">
        <v>230</v>
      </c>
      <c r="G15" s="4">
        <v>35672</v>
      </c>
      <c r="H15" s="110">
        <f t="shared" ca="1" si="0"/>
        <v>23.2</v>
      </c>
      <c r="I15" s="3" t="s">
        <v>568</v>
      </c>
      <c r="J15" s="3">
        <v>2</v>
      </c>
      <c r="K15" s="3">
        <v>2019</v>
      </c>
      <c r="L15" s="3"/>
      <c r="M15" s="3" t="s">
        <v>631</v>
      </c>
      <c r="N15" s="3" t="s">
        <v>276</v>
      </c>
      <c r="O15" s="3" t="s">
        <v>2445</v>
      </c>
      <c r="P15" s="16">
        <v>1445697</v>
      </c>
      <c r="Q15" s="60">
        <v>1701593</v>
      </c>
      <c r="R15" s="34"/>
      <c r="S15" s="12"/>
      <c r="T15" s="71"/>
      <c r="AA15" s="41">
        <f>1/6</f>
        <v>0.16666666666666666</v>
      </c>
      <c r="AB15" s="110">
        <v>89.4</v>
      </c>
      <c r="AC15" s="110">
        <v>83.7</v>
      </c>
      <c r="AD15" s="110">
        <f t="shared" si="1"/>
        <v>5.7000000000000028</v>
      </c>
      <c r="AE15" s="110">
        <v>3.2</v>
      </c>
      <c r="AF15" s="110">
        <v>10.7</v>
      </c>
      <c r="AG15" s="41">
        <v>0.5</v>
      </c>
      <c r="AH15" s="110">
        <v>16.100000000000001</v>
      </c>
      <c r="AI15" s="110">
        <v>0</v>
      </c>
      <c r="AJ15" s="110">
        <v>0</v>
      </c>
      <c r="AK15" s="41">
        <v>8.1000000000000003E-2</v>
      </c>
      <c r="AL15" s="110">
        <v>-2.2999999999999998</v>
      </c>
      <c r="AM15" s="110">
        <v>-0.3</v>
      </c>
      <c r="AN15" s="110">
        <v>0</v>
      </c>
      <c r="AO15" s="110">
        <v>3.4</v>
      </c>
      <c r="AR15" s="70"/>
      <c r="AS15" s="70"/>
    </row>
    <row r="16" spans="1:47" x14ac:dyDescent="0.2">
      <c r="A16" s="3">
        <v>7</v>
      </c>
      <c r="B16" s="3" t="s">
        <v>1643</v>
      </c>
      <c r="C16" s="3" t="s">
        <v>2704</v>
      </c>
      <c r="D16" s="105">
        <v>61</v>
      </c>
      <c r="E16" s="105">
        <v>65</v>
      </c>
      <c r="F16" s="106">
        <v>167</v>
      </c>
      <c r="G16" s="4">
        <v>35653</v>
      </c>
      <c r="H16" s="110">
        <f t="shared" ca="1" si="0"/>
        <v>23.2</v>
      </c>
      <c r="I16" s="3" t="s">
        <v>242</v>
      </c>
      <c r="J16" s="3">
        <v>2</v>
      </c>
      <c r="K16" s="3">
        <v>2019</v>
      </c>
      <c r="L16" s="3">
        <v>55</v>
      </c>
      <c r="M16" s="3" t="s">
        <v>1644</v>
      </c>
      <c r="N16" s="3" t="s">
        <v>288</v>
      </c>
      <c r="O16" s="3" t="s">
        <v>2650</v>
      </c>
      <c r="P16" s="3" t="s">
        <v>288</v>
      </c>
      <c r="Q16" s="34"/>
      <c r="R16" s="12"/>
      <c r="S16" s="12"/>
      <c r="T16" s="12"/>
      <c r="U16" s="3"/>
      <c r="V16" s="3"/>
      <c r="W16" s="3"/>
      <c r="X16" s="5" t="s">
        <v>581</v>
      </c>
      <c r="Y16" s="107">
        <v>2</v>
      </c>
      <c r="Z16" s="107">
        <v>2</v>
      </c>
      <c r="AA16" s="41">
        <f>1/2</f>
        <v>0.5</v>
      </c>
      <c r="AB16" s="110">
        <v>100</v>
      </c>
      <c r="AC16" s="110">
        <v>130</v>
      </c>
      <c r="AD16" s="110">
        <f t="shared" si="1"/>
        <v>-30</v>
      </c>
      <c r="AE16" s="110">
        <v>2</v>
      </c>
      <c r="AF16" s="110">
        <v>9.8000000000000007</v>
      </c>
      <c r="AG16" s="41">
        <v>0.5</v>
      </c>
      <c r="AH16" s="110">
        <v>21.8</v>
      </c>
      <c r="AI16" s="110">
        <v>0</v>
      </c>
      <c r="AJ16" s="110">
        <v>0</v>
      </c>
      <c r="AK16" s="41">
        <v>-2.1999999999999999E-2</v>
      </c>
      <c r="AL16" s="110">
        <v>-1.3</v>
      </c>
      <c r="AM16" s="110">
        <v>-2.8</v>
      </c>
      <c r="AN16" s="110">
        <v>0</v>
      </c>
      <c r="AO16" s="110">
        <v>4.2</v>
      </c>
    </row>
    <row r="17" spans="1:41" x14ac:dyDescent="0.2">
      <c r="A17" s="3"/>
      <c r="B17" s="3" t="s">
        <v>290</v>
      </c>
      <c r="C17" s="3"/>
      <c r="D17" s="105"/>
      <c r="E17" s="105"/>
      <c r="F17" s="106"/>
      <c r="G17" s="4"/>
      <c r="H17" s="110"/>
      <c r="I17" s="3"/>
      <c r="J17" s="3"/>
      <c r="K17" s="3"/>
      <c r="L17" s="3"/>
      <c r="M17" s="3"/>
      <c r="N17" s="3"/>
      <c r="O17" s="159"/>
      <c r="P17" s="3"/>
      <c r="Q17" s="54"/>
      <c r="R17" s="12"/>
      <c r="S17" s="12"/>
      <c r="T17" s="12"/>
      <c r="U17" s="3"/>
      <c r="V17" s="3"/>
      <c r="W17" s="3"/>
      <c r="X17" s="5"/>
      <c r="Y17" s="107"/>
      <c r="Z17" s="107"/>
      <c r="AA17" s="41"/>
      <c r="AB17" s="110"/>
      <c r="AC17" s="110"/>
      <c r="AD17" s="110"/>
      <c r="AE17" s="110"/>
      <c r="AF17" s="110"/>
      <c r="AG17" s="41"/>
      <c r="AH17" s="110"/>
      <c r="AI17" s="110"/>
      <c r="AJ17" s="110"/>
      <c r="AK17" s="41"/>
      <c r="AL17" s="110"/>
      <c r="AM17" s="110"/>
      <c r="AN17" s="110"/>
      <c r="AO17" s="110"/>
    </row>
    <row r="18" spans="1:41" x14ac:dyDescent="0.2">
      <c r="A18" s="82"/>
      <c r="B18" s="201" t="s">
        <v>2394</v>
      </c>
      <c r="C18" s="97" t="s">
        <v>234</v>
      </c>
      <c r="D18" s="105">
        <v>67</v>
      </c>
      <c r="E18" s="105">
        <v>71</v>
      </c>
      <c r="F18" s="106">
        <v>235</v>
      </c>
      <c r="G18" s="85">
        <v>36425</v>
      </c>
      <c r="H18" s="82">
        <f ca="1">ROUNDDOWN(YEARFRAC($G$23,G18),1)</f>
        <v>21.1</v>
      </c>
      <c r="I18" s="82" t="s">
        <v>2395</v>
      </c>
      <c r="J18" s="82">
        <v>1</v>
      </c>
      <c r="K18" s="82">
        <v>2020</v>
      </c>
      <c r="L18" s="95">
        <v>40</v>
      </c>
      <c r="M18" s="82" t="s">
        <v>2342</v>
      </c>
      <c r="N18" s="82"/>
      <c r="O18" s="82"/>
      <c r="P18" s="195">
        <v>898310</v>
      </c>
      <c r="Q18" s="82"/>
      <c r="R18" s="82"/>
      <c r="S18" s="82"/>
      <c r="T18" s="3"/>
      <c r="U18" s="3"/>
      <c r="V18" s="3"/>
      <c r="W18" s="3"/>
      <c r="X18" s="3"/>
      <c r="Y18" s="107"/>
      <c r="Z18" s="107"/>
      <c r="AA18" s="41"/>
      <c r="AB18" s="3"/>
      <c r="AC18" s="3"/>
      <c r="AD18" s="3"/>
      <c r="AE18" s="3"/>
      <c r="AF18" s="3"/>
      <c r="AG18" s="3"/>
      <c r="AH18" s="3"/>
      <c r="AI18" s="3"/>
      <c r="AJ18" s="3"/>
      <c r="AK18" s="41"/>
      <c r="AL18" s="3"/>
      <c r="AM18" s="3"/>
      <c r="AN18" s="3"/>
      <c r="AO18" s="3"/>
    </row>
    <row r="19" spans="1:41" x14ac:dyDescent="0.2">
      <c r="A19" s="3"/>
      <c r="B19" s="3" t="s">
        <v>2347</v>
      </c>
      <c r="C19" s="3" t="s">
        <v>2280</v>
      </c>
      <c r="D19" s="105">
        <v>64</v>
      </c>
      <c r="E19" s="105">
        <v>66</v>
      </c>
      <c r="F19" s="106">
        <v>195</v>
      </c>
      <c r="G19" s="4">
        <v>37051</v>
      </c>
      <c r="H19" s="3">
        <f ca="1">ROUNDDOWN(YEARFRAC($G$23,G19),1)</f>
        <v>19.399999999999999</v>
      </c>
      <c r="I19" s="3" t="s">
        <v>641</v>
      </c>
      <c r="J19" s="3">
        <v>1</v>
      </c>
      <c r="K19" s="3">
        <v>2020</v>
      </c>
      <c r="L19" s="3">
        <v>43</v>
      </c>
      <c r="M19" s="3" t="s">
        <v>2348</v>
      </c>
      <c r="N19" s="3"/>
      <c r="O19" s="11"/>
      <c r="P19" s="168">
        <v>898310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41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">
      <c r="A20" s="3"/>
      <c r="B20" s="3"/>
      <c r="C20" s="3"/>
      <c r="D20" s="105"/>
      <c r="E20" s="105"/>
      <c r="F20" s="106"/>
      <c r="G20" s="4"/>
      <c r="H20" s="110"/>
      <c r="I20" s="3"/>
      <c r="J20" s="3"/>
      <c r="K20" s="3"/>
      <c r="L20" s="3"/>
      <c r="M20" s="3"/>
      <c r="N20" s="3"/>
      <c r="O20" s="3"/>
      <c r="P20" s="12"/>
      <c r="Q20" s="12"/>
      <c r="R20" s="12"/>
      <c r="S20" s="12"/>
      <c r="T20" s="12"/>
      <c r="U20" s="3"/>
      <c r="V20" s="3"/>
      <c r="W20" s="3"/>
      <c r="X20" s="3"/>
      <c r="Y20" s="3"/>
      <c r="Z20" s="3"/>
      <c r="AA20" s="41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">
      <c r="A21" s="3">
        <v>3</v>
      </c>
      <c r="B21" s="3" t="s">
        <v>161</v>
      </c>
      <c r="C21" s="3" t="s">
        <v>247</v>
      </c>
      <c r="D21" s="105">
        <v>60</v>
      </c>
      <c r="E21" s="105"/>
      <c r="F21" s="106">
        <v>178</v>
      </c>
      <c r="G21" s="4">
        <v>34098</v>
      </c>
      <c r="H21" s="110">
        <f ca="1">ROUNDDOWN(YEARFRAC($G$23,G21),1)</f>
        <v>27.5</v>
      </c>
      <c r="I21" s="3" t="s">
        <v>362</v>
      </c>
      <c r="J21" s="3">
        <v>5</v>
      </c>
      <c r="K21" s="3">
        <v>2016</v>
      </c>
      <c r="L21" s="3"/>
      <c r="M21" s="3" t="s">
        <v>1639</v>
      </c>
      <c r="N21" s="3"/>
      <c r="O21" s="26"/>
      <c r="P21" s="14">
        <v>4095000</v>
      </c>
      <c r="Q21" s="12"/>
      <c r="R21" s="12"/>
      <c r="S21" s="12"/>
      <c r="T21" s="212"/>
      <c r="U21" s="3"/>
      <c r="V21" s="3"/>
      <c r="W21" s="11"/>
      <c r="X21" s="5" t="s">
        <v>284</v>
      </c>
      <c r="Y21" s="107">
        <v>1</v>
      </c>
      <c r="Z21" s="107">
        <v>44</v>
      </c>
      <c r="AA21" s="41">
        <f>17/44</f>
        <v>0.38636363636363635</v>
      </c>
      <c r="AB21" s="110">
        <v>100.5</v>
      </c>
      <c r="AC21" s="110">
        <v>103.8</v>
      </c>
      <c r="AD21" s="110">
        <f t="shared" ref="AD21" si="4">AB21-AC21</f>
        <v>-3.2999999999999972</v>
      </c>
      <c r="AE21" s="110">
        <v>11</v>
      </c>
      <c r="AF21" s="110">
        <v>10.7</v>
      </c>
      <c r="AG21" s="41">
        <v>0.499</v>
      </c>
      <c r="AH21" s="110">
        <v>18.899999999999999</v>
      </c>
      <c r="AI21" s="110">
        <v>0.1</v>
      </c>
      <c r="AJ21" s="110">
        <v>0.3</v>
      </c>
      <c r="AK21" s="41">
        <v>3.5999999999999997E-2</v>
      </c>
      <c r="AL21" s="110">
        <v>-2.1</v>
      </c>
      <c r="AM21" s="110">
        <v>-0.4</v>
      </c>
      <c r="AN21" s="110">
        <v>-0.1</v>
      </c>
      <c r="AO21" s="110">
        <v>8.6</v>
      </c>
    </row>
    <row r="22" spans="1:41" x14ac:dyDescent="0.2">
      <c r="A22" s="3"/>
      <c r="B22" s="3"/>
      <c r="C22" s="3"/>
      <c r="D22" s="105"/>
      <c r="E22" s="105"/>
      <c r="F22" s="106"/>
      <c r="G22" s="4"/>
      <c r="H22" s="110"/>
      <c r="I22" s="3"/>
      <c r="J22" s="3"/>
      <c r="K22" s="3"/>
      <c r="L22" s="3"/>
      <c r="M22" s="3"/>
      <c r="N22" s="3"/>
      <c r="O22" s="3"/>
      <c r="P22" s="12"/>
      <c r="Q22" s="12"/>
      <c r="R22" s="12"/>
      <c r="S22" s="12"/>
      <c r="T22" s="3"/>
      <c r="U22" s="41"/>
      <c r="V22" s="41"/>
      <c r="W22" s="12"/>
      <c r="AA22" s="41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">
      <c r="G23" s="62">
        <f ca="1">TODAY()</f>
        <v>44162</v>
      </c>
      <c r="H23" s="63">
        <f ca="1">AVERAGE(H2:H15)</f>
        <v>26.12142857142857</v>
      </c>
      <c r="J23" s="63">
        <f>AVERAGE(J2:J15)</f>
        <v>4.9285714285714288</v>
      </c>
      <c r="T23" s="3"/>
      <c r="U23" s="110"/>
      <c r="V23" s="110"/>
      <c r="W23" s="3"/>
      <c r="AA23" s="65"/>
    </row>
    <row r="24" spans="1:41" x14ac:dyDescent="0.2">
      <c r="H24" s="63">
        <f ca="1">MEDIAN(H2:H15)</f>
        <v>26.4</v>
      </c>
      <c r="J24" s="69">
        <f>MEDIAN(J2:J15)</f>
        <v>4.5</v>
      </c>
      <c r="P24" s="64">
        <f>SUM(P2:P16)-P13</f>
        <v>105502989</v>
      </c>
      <c r="Q24" s="59" t="s">
        <v>2736</v>
      </c>
      <c r="R24" s="189"/>
      <c r="T24" s="3"/>
      <c r="U24" s="110"/>
      <c r="V24" s="110"/>
      <c r="W24" s="3"/>
      <c r="AA24" s="65"/>
    </row>
    <row r="25" spans="1:41" x14ac:dyDescent="0.2">
      <c r="B25" s="71" t="s">
        <v>1985</v>
      </c>
      <c r="H25" s="63"/>
      <c r="J25" s="69"/>
      <c r="P25" s="121">
        <f>SUM(P2:P16)</f>
        <v>107123553</v>
      </c>
      <c r="Q25" s="59" t="s">
        <v>2735</v>
      </c>
      <c r="R25" s="189"/>
      <c r="T25" s="3"/>
      <c r="U25" s="110"/>
      <c r="V25" s="110"/>
      <c r="W25" s="3"/>
      <c r="AA25" s="65"/>
    </row>
    <row r="26" spans="1:41" x14ac:dyDescent="0.2">
      <c r="B26" s="3" t="s">
        <v>1876</v>
      </c>
      <c r="C26" s="69">
        <v>13</v>
      </c>
      <c r="P26" s="121"/>
      <c r="R26"/>
      <c r="T26" s="3"/>
      <c r="U26" s="110"/>
      <c r="V26" s="110"/>
      <c r="W26" s="3"/>
      <c r="AA26" s="65"/>
    </row>
    <row r="27" spans="1:41" x14ac:dyDescent="0.2">
      <c r="B27" s="3" t="s">
        <v>2457</v>
      </c>
      <c r="C27" s="69">
        <v>1</v>
      </c>
      <c r="O27" s="82" t="s">
        <v>292</v>
      </c>
      <c r="P27" s="22" t="e">
        <f>#REF!</f>
        <v>#REF!</v>
      </c>
      <c r="R27" s="189"/>
      <c r="T27" s="3"/>
      <c r="U27" s="36"/>
      <c r="V27" s="36"/>
      <c r="W27" s="3"/>
      <c r="AA27" s="65"/>
    </row>
    <row r="28" spans="1:41" x14ac:dyDescent="0.2">
      <c r="B28" s="3" t="s">
        <v>2539</v>
      </c>
      <c r="C28" s="69">
        <v>1</v>
      </c>
      <c r="D28" s="62"/>
      <c r="O28" s="82" t="s">
        <v>294</v>
      </c>
      <c r="P28" s="22" t="e">
        <f>#REF!</f>
        <v>#REF!</v>
      </c>
      <c r="R28"/>
      <c r="AA28" s="65"/>
    </row>
    <row r="29" spans="1:41" x14ac:dyDescent="0.2">
      <c r="B29" s="3" t="s">
        <v>495</v>
      </c>
      <c r="C29" s="60">
        <v>9258000</v>
      </c>
      <c r="D29" s="62"/>
      <c r="O29" s="82"/>
      <c r="P29" s="22"/>
      <c r="R29"/>
      <c r="AA29" s="65"/>
    </row>
    <row r="30" spans="1:41" x14ac:dyDescent="0.2">
      <c r="B30" s="3" t="s">
        <v>514</v>
      </c>
      <c r="C30" s="60">
        <v>3623000</v>
      </c>
      <c r="D30" s="62"/>
      <c r="O30" s="82"/>
      <c r="P30" s="22"/>
      <c r="R30"/>
      <c r="AA30" s="65"/>
    </row>
    <row r="31" spans="1:41" x14ac:dyDescent="0.2">
      <c r="B31" s="3" t="s">
        <v>2730</v>
      </c>
      <c r="C31" s="60">
        <v>2673334</v>
      </c>
      <c r="D31" s="249">
        <v>44233</v>
      </c>
      <c r="O31" s="82"/>
      <c r="P31" s="22"/>
      <c r="R31"/>
      <c r="AA31" s="65"/>
    </row>
    <row r="32" spans="1:41" x14ac:dyDescent="0.2">
      <c r="B32" s="3" t="s">
        <v>293</v>
      </c>
      <c r="C32" s="60">
        <v>0</v>
      </c>
      <c r="O32" s="82"/>
      <c r="P32" s="60"/>
      <c r="R32" s="189"/>
      <c r="AA32" s="65"/>
    </row>
    <row r="33" spans="2:18" x14ac:dyDescent="0.2">
      <c r="B33" s="3" t="s">
        <v>295</v>
      </c>
      <c r="C33" s="60">
        <v>0</v>
      </c>
      <c r="R33"/>
    </row>
    <row r="34" spans="2:18" x14ac:dyDescent="0.2">
      <c r="R34" s="189"/>
    </row>
    <row r="35" spans="2:18" x14ac:dyDescent="0.2">
      <c r="B35" s="71" t="s">
        <v>1875</v>
      </c>
      <c r="R35" s="189"/>
    </row>
    <row r="36" spans="2:18" x14ac:dyDescent="0.2">
      <c r="B36" s="3" t="s">
        <v>296</v>
      </c>
      <c r="C36" s="65">
        <f>31/(31+41)</f>
        <v>0.43055555555555558</v>
      </c>
      <c r="D36" s="59" t="s">
        <v>770</v>
      </c>
      <c r="R36" s="189"/>
    </row>
    <row r="37" spans="2:18" x14ac:dyDescent="0.2">
      <c r="B37" s="3" t="s">
        <v>298</v>
      </c>
      <c r="C37" s="119">
        <v>109.5</v>
      </c>
      <c r="D37" s="59" t="s">
        <v>1958</v>
      </c>
    </row>
    <row r="38" spans="2:18" x14ac:dyDescent="0.2">
      <c r="B38" s="3" t="s">
        <v>299</v>
      </c>
      <c r="C38" s="119">
        <v>111.4</v>
      </c>
      <c r="D38" s="59" t="s">
        <v>2030</v>
      </c>
    </row>
    <row r="39" spans="2:18" x14ac:dyDescent="0.2">
      <c r="B39" s="3" t="s">
        <v>300</v>
      </c>
      <c r="C39" s="119">
        <f>C37-C38</f>
        <v>-1.9000000000000057</v>
      </c>
      <c r="D39" s="59" t="s">
        <v>2059</v>
      </c>
    </row>
    <row r="40" spans="2:18" x14ac:dyDescent="0.2">
      <c r="B40" s="3" t="s">
        <v>301</v>
      </c>
      <c r="C40" s="63">
        <v>99.6</v>
      </c>
      <c r="D40" s="59" t="s">
        <v>2030</v>
      </c>
    </row>
    <row r="42" spans="2:18" x14ac:dyDescent="0.2">
      <c r="B42" s="3" t="s">
        <v>302</v>
      </c>
    </row>
    <row r="43" spans="2:18" x14ac:dyDescent="0.2">
      <c r="B43" s="3" t="s">
        <v>1645</v>
      </c>
    </row>
    <row r="44" spans="2:18" x14ac:dyDescent="0.2">
      <c r="B44" s="3" t="s">
        <v>1646</v>
      </c>
    </row>
    <row r="45" spans="2:18" x14ac:dyDescent="0.2">
      <c r="B45" s="3" t="s">
        <v>1647</v>
      </c>
    </row>
    <row r="46" spans="2:18" x14ac:dyDescent="0.2">
      <c r="B46" s="12"/>
    </row>
    <row r="47" spans="2:18" x14ac:dyDescent="0.2">
      <c r="B47" s="3" t="s">
        <v>310</v>
      </c>
    </row>
    <row r="48" spans="2:18" x14ac:dyDescent="0.2">
      <c r="B48" s="3" t="s">
        <v>1089</v>
      </c>
    </row>
    <row r="49" spans="2:10" x14ac:dyDescent="0.2">
      <c r="B49" s="3"/>
    </row>
    <row r="50" spans="2:10" x14ac:dyDescent="0.2">
      <c r="B50" s="71" t="s">
        <v>1989</v>
      </c>
    </row>
    <row r="51" spans="2:10" x14ac:dyDescent="0.2">
      <c r="B51" s="39" t="s">
        <v>314</v>
      </c>
      <c r="C51" s="59">
        <v>31</v>
      </c>
      <c r="D51" s="59">
        <v>41</v>
      </c>
      <c r="E51" s="59" t="s">
        <v>770</v>
      </c>
      <c r="G51" s="59" t="s">
        <v>1094</v>
      </c>
      <c r="J51" s="145" t="s">
        <v>316</v>
      </c>
    </row>
    <row r="52" spans="2:10" x14ac:dyDescent="0.2">
      <c r="B52" s="39" t="s">
        <v>317</v>
      </c>
      <c r="C52" s="59">
        <v>39</v>
      </c>
      <c r="D52" s="59">
        <v>43</v>
      </c>
      <c r="E52" s="59" t="s">
        <v>769</v>
      </c>
      <c r="G52" s="59" t="s">
        <v>1158</v>
      </c>
      <c r="I52" s="145"/>
      <c r="J52" s="145" t="s">
        <v>316</v>
      </c>
    </row>
    <row r="53" spans="2:10" x14ac:dyDescent="0.2">
      <c r="B53" s="39" t="s">
        <v>319</v>
      </c>
      <c r="C53" s="59">
        <v>27</v>
      </c>
      <c r="D53" s="59">
        <v>55</v>
      </c>
      <c r="E53" s="59" t="s">
        <v>770</v>
      </c>
      <c r="G53" s="59" t="s">
        <v>1158</v>
      </c>
      <c r="I53" s="145"/>
      <c r="J53" s="145" t="s">
        <v>316</v>
      </c>
    </row>
    <row r="54" spans="2:10" x14ac:dyDescent="0.2">
      <c r="B54" s="39" t="s">
        <v>322</v>
      </c>
      <c r="C54" s="59">
        <v>32</v>
      </c>
      <c r="D54" s="59">
        <v>50</v>
      </c>
      <c r="E54" s="59" t="s">
        <v>770</v>
      </c>
      <c r="G54" s="59" t="s">
        <v>1158</v>
      </c>
      <c r="I54" s="145"/>
      <c r="J54" s="145" t="s">
        <v>316</v>
      </c>
    </row>
    <row r="55" spans="2:10" x14ac:dyDescent="0.2">
      <c r="B55" s="39" t="s">
        <v>325</v>
      </c>
      <c r="C55" s="59">
        <v>33</v>
      </c>
      <c r="D55" s="59">
        <v>49</v>
      </c>
      <c r="E55" s="59" t="s">
        <v>722</v>
      </c>
      <c r="G55" s="59" t="s">
        <v>773</v>
      </c>
      <c r="I55" s="145"/>
      <c r="J55" s="145" t="s">
        <v>316</v>
      </c>
    </row>
    <row r="56" spans="2:10" x14ac:dyDescent="0.2">
      <c r="B56" s="39" t="s">
        <v>328</v>
      </c>
      <c r="C56" s="59">
        <v>29</v>
      </c>
      <c r="D56" s="59">
        <v>53</v>
      </c>
      <c r="E56" s="59" t="s">
        <v>715</v>
      </c>
      <c r="G56" s="59" t="s">
        <v>1648</v>
      </c>
      <c r="J56" s="145" t="s">
        <v>316</v>
      </c>
    </row>
    <row r="57" spans="2:10" x14ac:dyDescent="0.2">
      <c r="B57" s="39" t="s">
        <v>331</v>
      </c>
      <c r="C57" s="59">
        <v>28</v>
      </c>
      <c r="D57" s="59">
        <v>54</v>
      </c>
      <c r="E57" s="59" t="s">
        <v>715</v>
      </c>
      <c r="G57" s="59" t="s">
        <v>765</v>
      </c>
      <c r="J57" s="145" t="s">
        <v>316</v>
      </c>
    </row>
    <row r="58" spans="2:10" x14ac:dyDescent="0.2">
      <c r="B58" s="39" t="s">
        <v>334</v>
      </c>
      <c r="C58" s="59">
        <v>28</v>
      </c>
      <c r="D58" s="59">
        <v>54</v>
      </c>
      <c r="E58" s="59" t="s">
        <v>715</v>
      </c>
      <c r="G58" s="59" t="s">
        <v>893</v>
      </c>
      <c r="J58" s="145" t="s">
        <v>316</v>
      </c>
    </row>
    <row r="59" spans="2:10" x14ac:dyDescent="0.2">
      <c r="B59" s="39" t="s">
        <v>338</v>
      </c>
      <c r="C59" s="59">
        <v>22</v>
      </c>
      <c r="D59" s="59">
        <v>44</v>
      </c>
      <c r="E59" s="59" t="s">
        <v>714</v>
      </c>
      <c r="G59" s="59" t="s">
        <v>1649</v>
      </c>
      <c r="J59" s="145" t="s">
        <v>316</v>
      </c>
    </row>
    <row r="60" spans="2:10" x14ac:dyDescent="0.2">
      <c r="B60" s="39" t="s">
        <v>340</v>
      </c>
      <c r="C60" s="59">
        <v>24</v>
      </c>
      <c r="D60" s="59">
        <v>58</v>
      </c>
      <c r="E60" s="59" t="s">
        <v>714</v>
      </c>
      <c r="G60" s="59" t="s">
        <v>1650</v>
      </c>
      <c r="J60" s="145" t="s">
        <v>316</v>
      </c>
    </row>
    <row r="61" spans="2:10" x14ac:dyDescent="0.2">
      <c r="B61" s="59" t="s">
        <v>342</v>
      </c>
      <c r="C61" s="59">
        <f>SUM(C51:C60)</f>
        <v>293</v>
      </c>
      <c r="D61" s="59">
        <f>SUM(D51:D60)</f>
        <v>501</v>
      </c>
      <c r="E61" s="65">
        <f>C61/(C61+D61)</f>
        <v>0.36901763224181361</v>
      </c>
    </row>
  </sheetData>
  <hyperlinks>
    <hyperlink ref="B51" r:id="rId1" xr:uid="{7B1F5C18-0180-1F41-8C1F-6AEE50AA6521}"/>
    <hyperlink ref="B52" r:id="rId2" xr:uid="{A93D6E49-5D84-6641-B54E-EB3A4B6C7BF9}"/>
    <hyperlink ref="B53" r:id="rId3" xr:uid="{D627D342-E8F3-4C46-A3FA-2C3D92A237F1}"/>
    <hyperlink ref="B54" r:id="rId4" xr:uid="{F88E6DD1-EE4A-6B46-A489-274F86A2F0BE}"/>
    <hyperlink ref="B55" r:id="rId5" xr:uid="{01AECD6D-DE00-6241-8967-E5C9DE05E0AC}"/>
    <hyperlink ref="B56" r:id="rId6" xr:uid="{96B228E8-240A-7344-9B51-49C42C79768F}"/>
    <hyperlink ref="B57" r:id="rId7" xr:uid="{754B1F49-397D-3047-99D8-EBA8857B0001}"/>
    <hyperlink ref="B58" r:id="rId8" xr:uid="{65EC765E-F0A0-6F46-84F9-511505DA2CFD}"/>
    <hyperlink ref="B59" r:id="rId9" xr:uid="{5CA2DEC5-4F32-B644-B991-3F8BAE2C3BAD}"/>
    <hyperlink ref="B60" r:id="rId10" xr:uid="{922F0C25-F03F-D244-B613-CE25FF87CA72}"/>
  </hyperlinks>
  <pageMargins left="0.7" right="0.7" top="0.75" bottom="0.75" header="0.3" footer="0.3"/>
  <ignoredErrors>
    <ignoredError sqref="J26 J23:J24" formulaRange="1"/>
  </ignoredErrors>
  <legacyDrawing r:id="rId1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EA51-78A8-8C4B-8469-4637F8768B6A}">
  <dimension ref="A1:AO95"/>
  <sheetViews>
    <sheetView zoomScaleNormal="100" workbookViewId="0"/>
  </sheetViews>
  <sheetFormatPr baseColWidth="10" defaultColWidth="11" defaultRowHeight="16" x14ac:dyDescent="0.2"/>
  <cols>
    <col min="1" max="1" width="5" customWidth="1"/>
    <col min="2" max="2" width="22.5" customWidth="1"/>
    <col min="3" max="3" width="12.83203125" customWidth="1"/>
    <col min="4" max="4" width="7.1640625" customWidth="1"/>
    <col min="6" max="6" width="7.6640625" customWidth="1"/>
    <col min="7" max="7" width="11" bestFit="1" customWidth="1"/>
    <col min="8" max="8" width="6.1640625" customWidth="1"/>
    <col min="9" max="9" width="20.83203125" customWidth="1"/>
    <col min="10" max="10" width="10.6640625" customWidth="1"/>
    <col min="11" max="11" width="11.5" customWidth="1"/>
    <col min="12" max="12" width="4.6640625" customWidth="1"/>
    <col min="13" max="13" width="25.83203125" customWidth="1"/>
    <col min="14" max="14" width="15.33203125" customWidth="1"/>
    <col min="15" max="15" width="47.1640625" customWidth="1"/>
    <col min="16" max="16" width="13.33203125" bestFit="1" customWidth="1"/>
    <col min="17" max="18" width="12.33203125" bestFit="1" customWidth="1"/>
    <col min="19" max="19" width="11.6640625" customWidth="1"/>
    <col min="20" max="20" width="12.33203125" bestFit="1" customWidth="1"/>
    <col min="21" max="21" width="5.33203125" customWidth="1"/>
    <col min="22" max="22" width="58.83203125" customWidth="1"/>
    <col min="23" max="23" width="21.1640625" customWidth="1"/>
    <col min="24" max="24" width="9.83203125" customWidth="1"/>
    <col min="25" max="25" width="3.6640625" customWidth="1"/>
    <col min="26" max="26" width="7.83203125" customWidth="1"/>
    <col min="27" max="28" width="5.83203125" customWidth="1"/>
    <col min="29" max="29" width="7.5" customWidth="1"/>
    <col min="30" max="30" width="5.1640625" customWidth="1"/>
    <col min="31" max="31" width="4.83203125" customWidth="1"/>
    <col min="32" max="32" width="6.33203125" customWidth="1"/>
    <col min="33" max="33" width="7.6640625" customWidth="1"/>
    <col min="34" max="34" width="4.83203125" customWidth="1"/>
    <col min="35" max="35" width="5" customWidth="1"/>
    <col min="36" max="36" width="7" customWidth="1"/>
    <col min="37" max="37" width="6.1640625" customWidth="1"/>
    <col min="38" max="38" width="6" customWidth="1"/>
    <col min="39" max="39" width="5.6640625" customWidth="1"/>
    <col min="40" max="40" width="4.6640625" customWidth="1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3">
        <v>10</v>
      </c>
      <c r="B2" s="3" t="s">
        <v>163</v>
      </c>
      <c r="C2" s="3" t="s">
        <v>241</v>
      </c>
      <c r="D2" s="105">
        <v>66</v>
      </c>
      <c r="E2" s="105">
        <v>69</v>
      </c>
      <c r="F2" s="106">
        <v>220</v>
      </c>
      <c r="G2" s="4">
        <v>32727</v>
      </c>
      <c r="H2" s="110">
        <f t="shared" ref="H2:H18" ca="1" si="0">ROUNDDOWN(YEARFRAC($G$22,G2),1)</f>
        <v>31.3</v>
      </c>
      <c r="I2" s="3" t="s">
        <v>224</v>
      </c>
      <c r="J2" s="3">
        <v>12</v>
      </c>
      <c r="K2" s="3">
        <v>2009</v>
      </c>
      <c r="L2" s="3">
        <v>9</v>
      </c>
      <c r="M2" s="3" t="s">
        <v>1651</v>
      </c>
      <c r="N2" s="3" t="s">
        <v>1652</v>
      </c>
      <c r="O2" s="3" t="s">
        <v>2181</v>
      </c>
      <c r="P2" s="16">
        <v>27739975</v>
      </c>
      <c r="Q2" s="14">
        <v>41609963</v>
      </c>
      <c r="R2" s="3"/>
      <c r="S2" s="3"/>
      <c r="T2" s="3"/>
      <c r="U2" s="3"/>
      <c r="V2" s="70" t="s">
        <v>1653</v>
      </c>
      <c r="W2" s="70" t="s">
        <v>1654</v>
      </c>
      <c r="X2" s="101">
        <v>3</v>
      </c>
      <c r="Y2" s="101">
        <v>61</v>
      </c>
      <c r="Z2" s="163">
        <f>26/61</f>
        <v>0.42622950819672129</v>
      </c>
      <c r="AA2" s="162">
        <v>111.3</v>
      </c>
      <c r="AB2" s="162">
        <v>113.9</v>
      </c>
      <c r="AC2" s="162">
        <f t="shared" ref="AC2:AC12" si="1">AA2-AB2</f>
        <v>-2.6000000000000085</v>
      </c>
      <c r="AD2" s="162">
        <v>34.299999999999997</v>
      </c>
      <c r="AE2" s="162">
        <v>21.3</v>
      </c>
      <c r="AF2" s="163">
        <v>0.59699999999999998</v>
      </c>
      <c r="AG2" s="162">
        <v>26.6</v>
      </c>
      <c r="AH2" s="162">
        <v>5.0999999999999996</v>
      </c>
      <c r="AI2" s="162">
        <v>1.1000000000000001</v>
      </c>
      <c r="AJ2" s="163">
        <v>0.14299999999999999</v>
      </c>
      <c r="AK2" s="162">
        <v>2.1</v>
      </c>
      <c r="AL2" s="162">
        <v>-0.5</v>
      </c>
      <c r="AM2" s="162">
        <v>1.9</v>
      </c>
      <c r="AN2" s="162">
        <v>13.9</v>
      </c>
    </row>
    <row r="3" spans="1:41" x14ac:dyDescent="0.2">
      <c r="A3" s="3">
        <v>12</v>
      </c>
      <c r="B3" s="3" t="s">
        <v>1655</v>
      </c>
      <c r="C3" s="3" t="s">
        <v>234</v>
      </c>
      <c r="D3" s="105">
        <v>611</v>
      </c>
      <c r="E3" s="105">
        <v>75</v>
      </c>
      <c r="F3" s="106">
        <v>250</v>
      </c>
      <c r="G3" s="4">
        <v>31247</v>
      </c>
      <c r="H3" s="110">
        <f t="shared" ca="1" si="0"/>
        <v>35.299999999999997</v>
      </c>
      <c r="I3" s="3" t="s">
        <v>406</v>
      </c>
      <c r="J3" s="3">
        <v>15</v>
      </c>
      <c r="K3" s="3">
        <v>2006</v>
      </c>
      <c r="L3" s="3">
        <v>2</v>
      </c>
      <c r="M3" s="3" t="s">
        <v>1656</v>
      </c>
      <c r="N3" s="3" t="s">
        <v>5</v>
      </c>
      <c r="O3" s="3" t="s">
        <v>1944</v>
      </c>
      <c r="P3" s="11">
        <v>24000000</v>
      </c>
      <c r="Q3" s="14">
        <f>P3*1.5</f>
        <v>36000000</v>
      </c>
      <c r="R3" s="3"/>
      <c r="S3" s="3"/>
      <c r="T3" s="3"/>
      <c r="U3" s="3"/>
      <c r="V3" s="70" t="s">
        <v>347</v>
      </c>
      <c r="W3" s="70" t="s">
        <v>1657</v>
      </c>
      <c r="X3" s="101">
        <v>5</v>
      </c>
      <c r="Y3" s="101">
        <v>53</v>
      </c>
      <c r="Z3" s="163">
        <f>23/53</f>
        <v>0.43396226415094341</v>
      </c>
      <c r="AA3" s="162">
        <v>110.2</v>
      </c>
      <c r="AB3" s="162">
        <v>113.4</v>
      </c>
      <c r="AC3" s="162">
        <f t="shared" si="1"/>
        <v>-3.2000000000000028</v>
      </c>
      <c r="AD3" s="162">
        <v>33.1</v>
      </c>
      <c r="AE3" s="162">
        <v>19.8</v>
      </c>
      <c r="AF3" s="163">
        <v>0.57099999999999995</v>
      </c>
      <c r="AG3" s="162">
        <v>23.6</v>
      </c>
      <c r="AH3" s="162">
        <v>3.1</v>
      </c>
      <c r="AI3" s="162">
        <v>1.4</v>
      </c>
      <c r="AJ3" s="163">
        <v>0.122</v>
      </c>
      <c r="AK3" s="162">
        <v>1.8</v>
      </c>
      <c r="AL3" s="162">
        <v>-0.5</v>
      </c>
      <c r="AM3" s="162">
        <v>1.5</v>
      </c>
      <c r="AN3" s="162">
        <v>12</v>
      </c>
    </row>
    <row r="4" spans="1:41" x14ac:dyDescent="0.2">
      <c r="A4" s="3">
        <v>22</v>
      </c>
      <c r="B4" s="3" t="s">
        <v>215</v>
      </c>
      <c r="C4" s="3" t="s">
        <v>234</v>
      </c>
      <c r="D4" s="105">
        <v>68</v>
      </c>
      <c r="E4" s="105">
        <v>73</v>
      </c>
      <c r="F4" s="106">
        <v>250</v>
      </c>
      <c r="G4" s="4">
        <v>31641</v>
      </c>
      <c r="H4" s="110">
        <f t="shared" ca="1" si="0"/>
        <v>34.200000000000003</v>
      </c>
      <c r="I4" s="3" t="s">
        <v>344</v>
      </c>
      <c r="J4" s="3">
        <v>15</v>
      </c>
      <c r="K4" s="3">
        <v>2006</v>
      </c>
      <c r="L4" s="3">
        <v>8</v>
      </c>
      <c r="M4" s="3" t="s">
        <v>789</v>
      </c>
      <c r="N4" s="3" t="s">
        <v>5</v>
      </c>
      <c r="O4" s="3" t="s">
        <v>1945</v>
      </c>
      <c r="P4" s="11">
        <v>14500000</v>
      </c>
      <c r="Q4" s="14">
        <f>P4*1.5</f>
        <v>21750000</v>
      </c>
      <c r="R4" s="3"/>
      <c r="S4" s="3"/>
      <c r="T4" s="3"/>
      <c r="U4" s="3"/>
      <c r="V4" s="70" t="s">
        <v>1658</v>
      </c>
      <c r="W4" s="70" t="s">
        <v>1659</v>
      </c>
      <c r="X4" s="101">
        <v>4</v>
      </c>
      <c r="Y4" s="101">
        <v>60</v>
      </c>
      <c r="Z4" s="163">
        <f>25/60</f>
        <v>0.41666666666666669</v>
      </c>
      <c r="AA4" s="162">
        <v>107.6</v>
      </c>
      <c r="AB4" s="162">
        <v>108.5</v>
      </c>
      <c r="AC4" s="162">
        <f t="shared" si="1"/>
        <v>-0.90000000000000568</v>
      </c>
      <c r="AD4" s="162">
        <v>21.5</v>
      </c>
      <c r="AE4" s="162">
        <v>14.4</v>
      </c>
      <c r="AF4" s="163">
        <v>0.54500000000000004</v>
      </c>
      <c r="AG4" s="162">
        <v>21.3</v>
      </c>
      <c r="AH4" s="162">
        <v>0.6</v>
      </c>
      <c r="AI4" s="162">
        <v>0.9</v>
      </c>
      <c r="AJ4" s="163">
        <v>5.3999999999999999E-2</v>
      </c>
      <c r="AK4" s="162">
        <v>-0.5</v>
      </c>
      <c r="AL4" s="162">
        <v>-1</v>
      </c>
      <c r="AM4" s="162">
        <v>0.2</v>
      </c>
      <c r="AN4" s="162">
        <v>10.7</v>
      </c>
    </row>
    <row r="5" spans="1:41" x14ac:dyDescent="0.2">
      <c r="A5" s="3">
        <v>5</v>
      </c>
      <c r="B5" s="3" t="s">
        <v>1669</v>
      </c>
      <c r="C5" s="3" t="s">
        <v>247</v>
      </c>
      <c r="D5" s="105">
        <v>64</v>
      </c>
      <c r="E5" s="105">
        <v>70</v>
      </c>
      <c r="F5" s="106">
        <v>180</v>
      </c>
      <c r="G5" s="4">
        <v>35327</v>
      </c>
      <c r="H5" s="110">
        <f t="shared" ca="1" si="0"/>
        <v>24.1</v>
      </c>
      <c r="I5" s="3" t="s">
        <v>1280</v>
      </c>
      <c r="J5" s="3">
        <v>5</v>
      </c>
      <c r="K5" s="3">
        <v>2016</v>
      </c>
      <c r="L5" s="3">
        <v>29</v>
      </c>
      <c r="M5" s="3" t="s">
        <v>1670</v>
      </c>
      <c r="N5" s="3" t="s">
        <v>1</v>
      </c>
      <c r="O5" s="3" t="s">
        <v>1946</v>
      </c>
      <c r="P5" s="11">
        <v>14285714</v>
      </c>
      <c r="Q5" s="11">
        <v>15428571</v>
      </c>
      <c r="R5" s="11">
        <v>16571428</v>
      </c>
      <c r="S5" s="11">
        <v>17714285</v>
      </c>
      <c r="T5" s="14">
        <f>S5*1.5</f>
        <v>26571427.5</v>
      </c>
      <c r="U5" s="3"/>
      <c r="V5" s="70"/>
      <c r="W5" s="70" t="s">
        <v>1671</v>
      </c>
      <c r="X5" s="101">
        <v>1</v>
      </c>
      <c r="Y5" s="101">
        <v>58</v>
      </c>
      <c r="Z5" s="163">
        <f>24/58</f>
        <v>0.41379310344827586</v>
      </c>
      <c r="AA5" s="162">
        <v>108.7</v>
      </c>
      <c r="AB5" s="162">
        <v>113.8</v>
      </c>
      <c r="AC5" s="162">
        <f t="shared" si="1"/>
        <v>-5.0999999999999943</v>
      </c>
      <c r="AD5" s="162">
        <v>25</v>
      </c>
      <c r="AE5" s="162">
        <v>17.100000000000001</v>
      </c>
      <c r="AF5" s="163">
        <v>0.53500000000000003</v>
      </c>
      <c r="AG5" s="162">
        <v>20.6</v>
      </c>
      <c r="AH5" s="162">
        <v>0.9</v>
      </c>
      <c r="AI5" s="162">
        <v>1.7</v>
      </c>
      <c r="AJ5" s="163">
        <v>8.6999999999999994E-2</v>
      </c>
      <c r="AK5" s="162">
        <v>-0.5</v>
      </c>
      <c r="AL5" s="162">
        <v>1.5</v>
      </c>
      <c r="AM5" s="162">
        <v>1.1000000000000001</v>
      </c>
      <c r="AN5" s="162">
        <v>11.4</v>
      </c>
    </row>
    <row r="6" spans="1:41" x14ac:dyDescent="0.2">
      <c r="A6" s="3">
        <v>8</v>
      </c>
      <c r="B6" s="3" t="s">
        <v>216</v>
      </c>
      <c r="C6" s="3" t="s">
        <v>230</v>
      </c>
      <c r="D6" s="105">
        <v>61</v>
      </c>
      <c r="E6" s="105">
        <v>62</v>
      </c>
      <c r="F6" s="106">
        <v>180</v>
      </c>
      <c r="G6" s="4">
        <v>32366</v>
      </c>
      <c r="H6" s="110">
        <f t="shared" ca="1" si="0"/>
        <v>32.200000000000003</v>
      </c>
      <c r="I6" s="3" t="s">
        <v>606</v>
      </c>
      <c r="J6" s="3">
        <v>12</v>
      </c>
      <c r="K6" s="3">
        <v>2009</v>
      </c>
      <c r="L6" s="3">
        <v>55</v>
      </c>
      <c r="M6" s="3" t="s">
        <v>1660</v>
      </c>
      <c r="N6" s="3" t="s">
        <v>1</v>
      </c>
      <c r="O6" s="3" t="s">
        <v>1947</v>
      </c>
      <c r="P6" s="11">
        <v>13285714</v>
      </c>
      <c r="Q6" s="14">
        <f>P6*1.5</f>
        <v>19928571</v>
      </c>
      <c r="R6" s="3"/>
      <c r="S6" s="3"/>
      <c r="T6" s="3"/>
      <c r="U6" s="3"/>
      <c r="V6" s="70" t="s">
        <v>1661</v>
      </c>
      <c r="W6" s="96" t="s">
        <v>284</v>
      </c>
      <c r="X6" s="101">
        <v>1</v>
      </c>
      <c r="Y6" s="101">
        <v>63</v>
      </c>
      <c r="Z6" s="163">
        <f>27/63</f>
        <v>0.42857142857142855</v>
      </c>
      <c r="AA6" s="162">
        <v>112.5</v>
      </c>
      <c r="AB6" s="162">
        <v>108.9</v>
      </c>
      <c r="AC6" s="162">
        <f t="shared" si="1"/>
        <v>3.5999999999999943</v>
      </c>
      <c r="AD6" s="162">
        <v>22.7</v>
      </c>
      <c r="AE6" s="162">
        <v>14.7</v>
      </c>
      <c r="AF6" s="163">
        <v>0.58899999999999997</v>
      </c>
      <c r="AG6" s="162">
        <v>20.5</v>
      </c>
      <c r="AH6" s="162">
        <v>2.1</v>
      </c>
      <c r="AI6" s="162">
        <v>0.5</v>
      </c>
      <c r="AJ6" s="163">
        <v>8.5999999999999993E-2</v>
      </c>
      <c r="AK6" s="162">
        <v>1.1000000000000001</v>
      </c>
      <c r="AL6" s="162">
        <v>-1.2</v>
      </c>
      <c r="AM6" s="162">
        <v>0.7</v>
      </c>
      <c r="AN6" s="162">
        <v>8.1999999999999993</v>
      </c>
    </row>
    <row r="7" spans="1:41" x14ac:dyDescent="0.2">
      <c r="A7" s="3">
        <v>25</v>
      </c>
      <c r="B7" s="3" t="s">
        <v>165</v>
      </c>
      <c r="C7" s="3" t="s">
        <v>234</v>
      </c>
      <c r="D7" s="105">
        <v>71</v>
      </c>
      <c r="E7" s="105">
        <v>71</v>
      </c>
      <c r="F7" s="106">
        <v>245</v>
      </c>
      <c r="G7" s="4">
        <v>34987</v>
      </c>
      <c r="H7" s="110">
        <f t="shared" ca="1" si="0"/>
        <v>25.1</v>
      </c>
      <c r="I7" s="3" t="s">
        <v>675</v>
      </c>
      <c r="J7" s="3">
        <v>5</v>
      </c>
      <c r="K7" s="3">
        <v>2016</v>
      </c>
      <c r="L7" s="3">
        <v>9</v>
      </c>
      <c r="M7" s="3" t="s">
        <v>1651</v>
      </c>
      <c r="N7" s="3" t="s">
        <v>1</v>
      </c>
      <c r="O7" s="26" t="s">
        <v>2450</v>
      </c>
      <c r="P7" s="16">
        <v>8101852</v>
      </c>
      <c r="Q7" s="16">
        <v>8750000</v>
      </c>
      <c r="R7" s="16">
        <v>9398148</v>
      </c>
      <c r="S7" s="14">
        <f>R7*1.9</f>
        <v>17856481.199999999</v>
      </c>
      <c r="T7" s="3"/>
      <c r="U7" s="3"/>
      <c r="V7" s="70"/>
      <c r="W7" s="96" t="s">
        <v>238</v>
      </c>
      <c r="X7" s="101">
        <v>5</v>
      </c>
      <c r="Y7" s="101">
        <v>58</v>
      </c>
      <c r="Z7" s="163">
        <f>25/58</f>
        <v>0.43103448275862066</v>
      </c>
      <c r="AA7" s="162">
        <v>112.4</v>
      </c>
      <c r="AB7" s="162">
        <v>108.6</v>
      </c>
      <c r="AC7" s="162">
        <f t="shared" si="1"/>
        <v>3.8000000000000114</v>
      </c>
      <c r="AD7" s="162">
        <v>16.600000000000001</v>
      </c>
      <c r="AE7" s="162">
        <v>19.600000000000001</v>
      </c>
      <c r="AF7" s="163">
        <v>0.61099999999999999</v>
      </c>
      <c r="AG7" s="162">
        <v>13.3</v>
      </c>
      <c r="AH7" s="162">
        <v>2</v>
      </c>
      <c r="AI7" s="162">
        <v>1.3</v>
      </c>
      <c r="AJ7" s="163">
        <v>0.16500000000000001</v>
      </c>
      <c r="AK7" s="162">
        <v>0.8</v>
      </c>
      <c r="AL7" s="162">
        <v>2.2999999999999998</v>
      </c>
      <c r="AM7" s="162">
        <v>1.2</v>
      </c>
      <c r="AN7" s="162">
        <v>11.2</v>
      </c>
    </row>
    <row r="8" spans="1:41" x14ac:dyDescent="0.2">
      <c r="A8" s="3">
        <v>41</v>
      </c>
      <c r="B8" s="3" t="s">
        <v>164</v>
      </c>
      <c r="C8" s="3" t="s">
        <v>234</v>
      </c>
      <c r="D8" s="105">
        <v>69</v>
      </c>
      <c r="E8" s="105">
        <v>74</v>
      </c>
      <c r="F8" s="106">
        <v>234</v>
      </c>
      <c r="G8" s="4">
        <v>35008</v>
      </c>
      <c r="H8" s="110">
        <f t="shared" ca="1" si="0"/>
        <v>25</v>
      </c>
      <c r="I8" s="3" t="s">
        <v>266</v>
      </c>
      <c r="J8" s="3">
        <v>6</v>
      </c>
      <c r="K8" s="3">
        <v>2015</v>
      </c>
      <c r="L8" s="3">
        <v>12</v>
      </c>
      <c r="M8" s="3" t="s">
        <v>1517</v>
      </c>
      <c r="N8" s="3" t="s">
        <v>495</v>
      </c>
      <c r="O8" s="3" t="s">
        <v>2497</v>
      </c>
      <c r="P8" s="16">
        <v>5500000</v>
      </c>
      <c r="Q8" s="14">
        <f>P8*1.3</f>
        <v>7150000</v>
      </c>
      <c r="R8" s="3"/>
      <c r="S8" s="3"/>
      <c r="T8" s="3"/>
      <c r="U8" s="3"/>
      <c r="V8" s="70"/>
      <c r="W8" s="70" t="s">
        <v>1662</v>
      </c>
      <c r="X8" s="101">
        <v>4</v>
      </c>
      <c r="Y8" s="101">
        <v>63</v>
      </c>
      <c r="Z8" s="163">
        <f>27/63</f>
        <v>0.42857142857142855</v>
      </c>
      <c r="AA8" s="162">
        <v>111.3</v>
      </c>
      <c r="AB8" s="162">
        <v>113.7</v>
      </c>
      <c r="AC8" s="162">
        <f t="shared" si="1"/>
        <v>-2.4000000000000057</v>
      </c>
      <c r="AD8" s="162">
        <v>20.2</v>
      </c>
      <c r="AE8" s="162">
        <v>12.7</v>
      </c>
      <c r="AF8" s="163">
        <v>0.55700000000000005</v>
      </c>
      <c r="AG8" s="162">
        <v>13.7</v>
      </c>
      <c r="AH8" s="162">
        <v>1.2</v>
      </c>
      <c r="AI8" s="162">
        <v>1</v>
      </c>
      <c r="AJ8" s="163">
        <v>8.1000000000000003E-2</v>
      </c>
      <c r="AK8" s="162">
        <v>-0.5</v>
      </c>
      <c r="AL8" s="162">
        <v>-0.7</v>
      </c>
      <c r="AM8" s="162">
        <v>0.2</v>
      </c>
      <c r="AN8" s="162">
        <v>8.8000000000000007</v>
      </c>
    </row>
    <row r="9" spans="1:41" x14ac:dyDescent="0.2">
      <c r="A9" s="3"/>
      <c r="B9" s="3" t="s">
        <v>2269</v>
      </c>
      <c r="C9" s="3" t="s">
        <v>252</v>
      </c>
      <c r="D9" s="105">
        <v>67</v>
      </c>
      <c r="E9" s="105">
        <v>610</v>
      </c>
      <c r="F9" s="106">
        <v>194</v>
      </c>
      <c r="G9" s="4">
        <v>36761</v>
      </c>
      <c r="H9" s="110">
        <f t="shared" ca="1" si="0"/>
        <v>20.2</v>
      </c>
      <c r="I9" s="3" t="s">
        <v>494</v>
      </c>
      <c r="J9" s="3">
        <v>1</v>
      </c>
      <c r="K9" s="3">
        <v>2020</v>
      </c>
      <c r="L9" s="3">
        <v>11</v>
      </c>
      <c r="M9" s="3" t="s">
        <v>2270</v>
      </c>
      <c r="N9" s="3" t="s">
        <v>244</v>
      </c>
      <c r="O9" s="3" t="s">
        <v>2268</v>
      </c>
      <c r="P9" s="11">
        <v>4033440</v>
      </c>
      <c r="Q9" s="11">
        <v>4235160</v>
      </c>
      <c r="R9" s="50">
        <v>4437000</v>
      </c>
      <c r="S9" s="50">
        <v>5887899</v>
      </c>
      <c r="T9" s="49">
        <v>17663697</v>
      </c>
      <c r="U9" s="3"/>
      <c r="V9" s="70"/>
      <c r="W9" s="70"/>
      <c r="X9" s="101"/>
      <c r="Y9" s="101"/>
      <c r="Z9" s="163"/>
      <c r="AA9" s="162"/>
      <c r="AB9" s="162"/>
      <c r="AC9" s="162"/>
      <c r="AD9" s="162"/>
      <c r="AE9" s="162"/>
      <c r="AF9" s="163"/>
      <c r="AG9" s="162"/>
      <c r="AH9" s="162"/>
      <c r="AI9" s="162"/>
      <c r="AJ9" s="163"/>
      <c r="AK9" s="162"/>
      <c r="AL9" s="162"/>
      <c r="AM9" s="162"/>
      <c r="AN9" s="162"/>
    </row>
    <row r="10" spans="1:41" x14ac:dyDescent="0.2">
      <c r="A10" s="3">
        <v>4</v>
      </c>
      <c r="B10" s="3" t="s">
        <v>1675</v>
      </c>
      <c r="C10" s="3" t="s">
        <v>230</v>
      </c>
      <c r="D10" s="105">
        <v>64</v>
      </c>
      <c r="E10" s="105">
        <v>68</v>
      </c>
      <c r="F10" s="106">
        <v>190</v>
      </c>
      <c r="G10" s="4">
        <v>34517</v>
      </c>
      <c r="H10" s="110">
        <f t="shared" ca="1" si="0"/>
        <v>26.4</v>
      </c>
      <c r="I10" s="3" t="s">
        <v>411</v>
      </c>
      <c r="J10" s="3">
        <v>4</v>
      </c>
      <c r="K10" s="3">
        <v>2017</v>
      </c>
      <c r="L10" s="3">
        <v>29</v>
      </c>
      <c r="M10" s="3" t="s">
        <v>1676</v>
      </c>
      <c r="N10" s="3" t="s">
        <v>244</v>
      </c>
      <c r="O10" s="3" t="s">
        <v>1948</v>
      </c>
      <c r="P10" s="11">
        <v>3516284</v>
      </c>
      <c r="Q10" s="49">
        <f>P10*3</f>
        <v>10548852</v>
      </c>
      <c r="R10" s="3"/>
      <c r="S10" s="3"/>
      <c r="T10" s="3"/>
      <c r="U10" s="3"/>
      <c r="V10" s="70"/>
      <c r="W10" s="70" t="s">
        <v>1677</v>
      </c>
      <c r="X10" s="101">
        <v>2</v>
      </c>
      <c r="Y10" s="101">
        <v>61</v>
      </c>
      <c r="Z10" s="163">
        <f>27/61</f>
        <v>0.44262295081967212</v>
      </c>
      <c r="AA10" s="162">
        <v>109.1</v>
      </c>
      <c r="AB10" s="162">
        <v>109.4</v>
      </c>
      <c r="AC10" s="162">
        <f t="shared" si="1"/>
        <v>-0.30000000000001137</v>
      </c>
      <c r="AD10" s="162">
        <v>24.1</v>
      </c>
      <c r="AE10" s="162">
        <v>15.9</v>
      </c>
      <c r="AF10" s="163">
        <v>0.58499999999999996</v>
      </c>
      <c r="AG10" s="162">
        <v>18.2</v>
      </c>
      <c r="AH10" s="162">
        <v>2.5</v>
      </c>
      <c r="AI10" s="162">
        <v>0.9</v>
      </c>
      <c r="AJ10" s="163">
        <v>0.11</v>
      </c>
      <c r="AK10" s="162">
        <v>0.7</v>
      </c>
      <c r="AL10" s="162">
        <v>0.2</v>
      </c>
      <c r="AM10" s="162">
        <v>1.1000000000000001</v>
      </c>
      <c r="AN10" s="162">
        <v>9.8000000000000007</v>
      </c>
    </row>
    <row r="11" spans="1:41" x14ac:dyDescent="0.2">
      <c r="A11" s="3">
        <v>1</v>
      </c>
      <c r="B11" s="3" t="s">
        <v>1664</v>
      </c>
      <c r="C11" s="3" t="s">
        <v>252</v>
      </c>
      <c r="D11" s="105">
        <v>65</v>
      </c>
      <c r="E11" s="105">
        <v>610</v>
      </c>
      <c r="F11" s="106">
        <v>204</v>
      </c>
      <c r="G11" s="4">
        <v>36143</v>
      </c>
      <c r="H11" s="110">
        <f t="shared" ca="1" si="0"/>
        <v>21.9</v>
      </c>
      <c r="I11" s="3" t="s">
        <v>642</v>
      </c>
      <c r="J11" s="3">
        <v>3</v>
      </c>
      <c r="K11" s="3">
        <v>2018</v>
      </c>
      <c r="L11" s="3">
        <v>18</v>
      </c>
      <c r="M11" s="3" t="s">
        <v>1665</v>
      </c>
      <c r="N11" s="3" t="s">
        <v>244</v>
      </c>
      <c r="O11" s="3" t="s">
        <v>1949</v>
      </c>
      <c r="P11" s="11">
        <v>2892000</v>
      </c>
      <c r="Q11" s="11">
        <v>4447896</v>
      </c>
      <c r="R11" s="49">
        <f>Q11*3</f>
        <v>13343688</v>
      </c>
      <c r="S11" s="3"/>
      <c r="T11" s="3"/>
      <c r="U11" s="3"/>
      <c r="V11" s="70"/>
      <c r="W11" s="70" t="s">
        <v>1666</v>
      </c>
      <c r="X11" s="101">
        <v>3</v>
      </c>
      <c r="Y11" s="101">
        <v>53</v>
      </c>
      <c r="Z11" s="163">
        <f>24/53</f>
        <v>0.45283018867924529</v>
      </c>
      <c r="AA11" s="162">
        <v>108</v>
      </c>
      <c r="AB11" s="162">
        <v>109.4</v>
      </c>
      <c r="AC11" s="162">
        <f t="shared" si="1"/>
        <v>-1.4000000000000057</v>
      </c>
      <c r="AD11" s="162">
        <v>14.5</v>
      </c>
      <c r="AE11" s="162">
        <v>11</v>
      </c>
      <c r="AF11" s="163">
        <v>0.51500000000000001</v>
      </c>
      <c r="AG11" s="162">
        <v>18.2</v>
      </c>
      <c r="AH11" s="162">
        <v>0</v>
      </c>
      <c r="AI11" s="162">
        <v>0.5</v>
      </c>
      <c r="AJ11" s="163">
        <v>2.8000000000000001E-2</v>
      </c>
      <c r="AK11" s="162">
        <v>-2.5</v>
      </c>
      <c r="AL11" s="162">
        <v>-0.7</v>
      </c>
      <c r="AM11" s="162">
        <v>-0.2</v>
      </c>
      <c r="AN11" s="162">
        <v>6.8</v>
      </c>
    </row>
    <row r="12" spans="1:41" x14ac:dyDescent="0.2">
      <c r="A12" s="3">
        <v>19</v>
      </c>
      <c r="B12" s="3" t="s">
        <v>1667</v>
      </c>
      <c r="C12" s="3" t="s">
        <v>234</v>
      </c>
      <c r="D12" s="105">
        <v>610</v>
      </c>
      <c r="E12" s="105">
        <v>611</v>
      </c>
      <c r="F12" s="106">
        <v>227</v>
      </c>
      <c r="G12" s="4">
        <v>36534</v>
      </c>
      <c r="H12" s="110">
        <f t="shared" ca="1" si="0"/>
        <v>20.8</v>
      </c>
      <c r="I12" s="3" t="s">
        <v>1167</v>
      </c>
      <c r="J12" s="3">
        <v>2</v>
      </c>
      <c r="K12" s="3">
        <v>2019</v>
      </c>
      <c r="L12" s="3">
        <v>19</v>
      </c>
      <c r="M12" s="3" t="s">
        <v>1668</v>
      </c>
      <c r="N12" s="3" t="s">
        <v>244</v>
      </c>
      <c r="O12" s="11" t="s">
        <v>1950</v>
      </c>
      <c r="P12" s="11">
        <v>2824320</v>
      </c>
      <c r="Q12" s="50">
        <v>2959080</v>
      </c>
      <c r="R12" s="50">
        <v>4556983</v>
      </c>
      <c r="S12" s="49">
        <f>R12*3</f>
        <v>13670949</v>
      </c>
      <c r="T12" s="3"/>
      <c r="U12" s="3"/>
      <c r="V12" s="70"/>
      <c r="W12" s="96" t="s">
        <v>238</v>
      </c>
      <c r="X12" s="101">
        <v>5</v>
      </c>
      <c r="Y12" s="101">
        <v>1</v>
      </c>
      <c r="Z12" s="163">
        <f>0/1</f>
        <v>0</v>
      </c>
      <c r="AA12" s="162">
        <v>100</v>
      </c>
      <c r="AB12" s="162">
        <v>73.099999999999994</v>
      </c>
      <c r="AC12" s="162">
        <f t="shared" si="1"/>
        <v>26.900000000000006</v>
      </c>
      <c r="AD12" s="162">
        <v>12</v>
      </c>
      <c r="AE12" s="162">
        <v>-3.4</v>
      </c>
      <c r="AF12" s="163">
        <v>0</v>
      </c>
      <c r="AG12" s="162">
        <v>14.5</v>
      </c>
      <c r="AH12" s="162">
        <v>-0.1</v>
      </c>
      <c r="AI12" s="162">
        <v>0</v>
      </c>
      <c r="AJ12" s="163">
        <v>-0.252</v>
      </c>
      <c r="AK12" s="162">
        <v>-7.4</v>
      </c>
      <c r="AL12" s="162">
        <v>-4.5</v>
      </c>
      <c r="AM12" s="162">
        <v>0</v>
      </c>
      <c r="AN12" s="162">
        <v>2.5</v>
      </c>
    </row>
    <row r="13" spans="1:41" x14ac:dyDescent="0.2">
      <c r="A13" s="3">
        <v>40</v>
      </c>
      <c r="B13" s="3" t="s">
        <v>1846</v>
      </c>
      <c r="C13" s="3" t="s">
        <v>234</v>
      </c>
      <c r="D13" s="105">
        <v>70</v>
      </c>
      <c r="E13" s="105">
        <v>70</v>
      </c>
      <c r="F13" s="106">
        <v>252</v>
      </c>
      <c r="G13" s="4">
        <v>32890</v>
      </c>
      <c r="H13" s="110">
        <f t="shared" ca="1" si="0"/>
        <v>30.8</v>
      </c>
      <c r="I13" s="3" t="s">
        <v>275</v>
      </c>
      <c r="J13" s="3">
        <v>9</v>
      </c>
      <c r="K13" s="3">
        <v>2012</v>
      </c>
      <c r="L13" s="3">
        <v>17</v>
      </c>
      <c r="M13" s="3" t="s">
        <v>1848</v>
      </c>
      <c r="N13" s="3" t="s">
        <v>276</v>
      </c>
      <c r="O13" s="159" t="s">
        <v>1864</v>
      </c>
      <c r="P13" s="15">
        <v>2436046</v>
      </c>
      <c r="Q13" s="14">
        <v>1856061</v>
      </c>
      <c r="R13" s="3"/>
      <c r="S13" s="3"/>
      <c r="T13" s="3"/>
      <c r="U13" s="3"/>
      <c r="V13" s="70"/>
      <c r="W13" s="70"/>
      <c r="X13" s="101"/>
      <c r="Y13" s="101"/>
      <c r="Z13" s="163"/>
      <c r="AA13" s="162"/>
      <c r="AB13" s="162"/>
      <c r="AC13" s="162"/>
      <c r="AD13" s="162"/>
      <c r="AE13" s="162"/>
      <c r="AF13" s="163"/>
      <c r="AG13" s="162"/>
      <c r="AH13" s="162"/>
      <c r="AI13" s="162"/>
      <c r="AJ13" s="163"/>
      <c r="AK13" s="162"/>
      <c r="AL13" s="162"/>
      <c r="AM13" s="162"/>
      <c r="AN13" s="162"/>
    </row>
    <row r="14" spans="1:41" x14ac:dyDescent="0.2">
      <c r="A14" s="3">
        <v>3</v>
      </c>
      <c r="B14" s="3" t="s">
        <v>1672</v>
      </c>
      <c r="C14" s="3" t="s">
        <v>241</v>
      </c>
      <c r="D14" s="105">
        <v>65</v>
      </c>
      <c r="E14" s="105">
        <v>69</v>
      </c>
      <c r="F14" s="106">
        <v>220</v>
      </c>
      <c r="G14" s="4">
        <v>36444</v>
      </c>
      <c r="H14" s="110">
        <f t="shared" ca="1" si="0"/>
        <v>21.1</v>
      </c>
      <c r="I14" s="3" t="s">
        <v>266</v>
      </c>
      <c r="J14" s="3">
        <v>2</v>
      </c>
      <c r="K14" s="3">
        <v>2019</v>
      </c>
      <c r="L14" s="3">
        <v>29</v>
      </c>
      <c r="M14" s="3" t="s">
        <v>1673</v>
      </c>
      <c r="N14" s="3" t="s">
        <v>244</v>
      </c>
      <c r="O14" s="11" t="s">
        <v>1896</v>
      </c>
      <c r="P14" s="11">
        <v>2048040</v>
      </c>
      <c r="Q14" s="11">
        <v>2145720</v>
      </c>
      <c r="R14" s="11">
        <v>3873025</v>
      </c>
      <c r="S14" s="49">
        <f>R14*3</f>
        <v>11619075</v>
      </c>
      <c r="T14" s="3"/>
      <c r="U14" s="3"/>
      <c r="V14" s="70"/>
      <c r="W14" s="70" t="s">
        <v>1674</v>
      </c>
      <c r="X14" s="101">
        <v>3</v>
      </c>
      <c r="Y14" s="101">
        <v>9</v>
      </c>
      <c r="Z14" s="163">
        <f>3/9</f>
        <v>0.33333333333333331</v>
      </c>
      <c r="AA14" s="162">
        <v>109.4</v>
      </c>
      <c r="AB14" s="162">
        <v>95.7</v>
      </c>
      <c r="AC14" s="162">
        <f t="shared" ref="AC14:AC18" si="2">AA14-AB14</f>
        <v>13.700000000000003</v>
      </c>
      <c r="AD14" s="162">
        <v>10.199999999999999</v>
      </c>
      <c r="AE14" s="162">
        <v>16.600000000000001</v>
      </c>
      <c r="AF14" s="163">
        <v>0.57899999999999996</v>
      </c>
      <c r="AG14" s="162">
        <v>18.100000000000001</v>
      </c>
      <c r="AH14" s="162">
        <v>0.2</v>
      </c>
      <c r="AI14" s="162">
        <v>0.1</v>
      </c>
      <c r="AJ14" s="163">
        <v>0.11899999999999999</v>
      </c>
      <c r="AK14" s="162">
        <v>-0.3</v>
      </c>
      <c r="AL14" s="162">
        <v>-0.6</v>
      </c>
      <c r="AM14" s="162">
        <v>0</v>
      </c>
      <c r="AN14" s="162">
        <v>9.5</v>
      </c>
    </row>
    <row r="15" spans="1:41" x14ac:dyDescent="0.2">
      <c r="A15" s="3">
        <v>14</v>
      </c>
      <c r="B15" s="3" t="s">
        <v>1683</v>
      </c>
      <c r="C15" s="3" t="s">
        <v>234</v>
      </c>
      <c r="D15" s="105">
        <v>69</v>
      </c>
      <c r="E15" s="105">
        <v>611</v>
      </c>
      <c r="F15" s="106">
        <v>245</v>
      </c>
      <c r="G15" s="4">
        <v>35462</v>
      </c>
      <c r="H15" s="110">
        <f t="shared" ca="1" si="0"/>
        <v>23.8</v>
      </c>
      <c r="I15" s="3" t="s">
        <v>1684</v>
      </c>
      <c r="J15" s="3">
        <v>3</v>
      </c>
      <c r="K15" s="3">
        <v>2018</v>
      </c>
      <c r="L15" s="3"/>
      <c r="M15" s="3" t="s">
        <v>1685</v>
      </c>
      <c r="N15" s="3" t="s">
        <v>5</v>
      </c>
      <c r="O15" s="3" t="s">
        <v>2440</v>
      </c>
      <c r="P15" s="175">
        <v>1620564</v>
      </c>
      <c r="Q15" s="250">
        <v>1762796</v>
      </c>
      <c r="R15" s="250">
        <v>1910860</v>
      </c>
      <c r="S15" s="234"/>
      <c r="T15" s="3"/>
      <c r="U15" s="3"/>
      <c r="V15" s="70"/>
      <c r="W15" s="70" t="s">
        <v>843</v>
      </c>
      <c r="X15" s="101">
        <v>5</v>
      </c>
      <c r="Y15" s="101">
        <v>14</v>
      </c>
      <c r="Z15" s="163">
        <f>8/14</f>
        <v>0.5714285714285714</v>
      </c>
      <c r="AA15" s="162">
        <v>104.6</v>
      </c>
      <c r="AB15" s="162">
        <v>119.7</v>
      </c>
      <c r="AC15" s="162">
        <f t="shared" si="2"/>
        <v>-15.100000000000009</v>
      </c>
      <c r="AD15" s="162">
        <v>9.3000000000000007</v>
      </c>
      <c r="AE15" s="162">
        <v>15.3</v>
      </c>
      <c r="AF15" s="163">
        <v>0.77600000000000002</v>
      </c>
      <c r="AG15" s="162">
        <v>14.3</v>
      </c>
      <c r="AH15" s="162">
        <v>0.2</v>
      </c>
      <c r="AI15" s="162">
        <v>0.1</v>
      </c>
      <c r="AJ15" s="163">
        <v>0.12</v>
      </c>
      <c r="AK15" s="162">
        <v>-2.6</v>
      </c>
      <c r="AL15" s="162">
        <v>-1</v>
      </c>
      <c r="AM15" s="162">
        <v>-0.1</v>
      </c>
      <c r="AN15" s="162">
        <v>8.8000000000000007</v>
      </c>
    </row>
    <row r="16" spans="1:41" x14ac:dyDescent="0.2">
      <c r="A16" s="3"/>
      <c r="B16" s="3" t="s">
        <v>1237</v>
      </c>
      <c r="C16" s="70" t="s">
        <v>252</v>
      </c>
      <c r="D16" s="223">
        <v>67</v>
      </c>
      <c r="E16" s="223"/>
      <c r="F16" s="224">
        <v>225</v>
      </c>
      <c r="G16" s="4">
        <v>34737</v>
      </c>
      <c r="H16" s="162">
        <f t="shared" ca="1" si="0"/>
        <v>25.8</v>
      </c>
      <c r="I16" s="70" t="s">
        <v>1238</v>
      </c>
      <c r="J16" s="3">
        <v>3</v>
      </c>
      <c r="K16" s="107">
        <v>2018</v>
      </c>
      <c r="L16" s="107"/>
      <c r="M16" s="3" t="s">
        <v>2436</v>
      </c>
      <c r="N16" s="3" t="s">
        <v>2403</v>
      </c>
      <c r="O16" s="70" t="s">
        <v>2533</v>
      </c>
      <c r="P16" s="250">
        <v>1620564</v>
      </c>
      <c r="Q16" s="34"/>
      <c r="R16" s="54"/>
      <c r="S16" s="54"/>
      <c r="T16" s="54"/>
      <c r="U16" s="70"/>
      <c r="V16" s="70"/>
      <c r="W16" s="70"/>
      <c r="X16" s="101"/>
      <c r="Y16" s="101"/>
      <c r="Z16" s="163"/>
      <c r="AA16" s="162"/>
      <c r="AB16" s="162"/>
      <c r="AC16" s="162"/>
      <c r="AD16" s="162"/>
      <c r="AE16" s="162"/>
      <c r="AF16" s="163"/>
      <c r="AG16" s="162"/>
      <c r="AH16" s="162"/>
      <c r="AI16" s="162"/>
      <c r="AJ16" s="163"/>
      <c r="AK16" s="162"/>
      <c r="AL16" s="162"/>
      <c r="AM16" s="162"/>
      <c r="AN16" s="162"/>
    </row>
    <row r="17" spans="1:40" x14ac:dyDescent="0.2">
      <c r="A17" s="3">
        <v>15</v>
      </c>
      <c r="B17" s="3" t="s">
        <v>167</v>
      </c>
      <c r="C17" s="3" t="s">
        <v>252</v>
      </c>
      <c r="D17" s="105">
        <v>63</v>
      </c>
      <c r="E17" s="105">
        <v>69</v>
      </c>
      <c r="F17" s="106">
        <v>205</v>
      </c>
      <c r="G17" s="4">
        <v>35318</v>
      </c>
      <c r="H17" s="110">
        <f t="shared" ca="1" si="0"/>
        <v>24.2</v>
      </c>
      <c r="I17" s="3" t="s">
        <v>1680</v>
      </c>
      <c r="J17" s="3">
        <v>2</v>
      </c>
      <c r="K17" s="3">
        <v>2019</v>
      </c>
      <c r="L17" s="3">
        <v>49</v>
      </c>
      <c r="M17" s="3" t="s">
        <v>1681</v>
      </c>
      <c r="N17" s="3" t="s">
        <v>288</v>
      </c>
      <c r="O17" s="3" t="s">
        <v>2516</v>
      </c>
      <c r="P17" s="57" t="s">
        <v>288</v>
      </c>
      <c r="Q17" s="34"/>
      <c r="R17" s="3"/>
      <c r="S17" s="3"/>
      <c r="T17" s="3"/>
      <c r="U17" s="3"/>
      <c r="V17" s="70"/>
      <c r="W17" s="70" t="s">
        <v>1682</v>
      </c>
      <c r="X17" s="101">
        <v>2</v>
      </c>
      <c r="Y17" s="101">
        <v>3</v>
      </c>
      <c r="Z17" s="163">
        <f>0/3</f>
        <v>0</v>
      </c>
      <c r="AA17" s="162">
        <v>93.9</v>
      </c>
      <c r="AB17" s="162">
        <v>79.400000000000006</v>
      </c>
      <c r="AC17" s="162">
        <f t="shared" si="2"/>
        <v>14.5</v>
      </c>
      <c r="AD17" s="162">
        <v>5</v>
      </c>
      <c r="AE17" s="162">
        <v>-5.0999999999999996</v>
      </c>
      <c r="AF17" s="163">
        <v>0</v>
      </c>
      <c r="AG17" s="162">
        <v>8.6999999999999993</v>
      </c>
      <c r="AH17" s="162">
        <v>-0.1</v>
      </c>
      <c r="AI17" s="162">
        <v>0</v>
      </c>
      <c r="AJ17" s="163">
        <v>-0.19700000000000001</v>
      </c>
      <c r="AK17" s="162">
        <v>-9.1</v>
      </c>
      <c r="AL17" s="162">
        <v>-6</v>
      </c>
      <c r="AM17" s="162">
        <v>-0.1</v>
      </c>
      <c r="AN17" s="162">
        <v>-2.1</v>
      </c>
    </row>
    <row r="18" spans="1:40" x14ac:dyDescent="0.2">
      <c r="A18" s="3">
        <v>6</v>
      </c>
      <c r="B18" s="3" t="s">
        <v>43</v>
      </c>
      <c r="C18" s="3" t="s">
        <v>234</v>
      </c>
      <c r="D18" s="105">
        <v>68</v>
      </c>
      <c r="E18" s="105">
        <v>73</v>
      </c>
      <c r="F18" s="106">
        <v>229</v>
      </c>
      <c r="G18" s="4">
        <v>35087</v>
      </c>
      <c r="H18" s="110">
        <f t="shared" ca="1" si="0"/>
        <v>24.8</v>
      </c>
      <c r="I18" s="3" t="s">
        <v>749</v>
      </c>
      <c r="J18" s="3">
        <v>3</v>
      </c>
      <c r="K18" s="109">
        <v>2018</v>
      </c>
      <c r="L18" s="109">
        <v>48</v>
      </c>
      <c r="M18" s="3" t="s">
        <v>2436</v>
      </c>
      <c r="N18" s="3" t="s">
        <v>288</v>
      </c>
      <c r="O18" s="3" t="s">
        <v>2516</v>
      </c>
      <c r="P18" s="16" t="s">
        <v>288</v>
      </c>
      <c r="Q18" s="49"/>
      <c r="R18" s="3"/>
      <c r="S18" s="144"/>
      <c r="T18" s="12"/>
      <c r="U18" s="12"/>
      <c r="V18" s="3"/>
      <c r="W18" s="135" t="s">
        <v>751</v>
      </c>
      <c r="X18" s="69">
        <v>4</v>
      </c>
      <c r="Y18" s="69">
        <v>37</v>
      </c>
      <c r="Z18" s="65">
        <f>8/37</f>
        <v>0.21621621621621623</v>
      </c>
      <c r="AA18" s="119">
        <v>98.1</v>
      </c>
      <c r="AB18" s="119">
        <v>109.7</v>
      </c>
      <c r="AC18" s="119">
        <f t="shared" si="2"/>
        <v>-11.600000000000009</v>
      </c>
      <c r="AD18" s="119">
        <v>17.5</v>
      </c>
      <c r="AE18" s="119">
        <v>12.5</v>
      </c>
      <c r="AF18" s="65">
        <v>0.53500000000000003</v>
      </c>
      <c r="AG18" s="119">
        <v>15.8</v>
      </c>
      <c r="AH18" s="119">
        <v>0.6</v>
      </c>
      <c r="AI18" s="119">
        <v>0.5</v>
      </c>
      <c r="AJ18" s="65">
        <v>7.5999999999999998E-2</v>
      </c>
      <c r="AK18" s="119">
        <v>-0.8</v>
      </c>
      <c r="AL18" s="119">
        <v>-0.1</v>
      </c>
      <c r="AM18" s="119">
        <v>0.2</v>
      </c>
      <c r="AN18" s="119">
        <v>8.8000000000000007</v>
      </c>
    </row>
    <row r="19" spans="1:40" x14ac:dyDescent="0.2">
      <c r="A19" s="3"/>
      <c r="B19" s="3" t="s">
        <v>290</v>
      </c>
      <c r="C19" s="3"/>
      <c r="D19" s="105"/>
      <c r="E19" s="105"/>
      <c r="F19" s="106"/>
      <c r="G19" s="3"/>
      <c r="H19" s="110"/>
      <c r="I19" s="3"/>
      <c r="J19" s="3"/>
      <c r="K19" s="3"/>
      <c r="L19" s="3"/>
      <c r="M19" s="3"/>
      <c r="N19" s="3"/>
      <c r="O19" s="3"/>
      <c r="P19" s="11">
        <f>6167887</f>
        <v>6167887</v>
      </c>
      <c r="Q19" s="11">
        <f>1252127</f>
        <v>1252127</v>
      </c>
      <c r="R19" s="11"/>
      <c r="S19" s="11"/>
      <c r="T19" s="3"/>
      <c r="U19" s="3"/>
      <c r="V19" s="70"/>
      <c r="W19" s="70"/>
      <c r="X19" s="101"/>
      <c r="Y19" s="101"/>
      <c r="Z19" s="163"/>
      <c r="AA19" s="162"/>
      <c r="AB19" s="162"/>
      <c r="AC19" s="162"/>
      <c r="AD19" s="162"/>
      <c r="AE19" s="162"/>
      <c r="AF19" s="163"/>
      <c r="AG19" s="162"/>
      <c r="AH19" s="162"/>
      <c r="AI19" s="162"/>
      <c r="AJ19" s="163"/>
      <c r="AK19" s="162"/>
      <c r="AL19" s="162"/>
      <c r="AM19" s="162"/>
      <c r="AN19" s="162"/>
    </row>
    <row r="20" spans="1:40" x14ac:dyDescent="0.2">
      <c r="A20" s="3"/>
      <c r="B20" s="3" t="s">
        <v>2343</v>
      </c>
      <c r="C20" s="3" t="s">
        <v>247</v>
      </c>
      <c r="D20" s="105">
        <v>63</v>
      </c>
      <c r="E20" s="105">
        <v>64</v>
      </c>
      <c r="F20" s="106">
        <v>185</v>
      </c>
      <c r="G20" s="4">
        <v>36533</v>
      </c>
      <c r="H20" s="110">
        <f ca="1">ROUNDDOWN(YEARFRAC($G$22,G20),1)</f>
        <v>20.8</v>
      </c>
      <c r="I20" s="3" t="s">
        <v>253</v>
      </c>
      <c r="J20" s="3">
        <v>2</v>
      </c>
      <c r="K20" s="3">
        <v>20</v>
      </c>
      <c r="L20" s="3">
        <v>41</v>
      </c>
      <c r="M20" s="3" t="s">
        <v>2344</v>
      </c>
      <c r="N20" s="3"/>
      <c r="O20" s="3"/>
      <c r="P20" s="168">
        <v>898310</v>
      </c>
      <c r="Q20" s="3"/>
      <c r="R20" s="3"/>
      <c r="S20" s="3"/>
      <c r="T20" s="3"/>
      <c r="U20" s="3"/>
      <c r="V20" s="70"/>
      <c r="W20" s="70"/>
      <c r="X20" s="101"/>
      <c r="Y20" s="101"/>
      <c r="Z20" s="163"/>
      <c r="AA20" s="162"/>
      <c r="AB20" s="162"/>
      <c r="AC20" s="162"/>
      <c r="AD20" s="162"/>
      <c r="AE20" s="162"/>
      <c r="AF20" s="163"/>
      <c r="AG20" s="162"/>
      <c r="AH20" s="162"/>
      <c r="AI20" s="162"/>
      <c r="AJ20" s="163"/>
      <c r="AK20" s="162"/>
      <c r="AL20" s="162"/>
      <c r="AM20" s="162"/>
      <c r="AN20" s="162"/>
    </row>
    <row r="21" spans="1:4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3"/>
      <c r="R21" s="3"/>
      <c r="S21" s="3"/>
      <c r="T21" s="3"/>
      <c r="U21" s="3"/>
      <c r="V21" s="70"/>
      <c r="W21" s="70"/>
      <c r="X21" s="101"/>
      <c r="Y21" s="101"/>
      <c r="Z21" s="163"/>
      <c r="AA21" s="162"/>
      <c r="AB21" s="162"/>
      <c r="AC21" s="162"/>
      <c r="AD21" s="162"/>
      <c r="AE21" s="162"/>
      <c r="AF21" s="163"/>
      <c r="AG21" s="162"/>
      <c r="AH21" s="162"/>
      <c r="AI21" s="162"/>
      <c r="AJ21" s="163"/>
      <c r="AK21" s="162"/>
      <c r="AL21" s="162"/>
      <c r="AM21" s="162"/>
      <c r="AN21" s="162"/>
    </row>
    <row r="22" spans="1:40" x14ac:dyDescent="0.2">
      <c r="A22" s="3"/>
      <c r="B22" s="3"/>
      <c r="C22" s="3"/>
      <c r="D22" s="3"/>
      <c r="E22" s="3"/>
      <c r="F22" s="3"/>
      <c r="G22" s="4">
        <f ca="1">TODAY()</f>
        <v>44162</v>
      </c>
      <c r="H22" s="36">
        <f ca="1">AVERAGE(H2:H15)</f>
        <v>26.585714285714289</v>
      </c>
      <c r="I22" s="3"/>
      <c r="J22" s="36">
        <f>AVERAGE(J2:J15)</f>
        <v>6.7142857142857144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X22" s="134"/>
      <c r="Y22" s="134"/>
      <c r="Z22" s="123"/>
      <c r="AA22" s="123"/>
      <c r="AB22" s="123"/>
      <c r="AC22" s="123"/>
      <c r="AD22" s="123"/>
      <c r="AE22" s="123"/>
      <c r="AF22" s="124"/>
      <c r="AG22" s="123"/>
      <c r="AH22" s="123"/>
      <c r="AI22" s="123"/>
      <c r="AJ22" s="123"/>
      <c r="AK22" s="123"/>
      <c r="AL22" s="123"/>
      <c r="AM22" s="123"/>
      <c r="AN22" s="123"/>
    </row>
    <row r="23" spans="1:40" x14ac:dyDescent="0.2">
      <c r="A23" s="3"/>
      <c r="B23" s="3"/>
      <c r="C23" s="3"/>
      <c r="D23" s="3"/>
      <c r="E23" s="3"/>
      <c r="F23" s="3"/>
      <c r="G23" s="3"/>
      <c r="H23" s="36">
        <f ca="1">MEDIAN(H2:H15)</f>
        <v>25.05</v>
      </c>
      <c r="I23" s="3"/>
      <c r="J23" s="107">
        <f>MEDIAN(J2:J15)</f>
        <v>5</v>
      </c>
      <c r="K23" s="3"/>
      <c r="L23" s="3"/>
      <c r="M23" s="3"/>
      <c r="N23" s="3"/>
      <c r="P23" s="121">
        <f>SUM(P2:P19)-P13-P16</f>
        <v>130515790</v>
      </c>
      <c r="Q23" s="3"/>
      <c r="R23" s="3"/>
      <c r="S23" s="3"/>
      <c r="T23" s="3"/>
      <c r="U23" s="3"/>
      <c r="X23" s="134"/>
      <c r="Y23" s="134"/>
      <c r="AF23" s="124"/>
    </row>
    <row r="24" spans="1:40" x14ac:dyDescent="0.2">
      <c r="B24" s="71" t="s">
        <v>1985</v>
      </c>
      <c r="C24" s="59"/>
      <c r="D24" s="59"/>
      <c r="E24" s="59"/>
      <c r="P24" s="156">
        <f>SUM(P2:P19)</f>
        <v>134572400</v>
      </c>
      <c r="X24" s="134"/>
      <c r="Y24" s="134"/>
      <c r="AF24" s="124"/>
    </row>
    <row r="25" spans="1:40" x14ac:dyDescent="0.2">
      <c r="B25" s="3" t="s">
        <v>1876</v>
      </c>
      <c r="C25" s="59">
        <v>13</v>
      </c>
      <c r="D25" s="59"/>
      <c r="E25" s="59"/>
      <c r="I25" s="71"/>
      <c r="O25" s="3"/>
      <c r="X25" s="134"/>
      <c r="Y25" s="134"/>
    </row>
    <row r="26" spans="1:40" x14ac:dyDescent="0.2">
      <c r="B26" s="3" t="s">
        <v>2457</v>
      </c>
      <c r="C26" s="59">
        <v>2</v>
      </c>
      <c r="D26" s="59"/>
      <c r="E26" s="59"/>
      <c r="I26" s="3"/>
      <c r="O26" s="3" t="s">
        <v>292</v>
      </c>
      <c r="P26" s="22" t="e">
        <f>#REF!</f>
        <v>#REF!</v>
      </c>
    </row>
    <row r="27" spans="1:40" x14ac:dyDescent="0.2">
      <c r="B27" s="3" t="s">
        <v>2539</v>
      </c>
      <c r="C27" s="59">
        <v>2</v>
      </c>
      <c r="D27" s="59"/>
      <c r="E27" s="59"/>
      <c r="I27" s="3"/>
      <c r="O27" s="22" t="s">
        <v>294</v>
      </c>
      <c r="P27" s="22" t="e">
        <f>#REF!</f>
        <v>#REF!</v>
      </c>
    </row>
    <row r="28" spans="1:40" x14ac:dyDescent="0.2">
      <c r="B28" s="3" t="s">
        <v>495</v>
      </c>
      <c r="C28" s="60">
        <f>9258000</f>
        <v>9258000</v>
      </c>
      <c r="D28" s="59"/>
      <c r="E28" s="59"/>
      <c r="I28" s="3"/>
      <c r="O28" s="22"/>
      <c r="P28" s="22"/>
    </row>
    <row r="29" spans="1:40" x14ac:dyDescent="0.2">
      <c r="B29" s="3" t="s">
        <v>514</v>
      </c>
      <c r="C29" s="60">
        <f>3623000</f>
        <v>3623000</v>
      </c>
      <c r="D29" s="59"/>
      <c r="E29" s="59"/>
      <c r="I29" s="3"/>
      <c r="O29" s="3"/>
    </row>
    <row r="30" spans="1:40" x14ac:dyDescent="0.2">
      <c r="B30" s="3" t="s">
        <v>293</v>
      </c>
      <c r="C30" s="60">
        <v>0</v>
      </c>
      <c r="D30" s="59"/>
      <c r="E30" s="59"/>
      <c r="I30" s="3"/>
      <c r="O30" s="3"/>
    </row>
    <row r="31" spans="1:40" x14ac:dyDescent="0.2">
      <c r="B31" s="3" t="s">
        <v>295</v>
      </c>
      <c r="C31" s="60">
        <v>0</v>
      </c>
      <c r="D31" s="59"/>
      <c r="E31" s="59"/>
      <c r="I31" s="3"/>
      <c r="J31" s="60"/>
    </row>
    <row r="32" spans="1:40" x14ac:dyDescent="0.2">
      <c r="B32" s="59"/>
      <c r="C32" s="59"/>
      <c r="D32" s="59"/>
      <c r="E32" s="59"/>
      <c r="I32" s="3"/>
      <c r="J32" s="60"/>
    </row>
    <row r="33" spans="2:9" x14ac:dyDescent="0.2">
      <c r="B33" s="71" t="s">
        <v>1875</v>
      </c>
      <c r="C33" s="59"/>
      <c r="D33" s="59"/>
      <c r="E33" s="59"/>
      <c r="I33" s="59"/>
    </row>
    <row r="34" spans="2:9" x14ac:dyDescent="0.2">
      <c r="B34" s="3" t="s">
        <v>296</v>
      </c>
      <c r="C34" s="65">
        <f>32/(32+39)</f>
        <v>0.45070422535211269</v>
      </c>
      <c r="D34" s="59" t="s">
        <v>716</v>
      </c>
      <c r="E34" s="3"/>
      <c r="I34" s="71"/>
    </row>
    <row r="35" spans="2:9" x14ac:dyDescent="0.2">
      <c r="B35" s="3" t="s">
        <v>298</v>
      </c>
      <c r="C35" s="59">
        <v>111.7</v>
      </c>
      <c r="D35" s="59" t="s">
        <v>1992</v>
      </c>
      <c r="E35" s="3"/>
      <c r="I35" s="3"/>
    </row>
    <row r="36" spans="2:9" x14ac:dyDescent="0.2">
      <c r="B36" s="3" t="s">
        <v>299</v>
      </c>
      <c r="C36" s="59">
        <v>112.6</v>
      </c>
      <c r="D36" s="59" t="s">
        <v>2077</v>
      </c>
      <c r="E36" s="3"/>
      <c r="I36" s="3"/>
    </row>
    <row r="37" spans="2:9" x14ac:dyDescent="0.2">
      <c r="B37" s="3" t="s">
        <v>300</v>
      </c>
      <c r="C37" s="59">
        <f>C35-C36</f>
        <v>-0.89999999999999147</v>
      </c>
      <c r="D37" s="59" t="s">
        <v>1965</v>
      </c>
      <c r="E37" s="3"/>
      <c r="I37" s="3"/>
    </row>
    <row r="38" spans="2:9" x14ac:dyDescent="0.2">
      <c r="B38" s="3" t="s">
        <v>301</v>
      </c>
      <c r="C38" s="59">
        <v>101.14</v>
      </c>
      <c r="D38" s="59" t="s">
        <v>2057</v>
      </c>
      <c r="E38" s="3"/>
      <c r="I38" s="3"/>
    </row>
    <row r="39" spans="2:9" x14ac:dyDescent="0.2">
      <c r="B39" s="3"/>
      <c r="C39" s="59"/>
      <c r="D39" s="59"/>
      <c r="E39" s="3"/>
      <c r="I39" s="3"/>
    </row>
    <row r="40" spans="2:9" x14ac:dyDescent="0.2">
      <c r="B40" s="3" t="s">
        <v>302</v>
      </c>
      <c r="C40" s="3"/>
      <c r="D40" s="3"/>
      <c r="E40" s="3"/>
      <c r="I40" s="3"/>
    </row>
    <row r="41" spans="2:9" x14ac:dyDescent="0.2">
      <c r="B41" s="2" t="s">
        <v>1089</v>
      </c>
      <c r="C41" s="3"/>
      <c r="D41" s="3"/>
      <c r="E41" s="3"/>
    </row>
    <row r="42" spans="2:9" x14ac:dyDescent="0.2">
      <c r="B42" s="2"/>
    </row>
    <row r="43" spans="2:9" x14ac:dyDescent="0.2">
      <c r="B43" s="2" t="s">
        <v>310</v>
      </c>
    </row>
    <row r="44" spans="2:9" x14ac:dyDescent="0.2">
      <c r="B44" s="2" t="s">
        <v>1689</v>
      </c>
    </row>
    <row r="46" spans="2:9" x14ac:dyDescent="0.2">
      <c r="B46" s="37" t="s">
        <v>314</v>
      </c>
      <c r="C46" s="59">
        <v>32</v>
      </c>
      <c r="D46" s="59">
        <v>29</v>
      </c>
      <c r="E46" t="s">
        <v>716</v>
      </c>
      <c r="G46" t="s">
        <v>1686</v>
      </c>
      <c r="I46" s="141" t="s">
        <v>316</v>
      </c>
    </row>
    <row r="47" spans="2:9" x14ac:dyDescent="0.2">
      <c r="B47" s="37" t="s">
        <v>317</v>
      </c>
      <c r="C47" s="59">
        <v>48</v>
      </c>
      <c r="D47" s="59">
        <v>34</v>
      </c>
      <c r="E47" t="s">
        <v>711</v>
      </c>
      <c r="G47" t="s">
        <v>1686</v>
      </c>
      <c r="I47" t="s">
        <v>1690</v>
      </c>
    </row>
    <row r="48" spans="2:9" x14ac:dyDescent="0.2">
      <c r="B48" s="37" t="s">
        <v>319</v>
      </c>
      <c r="C48" s="59">
        <v>47</v>
      </c>
      <c r="D48" s="59">
        <v>35</v>
      </c>
      <c r="E48" t="s">
        <v>711</v>
      </c>
      <c r="G48" t="s">
        <v>1686</v>
      </c>
      <c r="I48" t="s">
        <v>948</v>
      </c>
    </row>
    <row r="49" spans="2:9" x14ac:dyDescent="0.2">
      <c r="B49" s="37" t="s">
        <v>322</v>
      </c>
      <c r="C49" s="59">
        <v>61</v>
      </c>
      <c r="D49" s="59">
        <v>21</v>
      </c>
      <c r="E49" t="s">
        <v>767</v>
      </c>
      <c r="G49" t="s">
        <v>1686</v>
      </c>
      <c r="I49" t="s">
        <v>1691</v>
      </c>
    </row>
    <row r="50" spans="2:9" x14ac:dyDescent="0.2">
      <c r="B50" s="37" t="s">
        <v>325</v>
      </c>
      <c r="C50" s="59">
        <v>67</v>
      </c>
      <c r="D50" s="59">
        <v>15</v>
      </c>
      <c r="E50" t="s">
        <v>767</v>
      </c>
      <c r="G50" t="s">
        <v>1686</v>
      </c>
      <c r="I50" t="s">
        <v>1692</v>
      </c>
    </row>
    <row r="51" spans="2:9" x14ac:dyDescent="0.2">
      <c r="B51" s="37" t="s">
        <v>328</v>
      </c>
      <c r="C51" s="59">
        <v>55</v>
      </c>
      <c r="D51" s="59">
        <v>27</v>
      </c>
      <c r="E51" t="s">
        <v>717</v>
      </c>
      <c r="G51" t="s">
        <v>1686</v>
      </c>
      <c r="I51" t="s">
        <v>891</v>
      </c>
    </row>
    <row r="52" spans="2:9" x14ac:dyDescent="0.2">
      <c r="B52" s="37" t="s">
        <v>331</v>
      </c>
      <c r="C52" s="59">
        <v>62</v>
      </c>
      <c r="D52" s="59">
        <v>20</v>
      </c>
      <c r="E52" t="s">
        <v>884</v>
      </c>
      <c r="G52" t="s">
        <v>1686</v>
      </c>
      <c r="I52" t="s">
        <v>1693</v>
      </c>
    </row>
    <row r="53" spans="2:9" x14ac:dyDescent="0.2">
      <c r="B53" s="37" t="s">
        <v>334</v>
      </c>
      <c r="C53" s="59">
        <v>58</v>
      </c>
      <c r="D53" s="59">
        <v>24</v>
      </c>
      <c r="E53" t="s">
        <v>767</v>
      </c>
      <c r="G53" t="s">
        <v>1686</v>
      </c>
      <c r="I53" t="s">
        <v>1694</v>
      </c>
    </row>
    <row r="54" spans="2:9" x14ac:dyDescent="0.2">
      <c r="B54" s="37" t="s">
        <v>338</v>
      </c>
      <c r="C54" s="59">
        <v>50</v>
      </c>
      <c r="D54" s="59">
        <v>16</v>
      </c>
      <c r="E54" t="s">
        <v>884</v>
      </c>
      <c r="G54" t="s">
        <v>1686</v>
      </c>
      <c r="I54" t="s">
        <v>1695</v>
      </c>
    </row>
    <row r="55" spans="2:9" x14ac:dyDescent="0.2">
      <c r="B55" s="37" t="s">
        <v>340</v>
      </c>
      <c r="C55" s="59">
        <v>61</v>
      </c>
      <c r="D55" s="59">
        <v>21</v>
      </c>
      <c r="E55" t="s">
        <v>884</v>
      </c>
      <c r="G55" t="s">
        <v>1686</v>
      </c>
      <c r="I55" t="s">
        <v>1696</v>
      </c>
    </row>
    <row r="56" spans="2:9" x14ac:dyDescent="0.2">
      <c r="B56" t="s">
        <v>342</v>
      </c>
      <c r="C56" s="59">
        <f>SUM(C46:C55)</f>
        <v>541</v>
      </c>
      <c r="D56" s="59">
        <f>SUM(D46:D55)</f>
        <v>242</v>
      </c>
      <c r="E56" s="65">
        <f>C56/(C56+D56)</f>
        <v>0.69093231162196678</v>
      </c>
    </row>
    <row r="57" spans="2:9" x14ac:dyDescent="0.2">
      <c r="C57" s="59"/>
      <c r="D57" s="59"/>
    </row>
    <row r="58" spans="2:9" x14ac:dyDescent="0.2">
      <c r="C58" s="59"/>
      <c r="D58" s="59"/>
    </row>
    <row r="59" spans="2:9" x14ac:dyDescent="0.2">
      <c r="C59" s="59"/>
      <c r="D59" s="59"/>
    </row>
    <row r="60" spans="2:9" x14ac:dyDescent="0.2">
      <c r="C60" s="59"/>
      <c r="D60" s="59"/>
    </row>
    <row r="61" spans="2:9" x14ac:dyDescent="0.2">
      <c r="C61" s="59"/>
      <c r="D61" s="59"/>
    </row>
    <row r="62" spans="2:9" x14ac:dyDescent="0.2">
      <c r="C62" s="59"/>
      <c r="D62" s="59"/>
    </row>
    <row r="63" spans="2:9" x14ac:dyDescent="0.2">
      <c r="C63" s="59"/>
      <c r="D63" s="59"/>
    </row>
    <row r="64" spans="2:9" x14ac:dyDescent="0.2">
      <c r="C64" s="59"/>
      <c r="D64" s="59"/>
    </row>
    <row r="65" spans="3:4" x14ac:dyDescent="0.2">
      <c r="C65" s="59"/>
      <c r="D65" s="59"/>
    </row>
    <row r="66" spans="3:4" x14ac:dyDescent="0.2">
      <c r="C66" s="59"/>
      <c r="D66" s="59"/>
    </row>
    <row r="67" spans="3:4" x14ac:dyDescent="0.2">
      <c r="C67" s="59"/>
      <c r="D67" s="59"/>
    </row>
    <row r="68" spans="3:4" x14ac:dyDescent="0.2">
      <c r="C68" s="59"/>
      <c r="D68" s="59"/>
    </row>
    <row r="69" spans="3:4" x14ac:dyDescent="0.2">
      <c r="C69" s="59"/>
      <c r="D69" s="59"/>
    </row>
    <row r="70" spans="3:4" x14ac:dyDescent="0.2">
      <c r="C70" s="59"/>
      <c r="D70" s="59"/>
    </row>
    <row r="71" spans="3:4" x14ac:dyDescent="0.2">
      <c r="C71" s="59"/>
      <c r="D71" s="59"/>
    </row>
    <row r="72" spans="3:4" x14ac:dyDescent="0.2">
      <c r="C72" s="59"/>
      <c r="D72" s="59"/>
    </row>
    <row r="73" spans="3:4" x14ac:dyDescent="0.2">
      <c r="C73" s="59"/>
      <c r="D73" s="59"/>
    </row>
    <row r="74" spans="3:4" x14ac:dyDescent="0.2">
      <c r="C74" s="59"/>
      <c r="D74" s="59"/>
    </row>
    <row r="75" spans="3:4" x14ac:dyDescent="0.2">
      <c r="C75" s="59"/>
      <c r="D75" s="59"/>
    </row>
    <row r="76" spans="3:4" x14ac:dyDescent="0.2">
      <c r="C76" s="59"/>
      <c r="D76" s="59"/>
    </row>
    <row r="77" spans="3:4" x14ac:dyDescent="0.2">
      <c r="C77" s="59"/>
      <c r="D77" s="59"/>
    </row>
    <row r="78" spans="3:4" x14ac:dyDescent="0.2">
      <c r="C78" s="59"/>
      <c r="D78" s="59"/>
    </row>
    <row r="79" spans="3:4" x14ac:dyDescent="0.2">
      <c r="C79" s="59"/>
      <c r="D79" s="59"/>
    </row>
    <row r="80" spans="3:4" x14ac:dyDescent="0.2">
      <c r="C80" s="59"/>
      <c r="D80" s="59"/>
    </row>
    <row r="81" spans="3:4" x14ac:dyDescent="0.2">
      <c r="C81" s="59"/>
      <c r="D81" s="59"/>
    </row>
    <row r="82" spans="3:4" x14ac:dyDescent="0.2">
      <c r="C82" s="59"/>
      <c r="D82" s="59"/>
    </row>
    <row r="83" spans="3:4" x14ac:dyDescent="0.2">
      <c r="C83" s="59"/>
      <c r="D83" s="59"/>
    </row>
    <row r="84" spans="3:4" x14ac:dyDescent="0.2">
      <c r="C84" s="59"/>
      <c r="D84" s="59"/>
    </row>
    <row r="85" spans="3:4" x14ac:dyDescent="0.2">
      <c r="C85" s="59"/>
      <c r="D85" s="59"/>
    </row>
    <row r="86" spans="3:4" x14ac:dyDescent="0.2">
      <c r="C86" s="59"/>
      <c r="D86" s="59"/>
    </row>
    <row r="87" spans="3:4" x14ac:dyDescent="0.2">
      <c r="C87" s="59"/>
      <c r="D87" s="59"/>
    </row>
    <row r="88" spans="3:4" x14ac:dyDescent="0.2">
      <c r="C88" s="59"/>
      <c r="D88" s="59"/>
    </row>
    <row r="89" spans="3:4" x14ac:dyDescent="0.2">
      <c r="C89" s="59"/>
      <c r="D89" s="59"/>
    </row>
    <row r="90" spans="3:4" x14ac:dyDescent="0.2">
      <c r="C90" s="59"/>
      <c r="D90" s="59"/>
    </row>
    <row r="91" spans="3:4" x14ac:dyDescent="0.2">
      <c r="C91" s="59"/>
      <c r="D91" s="59"/>
    </row>
    <row r="92" spans="3:4" x14ac:dyDescent="0.2">
      <c r="C92" s="59"/>
      <c r="D92" s="59"/>
    </row>
    <row r="93" spans="3:4" x14ac:dyDescent="0.2">
      <c r="C93" s="59"/>
      <c r="D93" s="59"/>
    </row>
    <row r="94" spans="3:4" x14ac:dyDescent="0.2">
      <c r="C94" s="59"/>
      <c r="D94" s="59"/>
    </row>
    <row r="95" spans="3:4" x14ac:dyDescent="0.2">
      <c r="C95" s="59"/>
      <c r="D95" s="59"/>
    </row>
  </sheetData>
  <hyperlinks>
    <hyperlink ref="B46" r:id="rId1" xr:uid="{CFA69B06-8D1B-0B4D-84E9-D4286C2EC66C}"/>
    <hyperlink ref="B47" r:id="rId2" xr:uid="{D0BECF48-B720-124A-AB8C-6762BBD50BAE}"/>
    <hyperlink ref="B48" r:id="rId3" xr:uid="{76B6C57F-8F0E-8841-A0F9-F18C48E2056B}"/>
    <hyperlink ref="B49" r:id="rId4" xr:uid="{40ADBCF9-E27A-964F-9409-ACEE52990975}"/>
    <hyperlink ref="B50" r:id="rId5" xr:uid="{DEA84C26-ED52-DF4A-A733-A41E951D1AB9}"/>
    <hyperlink ref="B51" r:id="rId6" xr:uid="{E16BA3C8-5494-0B4B-B428-D818C56017C1}"/>
    <hyperlink ref="B52" r:id="rId7" xr:uid="{5AE1E652-801B-F94B-9C6F-6D7C33230E9A}"/>
    <hyperlink ref="B53" r:id="rId8" xr:uid="{D10B057F-6162-4A45-9CAE-B5B14C2334B4}"/>
    <hyperlink ref="B54" r:id="rId9" xr:uid="{9839C056-AE28-C548-8858-FCD6C146E58C}"/>
    <hyperlink ref="B55" r:id="rId10" xr:uid="{E1168EC4-FD96-2B48-A7B1-58FC7100C649}"/>
  </hyperlinks>
  <pageMargins left="0.7" right="0.7" top="0.75" bottom="0.75" header="0.3" footer="0.3"/>
  <legacyDrawing r:id="rId1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873D-AF53-894A-8BB7-264775B83F80}">
  <dimension ref="A1:AT65"/>
  <sheetViews>
    <sheetView zoomScaleNormal="100" workbookViewId="0"/>
  </sheetViews>
  <sheetFormatPr baseColWidth="10" defaultColWidth="10.83203125" defaultRowHeight="16" x14ac:dyDescent="0.2"/>
  <cols>
    <col min="1" max="1" width="4.5" style="3" customWidth="1"/>
    <col min="2" max="2" width="20.1640625" style="3" customWidth="1"/>
    <col min="3" max="3" width="10.33203125" style="3" customWidth="1"/>
    <col min="4" max="4" width="7.33203125" style="3" customWidth="1"/>
    <col min="5" max="5" width="10.83203125" style="3"/>
    <col min="6" max="6" width="7.83203125" style="3" customWidth="1"/>
    <col min="7" max="7" width="9.33203125" style="3" customWidth="1"/>
    <col min="8" max="8" width="5.83203125" style="3" customWidth="1"/>
    <col min="9" max="9" width="21.33203125" style="3" customWidth="1"/>
    <col min="10" max="10" width="11.1640625" style="3" customWidth="1"/>
    <col min="11" max="11" width="11.83203125" style="3" customWidth="1"/>
    <col min="12" max="12" width="12.83203125" style="3" customWidth="1"/>
    <col min="13" max="13" width="25.6640625" style="3" customWidth="1"/>
    <col min="14" max="14" width="14.6640625" style="3" customWidth="1"/>
    <col min="15" max="15" width="47.5" style="3" customWidth="1"/>
    <col min="16" max="16" width="12.83203125" style="3" bestFit="1" customWidth="1"/>
    <col min="17" max="19" width="12.33203125" style="3" bestFit="1" customWidth="1"/>
    <col min="20" max="20" width="12.1640625" style="3" customWidth="1"/>
    <col min="21" max="21" width="13.33203125" style="3" bestFit="1" customWidth="1"/>
    <col min="22" max="22" width="31.1640625" style="3" customWidth="1"/>
    <col min="23" max="23" width="25.1640625" style="3" customWidth="1"/>
    <col min="24" max="24" width="9.83203125" style="3" customWidth="1"/>
    <col min="25" max="25" width="4.1640625" style="3" customWidth="1"/>
    <col min="26" max="26" width="7.83203125" style="3" customWidth="1"/>
    <col min="27" max="28" width="6" style="3" customWidth="1"/>
    <col min="29" max="29" width="7.33203125" style="3" customWidth="1"/>
    <col min="30" max="30" width="5.1640625" style="3" customWidth="1"/>
    <col min="31" max="31" width="4.83203125" style="3" customWidth="1"/>
    <col min="32" max="32" width="6.1640625" style="3" customWidth="1"/>
    <col min="33" max="33" width="7.33203125" style="3" customWidth="1"/>
    <col min="34" max="35" width="5" style="3" customWidth="1"/>
    <col min="36" max="36" width="6.6640625" style="3" customWidth="1"/>
    <col min="37" max="37" width="6.5" style="3" customWidth="1"/>
    <col min="38" max="38" width="6.1640625" style="3" customWidth="1"/>
    <col min="39" max="39" width="5.6640625" style="3" customWidth="1"/>
    <col min="40" max="40" width="5" style="3" customWidth="1"/>
    <col min="41" max="16384" width="10.83203125" style="3"/>
  </cols>
  <sheetData>
    <row r="1" spans="1:46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P1" s="59"/>
      <c r="AQ1" s="59"/>
    </row>
    <row r="2" spans="1:46" x14ac:dyDescent="0.2">
      <c r="A2" s="3">
        <v>7</v>
      </c>
      <c r="B2" s="3" t="s">
        <v>217</v>
      </c>
      <c r="C2" s="3" t="s">
        <v>247</v>
      </c>
      <c r="D2" s="105">
        <v>60</v>
      </c>
      <c r="E2" s="105">
        <v>62</v>
      </c>
      <c r="F2" s="106">
        <v>196</v>
      </c>
      <c r="G2" s="4">
        <v>31496</v>
      </c>
      <c r="H2" s="110">
        <f t="shared" ref="H2:H14" ca="1" si="0">ROUNDDOWN(YEARFRAC($G$28,G2),1)</f>
        <v>34.6</v>
      </c>
      <c r="I2" s="3" t="s">
        <v>559</v>
      </c>
      <c r="J2" s="3">
        <v>15</v>
      </c>
      <c r="K2" s="3">
        <v>2006</v>
      </c>
      <c r="L2" s="3">
        <v>24</v>
      </c>
      <c r="M2" s="3" t="s">
        <v>1697</v>
      </c>
      <c r="N2" s="3" t="s">
        <v>1</v>
      </c>
      <c r="O2" s="3" t="s">
        <v>2103</v>
      </c>
      <c r="P2" s="11">
        <v>30500000</v>
      </c>
      <c r="Q2" s="14">
        <v>43750000</v>
      </c>
      <c r="V2" s="3" t="s">
        <v>2106</v>
      </c>
      <c r="W2" s="5" t="s">
        <v>284</v>
      </c>
      <c r="X2" s="107">
        <v>1</v>
      </c>
      <c r="Y2" s="107">
        <v>52</v>
      </c>
      <c r="Z2" s="41">
        <f>36/52</f>
        <v>0.69230769230769229</v>
      </c>
      <c r="AA2" s="110">
        <v>111.1</v>
      </c>
      <c r="AB2" s="110">
        <v>105</v>
      </c>
      <c r="AC2" s="110">
        <f t="shared" ref="AC2:AC19" si="1">AA2-AB2</f>
        <v>6.0999999999999943</v>
      </c>
      <c r="AD2" s="110">
        <v>36.6</v>
      </c>
      <c r="AE2" s="110">
        <v>17.899999999999999</v>
      </c>
      <c r="AF2" s="41">
        <v>0.58899999999999997</v>
      </c>
      <c r="AG2" s="110">
        <v>23.1</v>
      </c>
      <c r="AH2" s="110">
        <v>4.0999999999999996</v>
      </c>
      <c r="AI2" s="110">
        <v>2.8</v>
      </c>
      <c r="AJ2" s="41">
        <v>0.17299999999999999</v>
      </c>
      <c r="AK2" s="110">
        <v>2.5</v>
      </c>
      <c r="AL2" s="110">
        <v>0.7</v>
      </c>
      <c r="AM2" s="110">
        <v>2.5</v>
      </c>
      <c r="AN2" s="110">
        <v>12.3</v>
      </c>
    </row>
    <row r="3" spans="1:46" x14ac:dyDescent="0.2">
      <c r="A3" s="3">
        <v>43</v>
      </c>
      <c r="B3" s="3" t="s">
        <v>1712</v>
      </c>
      <c r="C3" s="3" t="s">
        <v>241</v>
      </c>
      <c r="D3" s="105">
        <v>69</v>
      </c>
      <c r="E3" s="105">
        <v>73</v>
      </c>
      <c r="F3" s="106">
        <v>230</v>
      </c>
      <c r="G3" s="4">
        <v>34426</v>
      </c>
      <c r="H3" s="110">
        <f t="shared" ca="1" si="0"/>
        <v>26.6</v>
      </c>
      <c r="I3" s="3" t="s">
        <v>1713</v>
      </c>
      <c r="J3" s="3">
        <v>5</v>
      </c>
      <c r="K3" s="3">
        <v>2016</v>
      </c>
      <c r="L3" s="3">
        <v>27</v>
      </c>
      <c r="M3" s="3" t="s">
        <v>1714</v>
      </c>
      <c r="N3" s="3" t="s">
        <v>1</v>
      </c>
      <c r="O3" s="3" t="s">
        <v>2104</v>
      </c>
      <c r="P3" s="11">
        <f>0.28*109140000</f>
        <v>30559200.000000004</v>
      </c>
      <c r="Q3" s="11">
        <f>P3+(0.08*$P$3)</f>
        <v>33003936.000000004</v>
      </c>
      <c r="R3" s="11">
        <f t="shared" ref="R3:S3" si="2">Q3+(0.08*$P$3)</f>
        <v>35448672.000000007</v>
      </c>
      <c r="S3" s="11">
        <f t="shared" si="2"/>
        <v>37893408.000000007</v>
      </c>
      <c r="T3" s="14">
        <v>41343750</v>
      </c>
      <c r="W3" s="3" t="s">
        <v>1715</v>
      </c>
      <c r="X3" s="107">
        <v>4</v>
      </c>
      <c r="Y3" s="107">
        <v>53</v>
      </c>
      <c r="Z3" s="41">
        <f>40/53</f>
        <v>0.75471698113207553</v>
      </c>
      <c r="AA3" s="110">
        <v>112.8</v>
      </c>
      <c r="AB3" s="110">
        <v>104</v>
      </c>
      <c r="AC3" s="110">
        <f t="shared" si="1"/>
        <v>8.7999999999999972</v>
      </c>
      <c r="AD3" s="110">
        <v>35.5</v>
      </c>
      <c r="AE3" s="110">
        <v>18.7</v>
      </c>
      <c r="AF3" s="41">
        <v>0.55900000000000005</v>
      </c>
      <c r="AG3" s="110">
        <v>28.5</v>
      </c>
      <c r="AH3" s="110">
        <v>2</v>
      </c>
      <c r="AI3" s="110">
        <v>3.2</v>
      </c>
      <c r="AJ3" s="41">
        <v>0.13300000000000001</v>
      </c>
      <c r="AK3" s="110">
        <v>1.7</v>
      </c>
      <c r="AL3" s="110">
        <v>0.5</v>
      </c>
      <c r="AM3" s="110">
        <v>2</v>
      </c>
      <c r="AN3" s="110">
        <v>13.2</v>
      </c>
    </row>
    <row r="4" spans="1:46" x14ac:dyDescent="0.2">
      <c r="A4" s="3">
        <v>23</v>
      </c>
      <c r="B4" s="3" t="s">
        <v>170</v>
      </c>
      <c r="C4" s="3" t="s">
        <v>230</v>
      </c>
      <c r="D4" s="105">
        <v>61</v>
      </c>
      <c r="E4" s="105">
        <v>62</v>
      </c>
      <c r="F4" s="106">
        <v>197</v>
      </c>
      <c r="G4" s="4">
        <v>34390</v>
      </c>
      <c r="H4" s="110">
        <f t="shared" ca="1" si="0"/>
        <v>26.7</v>
      </c>
      <c r="I4" s="3" t="s">
        <v>1031</v>
      </c>
      <c r="J4" s="3">
        <v>5</v>
      </c>
      <c r="K4" s="3">
        <v>2016</v>
      </c>
      <c r="M4" s="3" t="s">
        <v>1705</v>
      </c>
      <c r="N4" s="3" t="s">
        <v>1</v>
      </c>
      <c r="O4" s="11" t="s">
        <v>2509</v>
      </c>
      <c r="P4" s="11">
        <f>21250000</f>
        <v>21250000</v>
      </c>
      <c r="Q4" s="11">
        <v>19675926</v>
      </c>
      <c r="R4" s="11">
        <f>21250000</f>
        <v>21250000</v>
      </c>
      <c r="S4" s="47">
        <v>22824074</v>
      </c>
      <c r="T4" s="14">
        <f>S4*1.5</f>
        <v>34236111</v>
      </c>
      <c r="W4" s="3" t="s">
        <v>1706</v>
      </c>
      <c r="X4" s="107">
        <v>2</v>
      </c>
      <c r="Y4" s="107">
        <v>48</v>
      </c>
      <c r="Z4" s="41">
        <f>35/48</f>
        <v>0.72916666666666663</v>
      </c>
      <c r="AA4" s="110">
        <v>109.9</v>
      </c>
      <c r="AB4" s="110">
        <v>104.8</v>
      </c>
      <c r="AC4" s="110">
        <f t="shared" si="1"/>
        <v>5.1000000000000085</v>
      </c>
      <c r="AD4" s="110">
        <v>35.799999999999997</v>
      </c>
      <c r="AE4" s="110">
        <v>16</v>
      </c>
      <c r="AF4" s="41">
        <v>0.54600000000000004</v>
      </c>
      <c r="AG4" s="110">
        <v>22</v>
      </c>
      <c r="AH4" s="110">
        <v>2.2000000000000002</v>
      </c>
      <c r="AI4" s="110">
        <v>2.7</v>
      </c>
      <c r="AJ4" s="41">
        <v>0.13600000000000001</v>
      </c>
      <c r="AK4" s="110">
        <v>1</v>
      </c>
      <c r="AL4" s="110">
        <v>1.3</v>
      </c>
      <c r="AM4" s="110">
        <v>1.8</v>
      </c>
      <c r="AN4" s="110">
        <v>11.2</v>
      </c>
    </row>
    <row r="5" spans="1:46" x14ac:dyDescent="0.2">
      <c r="A5" s="3">
        <v>24</v>
      </c>
      <c r="B5" s="3" t="s">
        <v>1702</v>
      </c>
      <c r="C5" s="3" t="s">
        <v>252</v>
      </c>
      <c r="D5" s="105">
        <v>63</v>
      </c>
      <c r="E5" s="105">
        <v>611</v>
      </c>
      <c r="F5" s="106">
        <v>215</v>
      </c>
      <c r="G5" s="4">
        <v>34114</v>
      </c>
      <c r="H5" s="110">
        <f t="shared" ca="1" si="0"/>
        <v>27.5</v>
      </c>
      <c r="I5" s="3" t="s">
        <v>534</v>
      </c>
      <c r="J5" s="3">
        <v>6</v>
      </c>
      <c r="K5" s="3">
        <v>2015</v>
      </c>
      <c r="L5" s="3">
        <v>46</v>
      </c>
      <c r="M5" s="3" t="s">
        <v>1703</v>
      </c>
      <c r="N5" s="3" t="s">
        <v>5</v>
      </c>
      <c r="O5" s="3" t="s">
        <v>2055</v>
      </c>
      <c r="P5" s="11">
        <v>10865952</v>
      </c>
      <c r="Q5" s="47">
        <v>11615328</v>
      </c>
      <c r="R5" s="14">
        <f>Q5*1.5</f>
        <v>17422992</v>
      </c>
      <c r="W5" s="3" t="s">
        <v>1704</v>
      </c>
      <c r="X5" s="107">
        <v>2</v>
      </c>
      <c r="Y5" s="107">
        <v>44</v>
      </c>
      <c r="Z5" s="41">
        <f>33/44</f>
        <v>0.75</v>
      </c>
      <c r="AA5" s="110">
        <v>110.7</v>
      </c>
      <c r="AB5" s="110">
        <v>104</v>
      </c>
      <c r="AC5" s="110">
        <f t="shared" si="1"/>
        <v>6.7000000000000028</v>
      </c>
      <c r="AD5" s="110">
        <v>28.8</v>
      </c>
      <c r="AE5" s="110">
        <v>17.399999999999999</v>
      </c>
      <c r="AF5" s="41">
        <v>0.629</v>
      </c>
      <c r="AG5" s="110">
        <v>21.5</v>
      </c>
      <c r="AH5" s="110">
        <v>2.2000000000000002</v>
      </c>
      <c r="AI5" s="110">
        <v>1.9</v>
      </c>
      <c r="AJ5" s="41">
        <v>0.157</v>
      </c>
      <c r="AK5" s="110">
        <v>1.4</v>
      </c>
      <c r="AL5" s="110">
        <v>0.9</v>
      </c>
      <c r="AM5" s="110">
        <v>1.4</v>
      </c>
      <c r="AN5" s="110">
        <v>11.1</v>
      </c>
    </row>
    <row r="6" spans="1:46" x14ac:dyDescent="0.2">
      <c r="A6" s="3">
        <v>46</v>
      </c>
      <c r="B6" s="3" t="s">
        <v>145</v>
      </c>
      <c r="C6" s="59" t="s">
        <v>234</v>
      </c>
      <c r="D6" s="142">
        <v>610</v>
      </c>
      <c r="E6" s="142">
        <v>72</v>
      </c>
      <c r="F6" s="143">
        <v>260</v>
      </c>
      <c r="G6" s="4">
        <v>31755</v>
      </c>
      <c r="H6" s="119">
        <f t="shared" ca="1" si="0"/>
        <v>33.9</v>
      </c>
      <c r="I6" s="59" t="s">
        <v>1167</v>
      </c>
      <c r="J6" s="3">
        <v>9</v>
      </c>
      <c r="K6" s="59">
        <v>2009</v>
      </c>
      <c r="L6" s="59"/>
      <c r="M6" s="3" t="s">
        <v>2686</v>
      </c>
      <c r="N6" s="3" t="s">
        <v>495</v>
      </c>
      <c r="O6" s="59" t="s">
        <v>2604</v>
      </c>
      <c r="P6" s="11">
        <v>7000000</v>
      </c>
      <c r="Q6" s="15">
        <v>7350000</v>
      </c>
      <c r="R6" s="14">
        <f>Q6*1.9</f>
        <v>13965000</v>
      </c>
      <c r="S6" s="53"/>
      <c r="T6" s="53"/>
      <c r="U6" s="59"/>
      <c r="V6" s="59"/>
      <c r="W6" s="59" t="s">
        <v>843</v>
      </c>
      <c r="X6" s="69">
        <v>5</v>
      </c>
      <c r="Y6" s="69">
        <v>42</v>
      </c>
      <c r="Z6" s="65">
        <f>19/42</f>
        <v>0.45238095238095238</v>
      </c>
      <c r="AA6" s="119">
        <v>110.2</v>
      </c>
      <c r="AB6" s="119">
        <v>111.7</v>
      </c>
      <c r="AC6" s="119">
        <f t="shared" si="1"/>
        <v>-1.5</v>
      </c>
      <c r="AD6" s="119">
        <v>22.2</v>
      </c>
      <c r="AE6" s="119">
        <v>15.1</v>
      </c>
      <c r="AF6" s="65">
        <v>0.58099999999999996</v>
      </c>
      <c r="AG6" s="119">
        <v>21.1</v>
      </c>
      <c r="AH6" s="119">
        <v>1.3</v>
      </c>
      <c r="AI6" s="119">
        <v>0.7</v>
      </c>
      <c r="AJ6" s="65">
        <v>0.10299999999999999</v>
      </c>
      <c r="AK6" s="119">
        <v>-0.2</v>
      </c>
      <c r="AL6" s="119">
        <v>-0.9</v>
      </c>
      <c r="AM6" s="119">
        <v>0.2</v>
      </c>
      <c r="AN6" s="119">
        <v>9.4</v>
      </c>
      <c r="AO6" s="59"/>
      <c r="AP6" s="59"/>
    </row>
    <row r="7" spans="1:46" x14ac:dyDescent="0.2">
      <c r="A7" s="3">
        <v>25</v>
      </c>
      <c r="B7" s="3" t="s">
        <v>173</v>
      </c>
      <c r="C7" s="3" t="s">
        <v>234</v>
      </c>
      <c r="D7" s="105">
        <v>69</v>
      </c>
      <c r="E7" s="105">
        <v>74</v>
      </c>
      <c r="F7" s="106">
        <v>200</v>
      </c>
      <c r="G7" s="4">
        <v>33980</v>
      </c>
      <c r="H7" s="110">
        <f t="shared" ca="1" si="0"/>
        <v>27.8</v>
      </c>
      <c r="I7" s="3" t="s">
        <v>763</v>
      </c>
      <c r="J7" s="3">
        <v>4</v>
      </c>
      <c r="K7" s="3">
        <v>2017</v>
      </c>
      <c r="M7" s="3" t="s">
        <v>1139</v>
      </c>
      <c r="N7" s="3" t="s">
        <v>5</v>
      </c>
      <c r="O7" s="3" t="s">
        <v>2603</v>
      </c>
      <c r="P7" s="11">
        <v>6500000</v>
      </c>
      <c r="Q7" s="15">
        <v>7020000</v>
      </c>
      <c r="R7" s="14">
        <f>Q7*1.9</f>
        <v>13338000</v>
      </c>
      <c r="U7" s="26"/>
      <c r="W7" s="3" t="s">
        <v>1719</v>
      </c>
      <c r="X7" s="107">
        <v>5</v>
      </c>
      <c r="Y7" s="107">
        <v>55</v>
      </c>
      <c r="Z7" s="41">
        <f>39/55</f>
        <v>0.70909090909090911</v>
      </c>
      <c r="AA7" s="110">
        <v>108.3</v>
      </c>
      <c r="AB7" s="110">
        <v>102.9</v>
      </c>
      <c r="AC7" s="110">
        <f t="shared" ref="AC7" si="3">AA7-AB7</f>
        <v>5.3999999999999915</v>
      </c>
      <c r="AD7" s="110">
        <v>13.2</v>
      </c>
      <c r="AE7" s="110">
        <v>19.8</v>
      </c>
      <c r="AF7" s="41">
        <v>0.56999999999999995</v>
      </c>
      <c r="AG7" s="110">
        <v>19.399999999999999</v>
      </c>
      <c r="AH7" s="110">
        <v>1.7</v>
      </c>
      <c r="AI7" s="110">
        <v>1.5</v>
      </c>
      <c r="AJ7" s="41">
        <v>0.214</v>
      </c>
      <c r="AK7" s="110">
        <v>0.4</v>
      </c>
      <c r="AL7" s="110">
        <v>1</v>
      </c>
      <c r="AM7" s="110">
        <v>0.6</v>
      </c>
      <c r="AN7" s="110">
        <v>12.3</v>
      </c>
    </row>
    <row r="8" spans="1:46" x14ac:dyDescent="0.2">
      <c r="A8" s="3">
        <v>22</v>
      </c>
      <c r="B8" s="3" t="s">
        <v>1707</v>
      </c>
      <c r="C8" s="3" t="s">
        <v>252</v>
      </c>
      <c r="D8" s="105">
        <v>67</v>
      </c>
      <c r="E8" s="105">
        <v>610</v>
      </c>
      <c r="F8" s="106">
        <v>181</v>
      </c>
      <c r="G8" s="4">
        <v>34997</v>
      </c>
      <c r="H8" s="110">
        <f t="shared" ca="1" si="0"/>
        <v>25</v>
      </c>
      <c r="I8" s="3" t="s">
        <v>802</v>
      </c>
      <c r="J8" s="3">
        <v>5</v>
      </c>
      <c r="K8" s="3">
        <v>2016</v>
      </c>
      <c r="L8" s="3">
        <v>38</v>
      </c>
      <c r="M8" s="3" t="s">
        <v>1708</v>
      </c>
      <c r="N8" s="3" t="s">
        <v>495</v>
      </c>
      <c r="O8" s="3" t="s">
        <v>2105</v>
      </c>
      <c r="P8" s="11">
        <v>4000000</v>
      </c>
      <c r="Q8" s="14">
        <f>P8*1.9</f>
        <v>7600000</v>
      </c>
      <c r="S8" s="11"/>
      <c r="W8" s="3" t="s">
        <v>1709</v>
      </c>
      <c r="X8" s="107">
        <v>3</v>
      </c>
      <c r="Y8" s="107">
        <v>37</v>
      </c>
      <c r="Z8" s="41">
        <f>27/37</f>
        <v>0.72972972972972971</v>
      </c>
      <c r="AA8" s="110">
        <v>106.1</v>
      </c>
      <c r="AB8" s="110">
        <v>105.5</v>
      </c>
      <c r="AC8" s="110">
        <f t="shared" si="1"/>
        <v>0.59999999999999432</v>
      </c>
      <c r="AD8" s="110">
        <v>24.5</v>
      </c>
      <c r="AE8" s="110">
        <v>7.3</v>
      </c>
      <c r="AF8" s="41">
        <v>0.5</v>
      </c>
      <c r="AG8" s="110">
        <v>9.4</v>
      </c>
      <c r="AH8" s="110">
        <v>0.2</v>
      </c>
      <c r="AI8" s="110">
        <v>1.2</v>
      </c>
      <c r="AJ8" s="41">
        <v>7.2999999999999995E-2</v>
      </c>
      <c r="AK8" s="110">
        <v>-3.6</v>
      </c>
      <c r="AL8" s="110">
        <v>1.8</v>
      </c>
      <c r="AM8" s="110">
        <v>0</v>
      </c>
      <c r="AN8" s="110">
        <v>5</v>
      </c>
    </row>
    <row r="9" spans="1:46" x14ac:dyDescent="0.2">
      <c r="A9" s="3">
        <v>3</v>
      </c>
      <c r="B9" s="3" t="s">
        <v>1716</v>
      </c>
      <c r="C9" s="3" t="s">
        <v>241</v>
      </c>
      <c r="D9" s="105">
        <v>67</v>
      </c>
      <c r="E9" s="105">
        <v>72</v>
      </c>
      <c r="F9" s="106">
        <v>232</v>
      </c>
      <c r="G9" s="4">
        <v>35628</v>
      </c>
      <c r="H9" s="110">
        <f t="shared" ca="1" si="0"/>
        <v>23.3</v>
      </c>
      <c r="I9" s="3" t="s">
        <v>362</v>
      </c>
      <c r="J9" s="3">
        <v>4</v>
      </c>
      <c r="K9" s="3">
        <v>2017</v>
      </c>
      <c r="L9" s="3">
        <v>23</v>
      </c>
      <c r="M9" s="3" t="s">
        <v>1717</v>
      </c>
      <c r="N9" s="3" t="s">
        <v>244</v>
      </c>
      <c r="O9" s="3" t="s">
        <v>1887</v>
      </c>
      <c r="P9" s="11">
        <v>3872215</v>
      </c>
      <c r="Q9" s="49">
        <f>P9*3</f>
        <v>11616645</v>
      </c>
      <c r="W9" s="3" t="s">
        <v>1718</v>
      </c>
      <c r="X9" s="107">
        <v>3</v>
      </c>
      <c r="Y9" s="107">
        <v>63</v>
      </c>
      <c r="Z9" s="41">
        <f>45/63</f>
        <v>0.7142857142857143</v>
      </c>
      <c r="AA9" s="110">
        <v>111.1</v>
      </c>
      <c r="AB9" s="110">
        <v>105.5</v>
      </c>
      <c r="AC9" s="110">
        <f t="shared" si="1"/>
        <v>5.5999999999999943</v>
      </c>
      <c r="AD9" s="110">
        <v>30.1</v>
      </c>
      <c r="AE9" s="110">
        <v>13.2</v>
      </c>
      <c r="AF9" s="41">
        <v>0.59799999999999998</v>
      </c>
      <c r="AG9" s="110">
        <v>14.4</v>
      </c>
      <c r="AH9" s="110">
        <v>1.8</v>
      </c>
      <c r="AI9" s="110">
        <v>3.3</v>
      </c>
      <c r="AJ9" s="41">
        <v>0.13</v>
      </c>
      <c r="AK9" s="110">
        <v>-0.9</v>
      </c>
      <c r="AL9" s="110">
        <v>1.8</v>
      </c>
      <c r="AM9" s="110">
        <v>1.4</v>
      </c>
      <c r="AN9" s="110">
        <v>8.5</v>
      </c>
    </row>
    <row r="10" spans="1:46" x14ac:dyDescent="0.2">
      <c r="A10" s="3">
        <v>5</v>
      </c>
      <c r="B10" s="3" t="s">
        <v>171</v>
      </c>
      <c r="C10" s="3" t="s">
        <v>241</v>
      </c>
      <c r="D10" s="105">
        <v>66</v>
      </c>
      <c r="E10" s="105">
        <v>70</v>
      </c>
      <c r="F10" s="106">
        <v>242</v>
      </c>
      <c r="G10" s="4">
        <v>35214</v>
      </c>
      <c r="H10" s="110">
        <f t="shared" ca="1" si="0"/>
        <v>24.4</v>
      </c>
      <c r="I10" s="3" t="s">
        <v>511</v>
      </c>
      <c r="J10" s="3">
        <v>6</v>
      </c>
      <c r="K10" s="3">
        <v>2015</v>
      </c>
      <c r="L10" s="3">
        <v>8</v>
      </c>
      <c r="M10" s="3" t="s">
        <v>1192</v>
      </c>
      <c r="N10" s="3" t="s">
        <v>514</v>
      </c>
      <c r="O10" s="3" t="s">
        <v>1975</v>
      </c>
      <c r="P10" s="16">
        <v>3804150</v>
      </c>
      <c r="Q10" s="14">
        <f>P10*1.3</f>
        <v>4945395</v>
      </c>
      <c r="W10" s="3" t="s">
        <v>1710</v>
      </c>
      <c r="X10" s="107">
        <v>4</v>
      </c>
      <c r="Y10" s="107">
        <v>20</v>
      </c>
      <c r="Z10" s="41">
        <f>15/20</f>
        <v>0.75</v>
      </c>
      <c r="AA10" s="110">
        <v>91.3</v>
      </c>
      <c r="AB10" s="110">
        <v>96.1</v>
      </c>
      <c r="AC10" s="110">
        <f t="shared" si="1"/>
        <v>-4.7999999999999972</v>
      </c>
      <c r="AD10" s="110">
        <v>4.8</v>
      </c>
      <c r="AE10" s="110">
        <v>3.1</v>
      </c>
      <c r="AF10" s="41">
        <v>0.34200000000000003</v>
      </c>
      <c r="AG10" s="110">
        <v>18.600000000000001</v>
      </c>
      <c r="AH10" s="110">
        <v>-0.3</v>
      </c>
      <c r="AI10" s="110">
        <v>0.2</v>
      </c>
      <c r="AJ10" s="41">
        <v>-6.8000000000000005E-2</v>
      </c>
      <c r="AK10" s="110">
        <v>-7.9</v>
      </c>
      <c r="AL10" s="110">
        <v>1.4</v>
      </c>
      <c r="AM10" s="110">
        <v>-0.1</v>
      </c>
      <c r="AN10" s="110">
        <v>4.5999999999999996</v>
      </c>
    </row>
    <row r="11" spans="1:46" x14ac:dyDescent="0.2">
      <c r="B11" s="3" t="s">
        <v>160</v>
      </c>
      <c r="C11" s="3" t="s">
        <v>234</v>
      </c>
      <c r="D11" s="105">
        <v>70</v>
      </c>
      <c r="E11" s="105">
        <v>74</v>
      </c>
      <c r="F11" s="106">
        <v>250</v>
      </c>
      <c r="G11" s="4">
        <v>34136</v>
      </c>
      <c r="H11" s="110">
        <f t="shared" ca="1" si="0"/>
        <v>27.4</v>
      </c>
      <c r="I11" s="3" t="s">
        <v>260</v>
      </c>
      <c r="J11" s="3">
        <v>8</v>
      </c>
      <c r="K11" s="3">
        <v>2013</v>
      </c>
      <c r="L11" s="3">
        <v>5</v>
      </c>
      <c r="M11" s="3" t="s">
        <v>2733</v>
      </c>
      <c r="N11" s="3" t="s">
        <v>495</v>
      </c>
      <c r="O11" s="3" t="s">
        <v>2438</v>
      </c>
      <c r="P11" s="19">
        <v>2258000</v>
      </c>
      <c r="Q11" s="14"/>
      <c r="R11" s="80"/>
      <c r="S11" s="12"/>
      <c r="T11" s="80"/>
      <c r="X11" s="5" t="s">
        <v>238</v>
      </c>
      <c r="Y11" s="107">
        <v>5</v>
      </c>
      <c r="Z11" s="107">
        <v>9</v>
      </c>
      <c r="AA11" s="41">
        <f>6/9</f>
        <v>0.66666666666666663</v>
      </c>
      <c r="AB11" s="110">
        <v>102.8</v>
      </c>
      <c r="AC11" s="110">
        <v>94.8</v>
      </c>
      <c r="AD11" s="110">
        <f t="shared" ref="AD11" si="4">AB11-AC11</f>
        <v>8</v>
      </c>
      <c r="AE11" s="110">
        <v>16.7</v>
      </c>
      <c r="AF11" s="110">
        <v>20.3</v>
      </c>
      <c r="AG11" s="41">
        <v>0.63600000000000001</v>
      </c>
      <c r="AH11" s="110">
        <v>16.7</v>
      </c>
      <c r="AI11" s="110">
        <v>0.3</v>
      </c>
      <c r="AJ11" s="110">
        <v>0.2</v>
      </c>
      <c r="AK11" s="41">
        <v>0.16500000000000001</v>
      </c>
      <c r="AL11" s="110">
        <v>-0.7</v>
      </c>
      <c r="AM11" s="110">
        <v>0.1</v>
      </c>
      <c r="AN11" s="110">
        <v>0.1</v>
      </c>
      <c r="AO11" s="110">
        <v>14</v>
      </c>
      <c r="AP11" s="59"/>
      <c r="AQ11" s="59"/>
    </row>
    <row r="12" spans="1:46" x14ac:dyDescent="0.2">
      <c r="B12" s="3" t="s">
        <v>2320</v>
      </c>
      <c r="C12" s="3" t="s">
        <v>247</v>
      </c>
      <c r="D12" s="105">
        <v>61</v>
      </c>
      <c r="E12" s="105">
        <v>63</v>
      </c>
      <c r="F12" s="106">
        <v>185</v>
      </c>
      <c r="G12" s="4">
        <v>35925</v>
      </c>
      <c r="H12" s="110">
        <f t="shared" ca="1" si="0"/>
        <v>22.5</v>
      </c>
      <c r="I12" s="3" t="s">
        <v>507</v>
      </c>
      <c r="J12" s="3">
        <v>1</v>
      </c>
      <c r="K12" s="3">
        <v>2020</v>
      </c>
      <c r="L12" s="3">
        <v>29</v>
      </c>
      <c r="M12" s="3" t="s">
        <v>2319</v>
      </c>
      <c r="N12" s="3" t="s">
        <v>244</v>
      </c>
      <c r="O12" s="3" t="s">
        <v>2314</v>
      </c>
      <c r="P12" s="11">
        <v>1950600</v>
      </c>
      <c r="Q12" s="11">
        <v>2048040</v>
      </c>
      <c r="R12" s="50">
        <v>2145720</v>
      </c>
      <c r="S12" s="50">
        <v>3873025</v>
      </c>
      <c r="T12" s="49">
        <f>S12*3</f>
        <v>11619075</v>
      </c>
      <c r="X12" s="107"/>
      <c r="Y12" s="107"/>
      <c r="Z12" s="41"/>
      <c r="AF12" s="41"/>
      <c r="AG12" s="110"/>
      <c r="AH12" s="110"/>
      <c r="AI12" s="110"/>
      <c r="AJ12" s="41"/>
      <c r="AK12" s="110"/>
      <c r="AL12" s="110"/>
      <c r="AM12" s="110"/>
      <c r="AN12" s="110"/>
    </row>
    <row r="13" spans="1:46" x14ac:dyDescent="0.2">
      <c r="A13" s="107"/>
      <c r="B13" s="3" t="s">
        <v>263</v>
      </c>
      <c r="C13" s="3" t="s">
        <v>230</v>
      </c>
      <c r="D13" s="105">
        <v>65</v>
      </c>
      <c r="E13" s="105">
        <v>70</v>
      </c>
      <c r="F13" s="106">
        <v>210</v>
      </c>
      <c r="G13" s="4">
        <v>34519</v>
      </c>
      <c r="H13" s="110">
        <f t="shared" ca="1" si="0"/>
        <v>26.3</v>
      </c>
      <c r="I13" s="3" t="s">
        <v>264</v>
      </c>
      <c r="J13" s="3">
        <v>5</v>
      </c>
      <c r="K13" s="107">
        <v>2016</v>
      </c>
      <c r="L13" s="108">
        <v>21</v>
      </c>
      <c r="M13" s="3" t="s">
        <v>2556</v>
      </c>
      <c r="N13" s="3" t="s">
        <v>276</v>
      </c>
      <c r="O13" s="3" t="s">
        <v>2628</v>
      </c>
      <c r="P13" s="19">
        <v>1737145</v>
      </c>
      <c r="Q13" s="15">
        <v>1824003</v>
      </c>
      <c r="R13" s="14">
        <v>2145720</v>
      </c>
      <c r="W13" s="3" t="s">
        <v>265</v>
      </c>
      <c r="X13" s="107">
        <v>2</v>
      </c>
      <c r="Y13" s="107">
        <v>43</v>
      </c>
      <c r="Z13" s="41">
        <f>10/43</f>
        <v>0.23255813953488372</v>
      </c>
      <c r="AA13" s="110">
        <v>98.9</v>
      </c>
      <c r="AB13" s="110">
        <v>110.6</v>
      </c>
      <c r="AC13" s="110">
        <f t="shared" ref="AC13" si="5">AA13-AB13</f>
        <v>-11.699999999999989</v>
      </c>
      <c r="AD13" s="110">
        <v>21.3</v>
      </c>
      <c r="AE13" s="110">
        <v>9.6</v>
      </c>
      <c r="AF13" s="3">
        <v>0.5</v>
      </c>
      <c r="AG13" s="3">
        <v>14</v>
      </c>
      <c r="AH13" s="3">
        <v>-0.5</v>
      </c>
      <c r="AI13" s="3">
        <v>0.7</v>
      </c>
      <c r="AJ13" s="41">
        <v>1.0999999999999999E-2</v>
      </c>
      <c r="AK13" s="110">
        <v>-3.5</v>
      </c>
      <c r="AL13" s="110">
        <v>1</v>
      </c>
      <c r="AM13" s="110">
        <v>-0.1</v>
      </c>
      <c r="AN13" s="110">
        <v>6.9</v>
      </c>
    </row>
    <row r="14" spans="1:46" x14ac:dyDescent="0.2">
      <c r="B14" s="3" t="s">
        <v>2751</v>
      </c>
      <c r="D14" s="105">
        <v>610</v>
      </c>
      <c r="E14" s="105"/>
      <c r="F14" s="106">
        <v>240</v>
      </c>
      <c r="G14" s="4">
        <v>35443</v>
      </c>
      <c r="H14" s="110">
        <f t="shared" ca="1" si="0"/>
        <v>23.8</v>
      </c>
      <c r="I14" s="3" t="s">
        <v>1229</v>
      </c>
      <c r="J14" s="3">
        <v>5</v>
      </c>
      <c r="K14" s="3">
        <v>2016</v>
      </c>
      <c r="M14" s="3" t="s">
        <v>2436</v>
      </c>
      <c r="N14" s="3" t="s">
        <v>276</v>
      </c>
      <c r="O14" s="3" t="s">
        <v>2615</v>
      </c>
      <c r="P14" s="15">
        <v>1737145</v>
      </c>
      <c r="Q14" s="15">
        <v>1977011</v>
      </c>
      <c r="R14" s="14">
        <v>2145720</v>
      </c>
      <c r="S14" s="12"/>
      <c r="T14" s="80"/>
      <c r="X14" s="5"/>
      <c r="Y14" s="107"/>
      <c r="Z14" s="107"/>
      <c r="AA14" s="41"/>
      <c r="AB14" s="110"/>
      <c r="AC14" s="110"/>
      <c r="AD14" s="110"/>
      <c r="AE14" s="110"/>
      <c r="AF14" s="110"/>
      <c r="AJ14" s="41"/>
      <c r="AK14" s="110"/>
      <c r="AL14" s="110"/>
      <c r="AM14" s="110"/>
      <c r="AN14" s="110"/>
    </row>
    <row r="15" spans="1:46" x14ac:dyDescent="0.2">
      <c r="B15" s="3" t="s">
        <v>71</v>
      </c>
      <c r="C15" s="3" t="s">
        <v>234</v>
      </c>
      <c r="D15" s="105">
        <v>67</v>
      </c>
      <c r="E15" s="105">
        <v>69</v>
      </c>
      <c r="F15" s="106">
        <v>212</v>
      </c>
      <c r="G15" s="4">
        <v>35177</v>
      </c>
      <c r="H15" s="110">
        <f t="shared" ref="H15:H20" ca="1" si="6">ROUNDDOWN(YEARFRAC($G$28,G15),1)</f>
        <v>24.5</v>
      </c>
      <c r="I15" s="3" t="s">
        <v>991</v>
      </c>
      <c r="J15" s="3">
        <v>3</v>
      </c>
      <c r="K15" s="109">
        <v>2018</v>
      </c>
      <c r="L15" s="109">
        <v>50</v>
      </c>
      <c r="M15" s="3" t="s">
        <v>2436</v>
      </c>
      <c r="N15" s="3" t="s">
        <v>2403</v>
      </c>
      <c r="O15" s="3" t="s">
        <v>2533</v>
      </c>
      <c r="P15" s="15">
        <v>1678854</v>
      </c>
      <c r="Q15" s="236"/>
      <c r="R15" s="12"/>
      <c r="S15" s="12"/>
      <c r="T15" s="12"/>
      <c r="U15" s="59"/>
      <c r="V15" s="59"/>
      <c r="W15" s="198" t="s">
        <v>992</v>
      </c>
      <c r="X15" s="69">
        <v>3</v>
      </c>
      <c r="Y15" s="69">
        <v>13</v>
      </c>
      <c r="Z15" s="65">
        <f>8/13</f>
        <v>0.61538461538461542</v>
      </c>
      <c r="AA15" s="119">
        <v>115.8</v>
      </c>
      <c r="AB15" s="119">
        <v>111.1</v>
      </c>
      <c r="AC15" s="119">
        <f t="shared" ref="AC15:AC16" si="7">AA15-AB15</f>
        <v>4.7000000000000028</v>
      </c>
      <c r="AD15" s="119">
        <v>4.0999999999999996</v>
      </c>
      <c r="AE15" s="119">
        <v>10.8</v>
      </c>
      <c r="AF15" s="65">
        <v>0.51</v>
      </c>
      <c r="AG15" s="119">
        <v>16.8</v>
      </c>
      <c r="AH15" s="119">
        <v>0</v>
      </c>
      <c r="AI15" s="119">
        <v>0.1</v>
      </c>
      <c r="AJ15" s="65">
        <v>7.0000000000000007E-2</v>
      </c>
      <c r="AK15" s="119">
        <v>-3.2</v>
      </c>
      <c r="AL15" s="119">
        <v>-1.6</v>
      </c>
      <c r="AM15" s="119">
        <v>0</v>
      </c>
      <c r="AN15" s="119">
        <v>6.5</v>
      </c>
      <c r="AO15" s="59"/>
      <c r="AP15" s="59"/>
      <c r="AQ15" s="59"/>
      <c r="AR15" s="59"/>
    </row>
    <row r="16" spans="1:46" x14ac:dyDescent="0.2">
      <c r="A16" s="95"/>
      <c r="B16" s="97" t="s">
        <v>1137</v>
      </c>
      <c r="C16" s="97" t="s">
        <v>241</v>
      </c>
      <c r="D16" s="83">
        <v>68</v>
      </c>
      <c r="E16" s="83">
        <v>610</v>
      </c>
      <c r="F16" s="84">
        <v>215</v>
      </c>
      <c r="G16" s="85">
        <v>34620</v>
      </c>
      <c r="H16" s="86">
        <f t="shared" ca="1" si="6"/>
        <v>26.1</v>
      </c>
      <c r="I16" s="97" t="s">
        <v>1138</v>
      </c>
      <c r="J16" s="95">
        <v>3</v>
      </c>
      <c r="K16" s="95">
        <v>2018</v>
      </c>
      <c r="L16" s="95"/>
      <c r="M16" s="3" t="s">
        <v>2436</v>
      </c>
      <c r="N16" s="3" t="s">
        <v>2403</v>
      </c>
      <c r="O16" s="3" t="s">
        <v>2533</v>
      </c>
      <c r="P16" s="15">
        <v>1678854</v>
      </c>
      <c r="Q16" s="275"/>
      <c r="R16" s="120"/>
      <c r="S16" s="120"/>
      <c r="T16" s="120"/>
      <c r="U16" s="82"/>
      <c r="V16" s="97"/>
      <c r="W16" s="97" t="s">
        <v>1140</v>
      </c>
      <c r="X16" s="95">
        <v>3</v>
      </c>
      <c r="Y16" s="82">
        <v>16</v>
      </c>
      <c r="Z16" s="94">
        <f>8/16</f>
        <v>0.5</v>
      </c>
      <c r="AA16" s="86">
        <v>103.3</v>
      </c>
      <c r="AB16" s="86">
        <v>101.9</v>
      </c>
      <c r="AC16" s="86">
        <f t="shared" si="7"/>
        <v>1.3999999999999915</v>
      </c>
      <c r="AD16" s="86">
        <v>6.2</v>
      </c>
      <c r="AE16" s="86">
        <v>9.5</v>
      </c>
      <c r="AF16" s="94">
        <v>0.46100000000000002</v>
      </c>
      <c r="AG16" s="86">
        <v>14.5</v>
      </c>
      <c r="AH16" s="86">
        <v>0</v>
      </c>
      <c r="AI16" s="86">
        <v>0.1</v>
      </c>
      <c r="AJ16" s="94">
        <v>4.7E-2</v>
      </c>
      <c r="AK16" s="86">
        <v>-3.6</v>
      </c>
      <c r="AL16" s="86">
        <v>1</v>
      </c>
      <c r="AM16" s="86">
        <v>0</v>
      </c>
      <c r="AN16" s="86">
        <v>5.4</v>
      </c>
      <c r="AO16" s="82"/>
      <c r="AP16" s="82"/>
      <c r="AQ16" s="82"/>
      <c r="AR16" s="82"/>
      <c r="AS16" s="82"/>
      <c r="AT16" s="82"/>
    </row>
    <row r="17" spans="1:40" x14ac:dyDescent="0.2">
      <c r="A17" s="3">
        <v>21</v>
      </c>
      <c r="B17" s="3" t="s">
        <v>175</v>
      </c>
      <c r="C17" s="3" t="s">
        <v>252</v>
      </c>
      <c r="D17" s="105">
        <v>64</v>
      </c>
      <c r="E17" s="105">
        <v>65</v>
      </c>
      <c r="F17" s="106">
        <v>190</v>
      </c>
      <c r="G17" s="4">
        <v>34550</v>
      </c>
      <c r="H17" s="110">
        <f t="shared" ca="1" si="6"/>
        <v>26.3</v>
      </c>
      <c r="I17" s="3" t="s">
        <v>1722</v>
      </c>
      <c r="J17" s="3">
        <v>2</v>
      </c>
      <c r="K17" s="3">
        <v>2017</v>
      </c>
      <c r="M17" s="3" t="s">
        <v>567</v>
      </c>
      <c r="N17" s="3" t="s">
        <v>495</v>
      </c>
      <c r="O17" s="3" t="s">
        <v>750</v>
      </c>
      <c r="P17" s="15">
        <v>1517981</v>
      </c>
      <c r="Q17" s="15">
        <v>1782621</v>
      </c>
      <c r="R17" s="49">
        <v>2228276</v>
      </c>
      <c r="W17" s="3" t="s">
        <v>1723</v>
      </c>
      <c r="X17" s="107">
        <v>2</v>
      </c>
      <c r="Y17" s="107">
        <v>33</v>
      </c>
      <c r="Z17" s="41">
        <f>24/33</f>
        <v>0.72727272727272729</v>
      </c>
      <c r="AA17" s="110">
        <v>101.9</v>
      </c>
      <c r="AB17" s="110">
        <v>102.1</v>
      </c>
      <c r="AC17" s="110">
        <f t="shared" si="1"/>
        <v>-0.19999999999998863</v>
      </c>
      <c r="AD17" s="110">
        <v>9.6999999999999993</v>
      </c>
      <c r="AE17" s="110">
        <v>13.6</v>
      </c>
      <c r="AF17" s="41">
        <v>0.65</v>
      </c>
      <c r="AG17" s="110">
        <v>17</v>
      </c>
      <c r="AH17" s="110">
        <v>0.5</v>
      </c>
      <c r="AI17" s="110">
        <v>0.4</v>
      </c>
      <c r="AJ17" s="41">
        <v>0.13700000000000001</v>
      </c>
      <c r="AK17" s="110">
        <v>1</v>
      </c>
      <c r="AL17" s="110">
        <v>0.4</v>
      </c>
      <c r="AM17" s="110">
        <v>0.3</v>
      </c>
      <c r="AN17" s="110">
        <v>9.9</v>
      </c>
    </row>
    <row r="18" spans="1:40" x14ac:dyDescent="0.2">
      <c r="A18" s="3">
        <v>0</v>
      </c>
      <c r="B18" s="3" t="s">
        <v>1724</v>
      </c>
      <c r="C18" s="3" t="s">
        <v>230</v>
      </c>
      <c r="D18" s="105">
        <v>64</v>
      </c>
      <c r="E18" s="105">
        <v>68</v>
      </c>
      <c r="F18" s="106">
        <v>201</v>
      </c>
      <c r="G18" s="4">
        <v>35566</v>
      </c>
      <c r="H18" s="110">
        <f t="shared" ca="1" si="6"/>
        <v>23.5</v>
      </c>
      <c r="I18" s="3" t="s">
        <v>1725</v>
      </c>
      <c r="J18" s="3">
        <v>2</v>
      </c>
      <c r="K18" s="3">
        <v>2019</v>
      </c>
      <c r="M18" s="3" t="s">
        <v>1192</v>
      </c>
      <c r="N18" s="3" t="s">
        <v>276</v>
      </c>
      <c r="O18" s="3" t="s">
        <v>2166</v>
      </c>
      <c r="P18" s="15">
        <v>1517981</v>
      </c>
      <c r="Q18" s="49">
        <v>2056061</v>
      </c>
      <c r="W18" s="3" t="s">
        <v>1726</v>
      </c>
      <c r="X18" s="107">
        <v>2</v>
      </c>
      <c r="Y18" s="107">
        <v>64</v>
      </c>
      <c r="Z18" s="41">
        <f>46/64</f>
        <v>0.71875</v>
      </c>
      <c r="AA18" s="110">
        <v>112.3</v>
      </c>
      <c r="AB18" s="110">
        <v>102.4</v>
      </c>
      <c r="AC18" s="110">
        <f t="shared" si="1"/>
        <v>9.8999999999999915</v>
      </c>
      <c r="AD18" s="110">
        <v>17</v>
      </c>
      <c r="AE18" s="110">
        <v>14.5</v>
      </c>
      <c r="AF18" s="41">
        <v>0.59799999999999998</v>
      </c>
      <c r="AG18" s="110">
        <v>18.899999999999999</v>
      </c>
      <c r="AH18" s="110">
        <v>1.4</v>
      </c>
      <c r="AI18" s="110">
        <v>1.6</v>
      </c>
      <c r="AJ18" s="41">
        <v>0.13300000000000001</v>
      </c>
      <c r="AK18" s="110">
        <v>0.7</v>
      </c>
      <c r="AL18" s="110">
        <v>0.6</v>
      </c>
      <c r="AM18" s="110">
        <v>0.9</v>
      </c>
      <c r="AN18" s="110">
        <v>10.8</v>
      </c>
    </row>
    <row r="19" spans="1:40" x14ac:dyDescent="0.2">
      <c r="A19" s="3">
        <v>1</v>
      </c>
      <c r="B19" s="3" t="s">
        <v>1732</v>
      </c>
      <c r="C19" s="3" t="s">
        <v>241</v>
      </c>
      <c r="D19" s="105">
        <v>66</v>
      </c>
      <c r="E19" s="105">
        <v>67</v>
      </c>
      <c r="F19" s="106">
        <v>210</v>
      </c>
      <c r="G19" s="4">
        <v>34698</v>
      </c>
      <c r="H19" s="110">
        <f t="shared" ca="1" si="6"/>
        <v>25.9</v>
      </c>
      <c r="I19" s="3" t="s">
        <v>1733</v>
      </c>
      <c r="J19" s="3">
        <v>2</v>
      </c>
      <c r="K19" s="3">
        <v>2017</v>
      </c>
      <c r="M19" s="3" t="s">
        <v>452</v>
      </c>
      <c r="N19" s="3" t="s">
        <v>288</v>
      </c>
      <c r="O19" s="3" t="s">
        <v>2516</v>
      </c>
      <c r="P19" s="19" t="s">
        <v>288</v>
      </c>
      <c r="Q19" s="49"/>
      <c r="W19" s="3" t="s">
        <v>1734</v>
      </c>
      <c r="X19" s="107">
        <v>4</v>
      </c>
      <c r="Y19" s="107">
        <v>3</v>
      </c>
      <c r="Z19" s="41">
        <f>3/3</f>
        <v>1</v>
      </c>
      <c r="AA19" s="110">
        <v>90.5</v>
      </c>
      <c r="AB19" s="110">
        <v>94.7</v>
      </c>
      <c r="AC19" s="110">
        <f t="shared" si="1"/>
        <v>-4.2000000000000028</v>
      </c>
      <c r="AD19" s="110">
        <v>2.8</v>
      </c>
      <c r="AE19" s="110">
        <v>13.6</v>
      </c>
      <c r="AF19" s="41">
        <v>0.26600000000000001</v>
      </c>
      <c r="AG19" s="110">
        <v>10.1</v>
      </c>
      <c r="AH19" s="110">
        <v>0</v>
      </c>
      <c r="AI19" s="110">
        <v>0</v>
      </c>
      <c r="AJ19" s="41">
        <v>0.114</v>
      </c>
      <c r="AK19" s="110">
        <v>1.1000000000000001</v>
      </c>
      <c r="AL19" s="110">
        <v>5.8</v>
      </c>
      <c r="AM19" s="110">
        <v>0</v>
      </c>
      <c r="AN19" s="110">
        <v>10.8</v>
      </c>
    </row>
    <row r="20" spans="1:40" x14ac:dyDescent="0.2">
      <c r="B20" s="3" t="s">
        <v>2378</v>
      </c>
      <c r="C20" s="3" t="s">
        <v>252</v>
      </c>
      <c r="D20" s="105">
        <v>65</v>
      </c>
      <c r="E20" s="105">
        <v>67</v>
      </c>
      <c r="F20" s="106">
        <v>195</v>
      </c>
      <c r="G20" s="4">
        <v>36021</v>
      </c>
      <c r="H20" s="3">
        <f t="shared" ca="1" si="6"/>
        <v>22.2</v>
      </c>
      <c r="I20" s="3" t="s">
        <v>502</v>
      </c>
      <c r="J20" s="3">
        <v>1</v>
      </c>
      <c r="K20" s="3">
        <v>2020</v>
      </c>
      <c r="L20" s="3">
        <v>59</v>
      </c>
      <c r="M20" s="3" t="s">
        <v>2379</v>
      </c>
      <c r="P20" s="11"/>
      <c r="X20" s="107"/>
      <c r="Y20" s="107"/>
      <c r="Z20" s="41"/>
      <c r="AB20" s="110"/>
      <c r="AC20" s="110"/>
      <c r="AD20" s="110"/>
      <c r="AE20" s="110"/>
      <c r="AF20" s="41"/>
      <c r="AG20" s="110"/>
      <c r="AH20" s="110"/>
      <c r="AI20" s="110"/>
      <c r="AJ20" s="41"/>
      <c r="AK20" s="110"/>
      <c r="AL20" s="110"/>
      <c r="AM20" s="110"/>
      <c r="AN20" s="110"/>
    </row>
    <row r="21" spans="1:40" x14ac:dyDescent="0.2">
      <c r="B21" s="3" t="s">
        <v>290</v>
      </c>
      <c r="D21" s="105"/>
      <c r="E21" s="105"/>
      <c r="F21" s="106"/>
      <c r="H21" s="110"/>
      <c r="P21" s="11"/>
      <c r="Q21" s="11"/>
      <c r="R21" s="11"/>
      <c r="S21" s="11"/>
      <c r="X21" s="107"/>
      <c r="Y21" s="107"/>
      <c r="Z21" s="41"/>
      <c r="AF21" s="41"/>
      <c r="AJ21" s="41"/>
    </row>
    <row r="22" spans="1:40" x14ac:dyDescent="0.2">
      <c r="B22" s="5"/>
      <c r="P22" s="11"/>
      <c r="R22" s="60"/>
      <c r="X22" s="107"/>
      <c r="Y22" s="107"/>
      <c r="Z22" s="41"/>
      <c r="AF22" s="41"/>
      <c r="AJ22" s="41"/>
    </row>
    <row r="23" spans="1:40" x14ac:dyDescent="0.2">
      <c r="A23" s="3">
        <v>4</v>
      </c>
      <c r="B23" s="3" t="s">
        <v>172</v>
      </c>
      <c r="C23" s="3" t="s">
        <v>234</v>
      </c>
      <c r="D23" s="105">
        <v>66</v>
      </c>
      <c r="E23" s="105">
        <v>72</v>
      </c>
      <c r="F23" s="106">
        <v>217</v>
      </c>
      <c r="G23" s="4">
        <v>34702</v>
      </c>
      <c r="H23" s="110">
        <f ca="1">ROUNDDOWN(YEARFRAC($G$28,G23),1)</f>
        <v>25.9</v>
      </c>
      <c r="I23" s="3" t="s">
        <v>511</v>
      </c>
      <c r="J23" s="3">
        <v>6</v>
      </c>
      <c r="K23" s="3">
        <v>2015</v>
      </c>
      <c r="L23" s="3">
        <v>23</v>
      </c>
      <c r="M23" s="3" t="s">
        <v>567</v>
      </c>
      <c r="P23" s="14">
        <v>3000000</v>
      </c>
      <c r="R23" s="237"/>
      <c r="S23" s="237"/>
      <c r="W23" s="3" t="s">
        <v>1711</v>
      </c>
      <c r="X23" s="107">
        <v>3</v>
      </c>
      <c r="Y23" s="107">
        <v>52</v>
      </c>
      <c r="Z23" s="41">
        <f>36/52</f>
        <v>0.69230769230769229</v>
      </c>
      <c r="AA23" s="110">
        <v>108.5</v>
      </c>
      <c r="AB23" s="110">
        <v>103.4</v>
      </c>
      <c r="AC23" s="110">
        <f t="shared" ref="AC23:AC26" si="8">AA23-AB23</f>
        <v>5.0999999999999943</v>
      </c>
      <c r="AD23" s="110">
        <v>19.2</v>
      </c>
      <c r="AE23" s="110">
        <v>15.5</v>
      </c>
      <c r="AF23" s="41">
        <v>0.53300000000000003</v>
      </c>
      <c r="AG23" s="110">
        <v>17.2</v>
      </c>
      <c r="AH23" s="110">
        <v>1.4</v>
      </c>
      <c r="AI23" s="110">
        <v>1.8</v>
      </c>
      <c r="AJ23" s="41">
        <v>0.153</v>
      </c>
      <c r="AK23" s="110">
        <v>-1.1000000000000001</v>
      </c>
      <c r="AL23" s="110">
        <v>1.5</v>
      </c>
      <c r="AM23" s="110">
        <v>0.6</v>
      </c>
      <c r="AN23" s="110">
        <v>10.3</v>
      </c>
    </row>
    <row r="24" spans="1:40" x14ac:dyDescent="0.2">
      <c r="A24" s="3">
        <v>13</v>
      </c>
      <c r="B24" s="3" t="s">
        <v>174</v>
      </c>
      <c r="C24" s="3" t="s">
        <v>252</v>
      </c>
      <c r="D24" s="105">
        <v>67</v>
      </c>
      <c r="E24" s="105">
        <v>70</v>
      </c>
      <c r="F24" s="106">
        <v>210</v>
      </c>
      <c r="G24" s="4">
        <v>34034</v>
      </c>
      <c r="H24" s="110">
        <f ca="1">ROUNDDOWN(YEARFRAC($G$28,G24),1)</f>
        <v>27.7</v>
      </c>
      <c r="I24" s="3" t="s">
        <v>1720</v>
      </c>
      <c r="J24" s="3">
        <v>4</v>
      </c>
      <c r="K24" s="3">
        <v>2015</v>
      </c>
      <c r="M24" s="3" t="s">
        <v>789</v>
      </c>
      <c r="O24" s="26"/>
      <c r="P24" s="14">
        <v>1985289</v>
      </c>
      <c r="W24" s="3" t="s">
        <v>1721</v>
      </c>
      <c r="X24" s="107">
        <v>4</v>
      </c>
      <c r="Y24" s="107">
        <v>25</v>
      </c>
      <c r="Z24" s="41">
        <f>21/25</f>
        <v>0.84</v>
      </c>
      <c r="AA24" s="110">
        <v>91.3</v>
      </c>
      <c r="AB24" s="110">
        <v>96.1</v>
      </c>
      <c r="AC24" s="110">
        <f t="shared" si="8"/>
        <v>-4.7999999999999972</v>
      </c>
      <c r="AD24" s="110">
        <v>5</v>
      </c>
      <c r="AE24" s="110">
        <v>4.7</v>
      </c>
      <c r="AF24" s="41">
        <v>0.432</v>
      </c>
      <c r="AG24" s="110">
        <v>10.1</v>
      </c>
      <c r="AH24" s="110">
        <v>-0.1</v>
      </c>
      <c r="AI24" s="110">
        <v>0.2</v>
      </c>
      <c r="AJ24" s="41">
        <v>3.6999999999999998E-2</v>
      </c>
      <c r="AK24" s="110">
        <v>-4.3</v>
      </c>
      <c r="AL24" s="110">
        <v>1.4</v>
      </c>
      <c r="AM24" s="110">
        <v>0</v>
      </c>
      <c r="AN24" s="110">
        <v>2.9</v>
      </c>
    </row>
    <row r="25" spans="1:40" x14ac:dyDescent="0.2">
      <c r="A25" s="3">
        <v>12</v>
      </c>
      <c r="B25" s="3" t="s">
        <v>1729</v>
      </c>
      <c r="C25" s="3" t="s">
        <v>241</v>
      </c>
      <c r="D25" s="105">
        <v>67</v>
      </c>
      <c r="E25" s="105">
        <v>70</v>
      </c>
      <c r="F25" s="106">
        <v>210</v>
      </c>
      <c r="G25" s="4">
        <v>35966</v>
      </c>
      <c r="H25" s="110">
        <f ca="1">ROUNDDOWN(YEARFRAC($G$28,G25),1)</f>
        <v>22.4</v>
      </c>
      <c r="I25" s="3" t="s">
        <v>733</v>
      </c>
      <c r="J25" s="3">
        <v>2</v>
      </c>
      <c r="K25" s="3">
        <v>2019</v>
      </c>
      <c r="M25" s="3" t="s">
        <v>1730</v>
      </c>
      <c r="P25" s="235" t="s">
        <v>2371</v>
      </c>
      <c r="S25" s="60"/>
      <c r="W25" s="3" t="s">
        <v>1731</v>
      </c>
      <c r="X25" s="107">
        <v>3</v>
      </c>
      <c r="Y25" s="107">
        <v>19</v>
      </c>
      <c r="Z25" s="41">
        <f>15/19</f>
        <v>0.78947368421052633</v>
      </c>
      <c r="AA25" s="110">
        <v>108.1</v>
      </c>
      <c r="AB25" s="110">
        <v>96.5</v>
      </c>
      <c r="AC25" s="110">
        <f t="shared" si="8"/>
        <v>11.599999999999994</v>
      </c>
      <c r="AD25" s="110">
        <v>7.1</v>
      </c>
      <c r="AE25" s="110">
        <v>6.7</v>
      </c>
      <c r="AF25" s="41">
        <v>0.45800000000000002</v>
      </c>
      <c r="AG25" s="110">
        <v>15</v>
      </c>
      <c r="AH25" s="110">
        <v>-0.1</v>
      </c>
      <c r="AI25" s="110">
        <v>0.2</v>
      </c>
      <c r="AJ25" s="41">
        <v>4.2000000000000003E-2</v>
      </c>
      <c r="AK25" s="110">
        <v>-5.7</v>
      </c>
      <c r="AL25" s="110">
        <v>0.3</v>
      </c>
      <c r="AM25" s="110">
        <v>-0.1</v>
      </c>
      <c r="AN25" s="110">
        <v>4.2</v>
      </c>
    </row>
    <row r="26" spans="1:40" x14ac:dyDescent="0.2">
      <c r="A26" s="3">
        <v>20</v>
      </c>
      <c r="B26" s="3" t="s">
        <v>176</v>
      </c>
      <c r="C26" s="3" t="s">
        <v>234</v>
      </c>
      <c r="D26" s="105">
        <v>610</v>
      </c>
      <c r="E26" s="105">
        <v>72</v>
      </c>
      <c r="F26" s="106">
        <v>235</v>
      </c>
      <c r="G26" s="4">
        <v>35408</v>
      </c>
      <c r="H26" s="110">
        <f t="shared" ref="H26" ca="1" si="9">ROUNDDOWN(YEARFRAC($G$28,G26),1)</f>
        <v>23.9</v>
      </c>
      <c r="I26" s="3" t="s">
        <v>1727</v>
      </c>
      <c r="J26" s="3">
        <v>2</v>
      </c>
      <c r="K26" s="3">
        <v>2019</v>
      </c>
      <c r="L26" s="3">
        <v>59</v>
      </c>
      <c r="M26" s="3" t="s">
        <v>1728</v>
      </c>
      <c r="O26" s="159"/>
      <c r="P26" s="14"/>
      <c r="Q26" s="16"/>
      <c r="R26" s="16"/>
      <c r="W26" s="5" t="s">
        <v>238</v>
      </c>
      <c r="X26" s="107">
        <v>5</v>
      </c>
      <c r="Y26" s="107">
        <v>4</v>
      </c>
      <c r="Z26" s="41">
        <f>4/4</f>
        <v>1</v>
      </c>
      <c r="AA26" s="110">
        <v>107.7</v>
      </c>
      <c r="AB26" s="110">
        <v>108</v>
      </c>
      <c r="AC26" s="110">
        <f t="shared" si="8"/>
        <v>-0.29999999999999716</v>
      </c>
      <c r="AD26" s="110">
        <v>2.8</v>
      </c>
      <c r="AE26" s="110">
        <v>4.2</v>
      </c>
      <c r="AF26" s="41">
        <v>0.34</v>
      </c>
      <c r="AG26" s="110">
        <v>26.8</v>
      </c>
      <c r="AH26" s="110">
        <v>0</v>
      </c>
      <c r="AI26" s="110">
        <v>0</v>
      </c>
      <c r="AJ26" s="41">
        <v>3.0000000000000001E-3</v>
      </c>
      <c r="AK26" s="110">
        <v>-18.3</v>
      </c>
      <c r="AL26" s="110">
        <v>-3</v>
      </c>
      <c r="AM26" s="110">
        <v>-0.1</v>
      </c>
      <c r="AN26" s="110">
        <v>0</v>
      </c>
    </row>
    <row r="27" spans="1:40" x14ac:dyDescent="0.2">
      <c r="B27" s="5"/>
      <c r="P27" s="11"/>
      <c r="X27" s="107"/>
      <c r="Y27" s="107"/>
      <c r="Z27" s="41"/>
      <c r="AF27" s="41"/>
      <c r="AJ27" s="41"/>
    </row>
    <row r="28" spans="1:40" x14ac:dyDescent="0.2">
      <c r="G28" s="4">
        <f ca="1">TODAY()</f>
        <v>44162</v>
      </c>
      <c r="H28" s="36">
        <f ca="1">AVERAGE(H2:H18)</f>
        <v>26.482352941176476</v>
      </c>
      <c r="J28" s="36">
        <f>AVERAGE(J2:J18)</f>
        <v>5.1764705882352944</v>
      </c>
      <c r="Z28" s="41"/>
      <c r="AF28" s="41"/>
    </row>
    <row r="29" spans="1:40" x14ac:dyDescent="0.2">
      <c r="H29" s="36">
        <f ca="1">MEDIAN(H2:H18)</f>
        <v>26.3</v>
      </c>
      <c r="J29" s="107">
        <f>MEDIAN(J2:J18)</f>
        <v>5</v>
      </c>
      <c r="L29" s="60"/>
      <c r="M29" s="60"/>
      <c r="P29" s="11"/>
      <c r="Z29" s="41"/>
      <c r="AF29" s="41"/>
    </row>
    <row r="30" spans="1:40" x14ac:dyDescent="0.2">
      <c r="B30" s="197" t="s">
        <v>1985</v>
      </c>
      <c r="M30" s="197"/>
      <c r="P30" s="11">
        <f>SUM(P2:P19)-P14-P15-P16-P17-P18+725000+50000</f>
        <v>125072262</v>
      </c>
      <c r="Z30" s="41"/>
      <c r="AF30" s="41"/>
    </row>
    <row r="31" spans="1:40" x14ac:dyDescent="0.2">
      <c r="B31" s="3" t="s">
        <v>1876</v>
      </c>
      <c r="C31" s="3">
        <v>12</v>
      </c>
      <c r="P31" s="29">
        <f>SUM(P2:P19)</f>
        <v>132428077</v>
      </c>
    </row>
    <row r="32" spans="1:40" x14ac:dyDescent="0.2">
      <c r="B32" s="3" t="s">
        <v>2457</v>
      </c>
      <c r="C32" s="3">
        <v>2</v>
      </c>
    </row>
    <row r="33" spans="2:16" x14ac:dyDescent="0.2">
      <c r="B33" s="3" t="s">
        <v>2539</v>
      </c>
      <c r="C33" s="3">
        <v>1</v>
      </c>
      <c r="O33" s="3" t="s">
        <v>292</v>
      </c>
      <c r="P33" s="22" t="e">
        <f>#REF!</f>
        <v>#REF!</v>
      </c>
    </row>
    <row r="34" spans="2:16" x14ac:dyDescent="0.2">
      <c r="B34" s="3" t="s">
        <v>495</v>
      </c>
      <c r="C34" s="22">
        <f>9258000-P6-P11</f>
        <v>0</v>
      </c>
      <c r="D34" s="3" t="s">
        <v>2749</v>
      </c>
      <c r="O34" s="22" t="s">
        <v>294</v>
      </c>
      <c r="P34" s="22" t="e">
        <f>#REF!</f>
        <v>#REF!</v>
      </c>
    </row>
    <row r="35" spans="2:16" x14ac:dyDescent="0.2">
      <c r="B35" s="3" t="s">
        <v>293</v>
      </c>
      <c r="C35" s="22">
        <v>0</v>
      </c>
      <c r="N35" s="22"/>
      <c r="O35" s="22" t="s">
        <v>2748</v>
      </c>
      <c r="P35" s="22">
        <v>138928000</v>
      </c>
    </row>
    <row r="36" spans="2:16" x14ac:dyDescent="0.2">
      <c r="B36" s="3" t="s">
        <v>295</v>
      </c>
      <c r="C36" s="22">
        <v>0</v>
      </c>
      <c r="N36" s="22"/>
    </row>
    <row r="38" spans="2:16" x14ac:dyDescent="0.2">
      <c r="B38" s="5" t="s">
        <v>1875</v>
      </c>
      <c r="M38" s="5"/>
    </row>
    <row r="39" spans="2:16" x14ac:dyDescent="0.2">
      <c r="B39" s="3" t="s">
        <v>296</v>
      </c>
      <c r="C39" s="41">
        <f>53/(53+19)</f>
        <v>0.73611111111111116</v>
      </c>
    </row>
    <row r="40" spans="2:16" x14ac:dyDescent="0.2">
      <c r="B40" s="3" t="s">
        <v>298</v>
      </c>
      <c r="C40" s="3">
        <v>110.8</v>
      </c>
      <c r="D40" s="3" t="s">
        <v>1959</v>
      </c>
    </row>
    <row r="41" spans="2:16" x14ac:dyDescent="0.2">
      <c r="B41" s="3" t="s">
        <v>299</v>
      </c>
      <c r="C41" s="3">
        <v>104.7</v>
      </c>
      <c r="D41" s="3" t="s">
        <v>2028</v>
      </c>
    </row>
    <row r="42" spans="2:16" x14ac:dyDescent="0.2">
      <c r="B42" s="3" t="s">
        <v>300</v>
      </c>
      <c r="C42" s="3">
        <f>C40-C41</f>
        <v>6.0999999999999943</v>
      </c>
      <c r="D42" s="3" t="s">
        <v>1953</v>
      </c>
    </row>
    <row r="43" spans="2:16" x14ac:dyDescent="0.2">
      <c r="B43" s="3" t="s">
        <v>301</v>
      </c>
      <c r="C43" s="3">
        <v>101.19</v>
      </c>
      <c r="D43" s="3" t="s">
        <v>2067</v>
      </c>
    </row>
    <row r="45" spans="2:16" x14ac:dyDescent="0.2">
      <c r="B45" s="2" t="s">
        <v>302</v>
      </c>
    </row>
    <row r="46" spans="2:16" x14ac:dyDescent="0.2">
      <c r="B46" s="2" t="s">
        <v>1089</v>
      </c>
    </row>
    <row r="47" spans="2:16" x14ac:dyDescent="0.2">
      <c r="B47" s="10"/>
    </row>
    <row r="48" spans="2:16" x14ac:dyDescent="0.2">
      <c r="B48" s="2" t="s">
        <v>310</v>
      </c>
    </row>
    <row r="49" spans="2:9" x14ac:dyDescent="0.2">
      <c r="B49" s="2" t="s">
        <v>2172</v>
      </c>
      <c r="D49" s="3" t="s">
        <v>2173</v>
      </c>
    </row>
    <row r="50" spans="2:9" x14ac:dyDescent="0.2">
      <c r="B50" s="2" t="s">
        <v>2108</v>
      </c>
      <c r="D50" s="3" t="s">
        <v>2109</v>
      </c>
    </row>
    <row r="51" spans="2:9" x14ac:dyDescent="0.2">
      <c r="B51" s="2" t="s">
        <v>1736</v>
      </c>
      <c r="D51" s="3" t="s">
        <v>168</v>
      </c>
    </row>
    <row r="52" spans="2:9" x14ac:dyDescent="0.2">
      <c r="B52" s="2"/>
    </row>
    <row r="53" spans="2:9" x14ac:dyDescent="0.2">
      <c r="B53" s="5" t="s">
        <v>1989</v>
      </c>
    </row>
    <row r="54" spans="2:9" x14ac:dyDescent="0.2">
      <c r="B54" s="39" t="s">
        <v>314</v>
      </c>
      <c r="C54" s="3">
        <v>53</v>
      </c>
      <c r="D54" s="3">
        <v>19</v>
      </c>
      <c r="E54" s="3" t="s">
        <v>396</v>
      </c>
      <c r="G54" s="3" t="s">
        <v>1735</v>
      </c>
      <c r="I54" s="3" t="s">
        <v>2107</v>
      </c>
    </row>
    <row r="55" spans="2:9" x14ac:dyDescent="0.2">
      <c r="B55" s="39" t="s">
        <v>317</v>
      </c>
      <c r="C55" s="3">
        <v>58</v>
      </c>
      <c r="D55" s="3">
        <v>24</v>
      </c>
      <c r="E55" s="3" t="s">
        <v>396</v>
      </c>
      <c r="G55" s="3" t="s">
        <v>1735</v>
      </c>
      <c r="I55" s="3" t="s">
        <v>1737</v>
      </c>
    </row>
    <row r="56" spans="2:9" x14ac:dyDescent="0.2">
      <c r="B56" s="39" t="s">
        <v>319</v>
      </c>
      <c r="C56" s="3">
        <v>59</v>
      </c>
      <c r="D56" s="3">
        <v>23</v>
      </c>
      <c r="E56" s="3" t="s">
        <v>329</v>
      </c>
      <c r="G56" s="3" t="s">
        <v>821</v>
      </c>
      <c r="I56" s="3" t="s">
        <v>1738</v>
      </c>
    </row>
    <row r="57" spans="2:9" x14ac:dyDescent="0.2">
      <c r="B57" s="39" t="s">
        <v>322</v>
      </c>
      <c r="C57" s="3">
        <v>51</v>
      </c>
      <c r="D57" s="3">
        <v>31</v>
      </c>
      <c r="E57" s="3" t="s">
        <v>393</v>
      </c>
      <c r="G57" s="3" t="s">
        <v>821</v>
      </c>
      <c r="I57" s="3" t="s">
        <v>1739</v>
      </c>
    </row>
    <row r="58" spans="2:9" x14ac:dyDescent="0.2">
      <c r="B58" s="39" t="s">
        <v>325</v>
      </c>
      <c r="C58" s="3">
        <v>56</v>
      </c>
      <c r="D58" s="3">
        <v>26</v>
      </c>
      <c r="E58" s="3" t="s">
        <v>396</v>
      </c>
      <c r="G58" s="3" t="s">
        <v>821</v>
      </c>
      <c r="I58" s="3" t="s">
        <v>1740</v>
      </c>
    </row>
    <row r="59" spans="2:9" x14ac:dyDescent="0.2">
      <c r="B59" s="39" t="s">
        <v>328</v>
      </c>
      <c r="C59" s="3">
        <v>49</v>
      </c>
      <c r="D59" s="3">
        <v>33</v>
      </c>
      <c r="E59" s="3" t="s">
        <v>326</v>
      </c>
      <c r="G59" s="3" t="s">
        <v>821</v>
      </c>
      <c r="I59" s="3" t="s">
        <v>1741</v>
      </c>
    </row>
    <row r="60" spans="2:9" x14ac:dyDescent="0.2">
      <c r="B60" s="39" t="s">
        <v>331</v>
      </c>
      <c r="C60" s="3">
        <v>48</v>
      </c>
      <c r="D60" s="3">
        <v>34</v>
      </c>
      <c r="E60" s="3" t="s">
        <v>393</v>
      </c>
      <c r="G60" s="3" t="s">
        <v>821</v>
      </c>
      <c r="I60" s="3" t="s">
        <v>1742</v>
      </c>
    </row>
    <row r="61" spans="2:9" x14ac:dyDescent="0.2">
      <c r="B61" s="39" t="s">
        <v>334</v>
      </c>
      <c r="C61" s="3">
        <v>34</v>
      </c>
      <c r="D61" s="3">
        <v>48</v>
      </c>
      <c r="E61" s="3" t="s">
        <v>520</v>
      </c>
      <c r="G61" s="3" t="s">
        <v>821</v>
      </c>
      <c r="I61" s="38" t="s">
        <v>316</v>
      </c>
    </row>
    <row r="62" spans="2:9" x14ac:dyDescent="0.2">
      <c r="B62" s="39" t="s">
        <v>338</v>
      </c>
      <c r="C62" s="3">
        <v>23</v>
      </c>
      <c r="D62" s="3">
        <v>43</v>
      </c>
      <c r="E62" s="3" t="s">
        <v>523</v>
      </c>
      <c r="G62" s="3" t="s">
        <v>821</v>
      </c>
      <c r="I62" s="38" t="s">
        <v>316</v>
      </c>
    </row>
    <row r="63" spans="2:9" x14ac:dyDescent="0.2">
      <c r="B63" s="39" t="s">
        <v>340</v>
      </c>
      <c r="C63" s="3">
        <v>22</v>
      </c>
      <c r="D63" s="3">
        <v>60</v>
      </c>
      <c r="E63" s="3" t="s">
        <v>315</v>
      </c>
      <c r="G63" s="3" t="s">
        <v>1743</v>
      </c>
      <c r="I63" s="38" t="s">
        <v>316</v>
      </c>
    </row>
    <row r="64" spans="2:9" x14ac:dyDescent="0.2">
      <c r="B64" s="3" t="s">
        <v>342</v>
      </c>
      <c r="C64" s="3">
        <f>SUM(C54:C63)</f>
        <v>453</v>
      </c>
      <c r="D64" s="3">
        <f>SUM(D54:D63)</f>
        <v>341</v>
      </c>
      <c r="E64" s="41">
        <f>C64/(C64+D64)</f>
        <v>0.57052896725440805</v>
      </c>
    </row>
    <row r="65" spans="2:5" x14ac:dyDescent="0.2">
      <c r="B65" s="3" t="s">
        <v>2119</v>
      </c>
      <c r="C65" s="3">
        <f>SUM(C54:C58)</f>
        <v>277</v>
      </c>
      <c r="D65" s="3">
        <f>SUM(D54:D58)</f>
        <v>123</v>
      </c>
      <c r="E65" s="41">
        <f>C65/(C65+D65)</f>
        <v>0.6925</v>
      </c>
    </row>
  </sheetData>
  <hyperlinks>
    <hyperlink ref="B54" r:id="rId1" xr:uid="{548C433C-6F43-C74E-A190-7F95A7053612}"/>
    <hyperlink ref="B55" r:id="rId2" xr:uid="{08FD7C32-59AE-794C-8389-5AAB6A2C782B}"/>
    <hyperlink ref="B56" r:id="rId3" xr:uid="{C0BF48B9-686E-4F40-ABAD-D02036B42E44}"/>
    <hyperlink ref="B57" r:id="rId4" xr:uid="{1ED33D1C-6D4F-4B49-98F0-442E7745BC99}"/>
    <hyperlink ref="B58" r:id="rId5" xr:uid="{223D6597-B0A9-E041-A0A0-F53BEC0355C7}"/>
    <hyperlink ref="B59" r:id="rId6" xr:uid="{8853B927-5D98-714C-8C62-478F4A5D71B0}"/>
    <hyperlink ref="B60" r:id="rId7" xr:uid="{5ED6649B-5B16-0C4E-A45D-FF888E1ED443}"/>
    <hyperlink ref="B61" r:id="rId8" xr:uid="{B82199E5-40B5-CB4D-90A0-A9896419290E}"/>
    <hyperlink ref="B62" r:id="rId9" xr:uid="{9FCB90A2-1C56-0946-8522-7567EF260B34}"/>
    <hyperlink ref="B63" r:id="rId10" xr:uid="{97952F8B-70BD-984B-8435-B658EBC3C91A}"/>
  </hyperlinks>
  <pageMargins left="0.7" right="0.7" top="0.75" bottom="0.75" header="0.3" footer="0.3"/>
  <ignoredErrors>
    <ignoredError sqref="C65:D65 J28:J29" formulaRange="1"/>
  </ignoredErrors>
  <legacyDrawing r:id="rId1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D38D-904D-F440-BFDC-5206EF7554B7}">
  <dimension ref="A1:AP66"/>
  <sheetViews>
    <sheetView zoomScaleNormal="100" workbookViewId="0"/>
  </sheetViews>
  <sheetFormatPr baseColWidth="10" defaultColWidth="10.83203125" defaultRowHeight="16" x14ac:dyDescent="0.2"/>
  <cols>
    <col min="1" max="1" width="4.6640625" style="59" customWidth="1"/>
    <col min="2" max="2" width="19.6640625" style="59" customWidth="1"/>
    <col min="3" max="3" width="10.1640625" style="59" customWidth="1"/>
    <col min="4" max="4" width="7.33203125" style="59" customWidth="1"/>
    <col min="5" max="5" width="10.33203125" style="59" customWidth="1"/>
    <col min="6" max="6" width="8" style="59" customWidth="1"/>
    <col min="7" max="7" width="9.33203125" style="59" customWidth="1"/>
    <col min="8" max="8" width="5.83203125" style="59" customWidth="1"/>
    <col min="9" max="9" width="21.6640625" style="59" customWidth="1"/>
    <col min="10" max="11" width="11.33203125" style="59" customWidth="1"/>
    <col min="12" max="12" width="5.1640625" style="59" customWidth="1"/>
    <col min="13" max="13" width="28" style="59" customWidth="1"/>
    <col min="14" max="14" width="22.6640625" style="59" customWidth="1"/>
    <col min="15" max="15" width="84.83203125" style="59" customWidth="1"/>
    <col min="16" max="16" width="13.6640625" style="59" bestFit="1" customWidth="1"/>
    <col min="17" max="17" width="13.5" style="59" bestFit="1" customWidth="1"/>
    <col min="18" max="18" width="14.5" style="59" bestFit="1" customWidth="1"/>
    <col min="19" max="19" width="12.6640625" style="59" bestFit="1" customWidth="1"/>
    <col min="20" max="20" width="13.83203125" style="59" bestFit="1" customWidth="1"/>
    <col min="21" max="21" width="12.5" style="59" customWidth="1"/>
    <col min="22" max="22" width="10" style="59" customWidth="1"/>
    <col min="23" max="23" width="135.1640625" style="59" customWidth="1"/>
    <col min="24" max="24" width="21.1640625" style="59" customWidth="1"/>
    <col min="25" max="25" width="9.33203125" style="59" customWidth="1"/>
    <col min="26" max="26" width="3.6640625" style="59" customWidth="1"/>
    <col min="27" max="27" width="7.83203125" style="59" customWidth="1"/>
    <col min="28" max="28" width="6.1640625" style="59" customWidth="1"/>
    <col min="29" max="29" width="6.5" style="59" customWidth="1"/>
    <col min="30" max="30" width="7.33203125" style="59" customWidth="1"/>
    <col min="31" max="31" width="5.33203125" style="59" customWidth="1"/>
    <col min="32" max="32" width="5" style="59" customWidth="1"/>
    <col min="33" max="33" width="6.1640625" style="59" customWidth="1"/>
    <col min="34" max="34" width="7.83203125" style="59" customWidth="1"/>
    <col min="35" max="35" width="5.33203125" style="59" customWidth="1"/>
    <col min="36" max="36" width="5.1640625" style="59" customWidth="1"/>
    <col min="37" max="37" width="6.6640625" style="59" customWidth="1"/>
    <col min="38" max="38" width="6.5" style="59" customWidth="1"/>
    <col min="39" max="39" width="6" style="59" customWidth="1"/>
    <col min="40" max="40" width="5.83203125" style="59" customWidth="1"/>
    <col min="41" max="41" width="4.5" style="59" customWidth="1"/>
    <col min="42" max="16384" width="10.83203125" style="59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/>
      <c r="W1" s="169" t="s">
        <v>2146</v>
      </c>
      <c r="X1" s="169" t="s">
        <v>2147</v>
      </c>
      <c r="Y1" s="169" t="s">
        <v>2127</v>
      </c>
      <c r="Z1" s="169" t="s">
        <v>2148</v>
      </c>
      <c r="AA1" s="169" t="s">
        <v>2149</v>
      </c>
      <c r="AB1" s="169" t="s">
        <v>2150</v>
      </c>
      <c r="AC1" s="169" t="s">
        <v>2151</v>
      </c>
      <c r="AD1" s="169" t="s">
        <v>2152</v>
      </c>
      <c r="AE1" s="169" t="s">
        <v>2153</v>
      </c>
      <c r="AF1" s="169" t="s">
        <v>2154</v>
      </c>
      <c r="AG1" s="169" t="s">
        <v>2155</v>
      </c>
      <c r="AH1" s="169" t="s">
        <v>2156</v>
      </c>
      <c r="AI1" s="169" t="s">
        <v>2157</v>
      </c>
      <c r="AJ1" s="169" t="s">
        <v>2158</v>
      </c>
      <c r="AK1" s="169" t="s">
        <v>2159</v>
      </c>
      <c r="AL1" s="169" t="s">
        <v>2160</v>
      </c>
      <c r="AM1" s="169" t="s">
        <v>2161</v>
      </c>
      <c r="AN1" s="169" t="s">
        <v>2162</v>
      </c>
      <c r="AO1" s="169" t="s">
        <v>2163</v>
      </c>
      <c r="AP1" s="3"/>
    </row>
    <row r="2" spans="1:42" x14ac:dyDescent="0.2">
      <c r="A2" s="3">
        <v>10</v>
      </c>
      <c r="B2" s="3" t="s">
        <v>1145</v>
      </c>
      <c r="C2" s="3" t="s">
        <v>247</v>
      </c>
      <c r="D2" s="105">
        <v>61</v>
      </c>
      <c r="E2" s="105">
        <v>66</v>
      </c>
      <c r="F2" s="106">
        <v>175</v>
      </c>
      <c r="G2" s="4">
        <v>32061</v>
      </c>
      <c r="H2" s="110">
        <f ca="1">ROUNDDOWN(YEARFRAC(G2,$G$25),1)</f>
        <v>33.1</v>
      </c>
      <c r="I2" s="3" t="s">
        <v>749</v>
      </c>
      <c r="J2" s="3">
        <v>14</v>
      </c>
      <c r="K2" s="3">
        <v>2007</v>
      </c>
      <c r="L2" s="3">
        <v>4</v>
      </c>
      <c r="M2" s="3" t="s">
        <v>1744</v>
      </c>
      <c r="N2" s="3" t="s">
        <v>1699</v>
      </c>
      <c r="O2" s="3" t="s">
        <v>2753</v>
      </c>
      <c r="P2" s="16">
        <v>34502132</v>
      </c>
      <c r="Q2" s="14">
        <v>43750000</v>
      </c>
      <c r="R2" s="3"/>
      <c r="S2" s="3"/>
      <c r="T2" s="3"/>
      <c r="U2" s="3"/>
      <c r="V2" s="3"/>
      <c r="W2" s="3"/>
      <c r="X2" s="96" t="s">
        <v>284</v>
      </c>
      <c r="Y2" s="69">
        <v>1</v>
      </c>
      <c r="Z2" s="69">
        <v>41</v>
      </c>
      <c r="AA2" s="65">
        <f>24/41</f>
        <v>0.58536585365853655</v>
      </c>
      <c r="AB2" s="119">
        <v>109.1</v>
      </c>
      <c r="AC2" s="119">
        <v>107.6</v>
      </c>
      <c r="AD2" s="119">
        <f t="shared" ref="AD2:AD18" si="0">AB2-AC2</f>
        <v>1.5</v>
      </c>
      <c r="AE2" s="119">
        <v>28.6</v>
      </c>
      <c r="AF2" s="119">
        <v>13.7</v>
      </c>
      <c r="AG2" s="65">
        <v>0.52700000000000002</v>
      </c>
      <c r="AH2" s="119">
        <v>23</v>
      </c>
      <c r="AI2" s="119">
        <v>1</v>
      </c>
      <c r="AJ2" s="119">
        <v>1</v>
      </c>
      <c r="AK2" s="65">
        <v>8.5000000000000006E-2</v>
      </c>
      <c r="AL2" s="119">
        <v>0.4</v>
      </c>
      <c r="AM2" s="119">
        <v>-0.4</v>
      </c>
      <c r="AN2" s="119">
        <v>0.6</v>
      </c>
      <c r="AO2" s="119">
        <v>9.3000000000000007</v>
      </c>
    </row>
    <row r="3" spans="1:42" x14ac:dyDescent="0.2">
      <c r="A3" s="3">
        <v>27</v>
      </c>
      <c r="B3" s="3" t="s">
        <v>218</v>
      </c>
      <c r="C3" s="3" t="s">
        <v>234</v>
      </c>
      <c r="D3" s="105">
        <v>71</v>
      </c>
      <c r="E3" s="105">
        <v>79</v>
      </c>
      <c r="F3" s="106">
        <v>258</v>
      </c>
      <c r="G3" s="4">
        <v>33781</v>
      </c>
      <c r="H3" s="110">
        <f ca="1">ROUNDDOWN(YEARFRAC(G3,$G$25),1)</f>
        <v>28.4</v>
      </c>
      <c r="I3" s="3" t="s">
        <v>1745</v>
      </c>
      <c r="J3" s="3">
        <v>8</v>
      </c>
      <c r="K3" s="3">
        <v>2013</v>
      </c>
      <c r="L3" s="3">
        <v>27</v>
      </c>
      <c r="M3" s="3" t="s">
        <v>1746</v>
      </c>
      <c r="N3" s="3" t="s">
        <v>1</v>
      </c>
      <c r="O3" s="3" t="s">
        <v>2072</v>
      </c>
      <c r="P3" s="11">
        <v>27525281</v>
      </c>
      <c r="Q3" s="14">
        <v>37500000</v>
      </c>
      <c r="R3" s="3"/>
      <c r="S3" s="3"/>
      <c r="T3" s="3"/>
      <c r="U3" s="3"/>
      <c r="V3" s="3"/>
      <c r="W3" s="3" t="s">
        <v>2078</v>
      </c>
      <c r="X3" s="96" t="s">
        <v>238</v>
      </c>
      <c r="Y3" s="69">
        <v>5</v>
      </c>
      <c r="Z3" s="69">
        <v>62</v>
      </c>
      <c r="AA3" s="65">
        <f>40/62</f>
        <v>0.64516129032258063</v>
      </c>
      <c r="AB3" s="119">
        <v>113</v>
      </c>
      <c r="AC3" s="119">
        <v>106.8</v>
      </c>
      <c r="AD3" s="119">
        <f t="shared" si="0"/>
        <v>6.2000000000000028</v>
      </c>
      <c r="AE3" s="119">
        <v>34.6</v>
      </c>
      <c r="AF3" s="119">
        <v>21.7</v>
      </c>
      <c r="AG3" s="65">
        <v>0.7</v>
      </c>
      <c r="AH3" s="119">
        <v>16.100000000000001</v>
      </c>
      <c r="AI3" s="119">
        <v>6</v>
      </c>
      <c r="AJ3" s="119">
        <v>4</v>
      </c>
      <c r="AK3" s="65">
        <v>0.22500000000000001</v>
      </c>
      <c r="AL3" s="119">
        <v>1.8</v>
      </c>
      <c r="AM3" s="119">
        <v>1.9</v>
      </c>
      <c r="AN3" s="119">
        <v>3.1</v>
      </c>
      <c r="AO3" s="119">
        <v>15.1</v>
      </c>
    </row>
    <row r="4" spans="1:42" x14ac:dyDescent="0.2">
      <c r="A4" s="3">
        <v>44</v>
      </c>
      <c r="B4" s="3" t="s">
        <v>1747</v>
      </c>
      <c r="C4" s="3" t="s">
        <v>241</v>
      </c>
      <c r="D4" s="105">
        <v>68</v>
      </c>
      <c r="E4" s="105">
        <v>611</v>
      </c>
      <c r="F4" s="106">
        <v>226</v>
      </c>
      <c r="G4" s="4">
        <v>32616</v>
      </c>
      <c r="H4" s="110">
        <f ca="1">ROUNDDOWN(YEARFRAC(G4,$G$25),1)</f>
        <v>31.6</v>
      </c>
      <c r="I4" s="3" t="s">
        <v>379</v>
      </c>
      <c r="J4" s="3">
        <v>7</v>
      </c>
      <c r="K4" s="3">
        <v>2011</v>
      </c>
      <c r="L4" s="3">
        <v>31</v>
      </c>
      <c r="M4" s="3" t="s">
        <v>2683</v>
      </c>
      <c r="N4" s="3" t="s">
        <v>279</v>
      </c>
      <c r="O4" s="3" t="s">
        <v>2073</v>
      </c>
      <c r="P4" s="11">
        <v>17850000</v>
      </c>
      <c r="Q4" s="11">
        <v>18700000</v>
      </c>
      <c r="R4" s="11">
        <v>19550000</v>
      </c>
      <c r="S4" s="14">
        <f>R4*1.5</f>
        <v>29325000</v>
      </c>
      <c r="T4" s="3"/>
      <c r="U4" s="3"/>
      <c r="V4" s="3"/>
      <c r="W4" s="3"/>
      <c r="X4" s="59" t="s">
        <v>1748</v>
      </c>
      <c r="Y4" s="69">
        <v>3</v>
      </c>
      <c r="Z4" s="69">
        <v>63</v>
      </c>
      <c r="AA4" s="65">
        <f>41/63</f>
        <v>0.65079365079365081</v>
      </c>
      <c r="AB4" s="119">
        <v>113.5</v>
      </c>
      <c r="AC4" s="119">
        <v>108</v>
      </c>
      <c r="AD4" s="119">
        <f t="shared" si="0"/>
        <v>5.5</v>
      </c>
      <c r="AE4" s="119">
        <v>33.1</v>
      </c>
      <c r="AF4" s="119">
        <v>15.7</v>
      </c>
      <c r="AG4" s="65">
        <v>0.60299999999999998</v>
      </c>
      <c r="AH4" s="119">
        <v>25.6</v>
      </c>
      <c r="AI4" s="119">
        <v>2.7</v>
      </c>
      <c r="AJ4" s="119">
        <v>1.6</v>
      </c>
      <c r="AK4" s="65">
        <v>9.9000000000000005E-2</v>
      </c>
      <c r="AL4" s="119">
        <v>1.6</v>
      </c>
      <c r="AM4" s="119">
        <v>-1.5</v>
      </c>
      <c r="AN4" s="119">
        <v>1.1000000000000001</v>
      </c>
      <c r="AO4" s="119">
        <v>10.5</v>
      </c>
    </row>
    <row r="5" spans="1:42" x14ac:dyDescent="0.2">
      <c r="A5" s="20" t="s">
        <v>229</v>
      </c>
      <c r="B5" s="3" t="s">
        <v>177</v>
      </c>
      <c r="C5" s="3" t="s">
        <v>252</v>
      </c>
      <c r="D5" s="105">
        <v>64</v>
      </c>
      <c r="E5" s="105">
        <v>610</v>
      </c>
      <c r="F5" s="106">
        <v>194</v>
      </c>
      <c r="G5" s="4">
        <v>33762</v>
      </c>
      <c r="H5" s="110">
        <f ca="1">ROUNDDOWN(YEARFRAC(G5,$G$25),1)</f>
        <v>28.4</v>
      </c>
      <c r="I5" s="3" t="s">
        <v>740</v>
      </c>
      <c r="J5" s="3">
        <v>7</v>
      </c>
      <c r="K5" s="3">
        <v>2014</v>
      </c>
      <c r="L5" s="3">
        <v>46</v>
      </c>
      <c r="M5" s="3" t="s">
        <v>1749</v>
      </c>
      <c r="N5" s="3" t="s">
        <v>1</v>
      </c>
      <c r="O5" s="3" t="s">
        <v>2444</v>
      </c>
      <c r="P5" s="239">
        <v>11500000</v>
      </c>
      <c r="Q5" s="239">
        <v>12420000</v>
      </c>
      <c r="R5" s="239">
        <v>13340000</v>
      </c>
      <c r="S5" s="269">
        <v>14260000</v>
      </c>
      <c r="T5" s="51">
        <f>S5*1.5</f>
        <v>21390000</v>
      </c>
      <c r="U5" s="3"/>
      <c r="V5" s="3"/>
      <c r="W5" s="3"/>
      <c r="X5" s="59" t="s">
        <v>1750</v>
      </c>
      <c r="Y5" s="69">
        <v>2</v>
      </c>
      <c r="Z5" s="69">
        <v>34</v>
      </c>
      <c r="AA5" s="65">
        <f>23/34</f>
        <v>0.67647058823529416</v>
      </c>
      <c r="AB5" s="119">
        <v>115.8</v>
      </c>
      <c r="AC5" s="119">
        <v>110.1</v>
      </c>
      <c r="AD5" s="119">
        <f t="shared" si="0"/>
        <v>5.7000000000000028</v>
      </c>
      <c r="AE5" s="119">
        <v>25.3</v>
      </c>
      <c r="AF5" s="119">
        <v>17.399999999999999</v>
      </c>
      <c r="AG5" s="65">
        <v>0.58399999999999996</v>
      </c>
      <c r="AH5" s="119">
        <v>25.3</v>
      </c>
      <c r="AI5" s="119">
        <v>1.2</v>
      </c>
      <c r="AJ5" s="119">
        <v>0.8</v>
      </c>
      <c r="AK5" s="65">
        <v>0.112</v>
      </c>
      <c r="AL5" s="119">
        <v>1.6</v>
      </c>
      <c r="AM5" s="119">
        <v>-0.9</v>
      </c>
      <c r="AN5" s="119">
        <v>0.6</v>
      </c>
      <c r="AO5" s="119">
        <v>10.199999999999999</v>
      </c>
    </row>
    <row r="6" spans="1:42" x14ac:dyDescent="0.2">
      <c r="A6" s="3">
        <v>2</v>
      </c>
      <c r="B6" s="3" t="s">
        <v>219</v>
      </c>
      <c r="C6" s="3" t="s">
        <v>241</v>
      </c>
      <c r="D6" s="105">
        <v>67</v>
      </c>
      <c r="E6" s="105">
        <v>610</v>
      </c>
      <c r="F6" s="106">
        <v>220</v>
      </c>
      <c r="G6" s="4">
        <v>32052</v>
      </c>
      <c r="H6" s="110">
        <f ca="1">ROUNDDOWN(YEARFRAC(G6,$G$25),1)</f>
        <v>33.1</v>
      </c>
      <c r="I6" s="3" t="s">
        <v>225</v>
      </c>
      <c r="J6" s="3">
        <v>7</v>
      </c>
      <c r="K6" s="3">
        <v>2009</v>
      </c>
      <c r="L6" s="3"/>
      <c r="M6" s="3" t="s">
        <v>1751</v>
      </c>
      <c r="N6" s="3" t="s">
        <v>1578</v>
      </c>
      <c r="O6" s="3" t="s">
        <v>2074</v>
      </c>
      <c r="P6" s="11">
        <v>10863637</v>
      </c>
      <c r="Q6" s="11">
        <v>13036364</v>
      </c>
      <c r="R6" s="14">
        <f>Q6*1.5</f>
        <v>19554546</v>
      </c>
      <c r="S6" s="3"/>
      <c r="T6" s="3"/>
      <c r="U6" s="3"/>
      <c r="V6" s="3"/>
      <c r="W6" s="3" t="s">
        <v>1752</v>
      </c>
      <c r="X6" s="59" t="s">
        <v>1753</v>
      </c>
      <c r="Y6" s="69">
        <v>2</v>
      </c>
      <c r="Z6" s="69">
        <v>64</v>
      </c>
      <c r="AA6" s="65">
        <f>41/64</f>
        <v>0.640625</v>
      </c>
      <c r="AB6" s="119">
        <v>110.9</v>
      </c>
      <c r="AC6" s="119">
        <v>105.1</v>
      </c>
      <c r="AD6" s="119">
        <f t="shared" si="0"/>
        <v>5.8000000000000114</v>
      </c>
      <c r="AE6" s="119">
        <v>29.9</v>
      </c>
      <c r="AF6" s="119">
        <v>12.5</v>
      </c>
      <c r="AG6" s="65">
        <v>0.58799999999999997</v>
      </c>
      <c r="AH6" s="119">
        <v>15</v>
      </c>
      <c r="AI6" s="119">
        <v>2.4</v>
      </c>
      <c r="AJ6" s="119">
        <v>2</v>
      </c>
      <c r="AK6" s="65">
        <v>0.108</v>
      </c>
      <c r="AL6" s="119">
        <v>0</v>
      </c>
      <c r="AM6" s="119">
        <v>0.7</v>
      </c>
      <c r="AN6" s="119">
        <v>1.3</v>
      </c>
      <c r="AO6" s="119">
        <v>9.6</v>
      </c>
    </row>
    <row r="7" spans="1:42" x14ac:dyDescent="0.2">
      <c r="A7" s="3"/>
      <c r="B7" s="3" t="s">
        <v>111</v>
      </c>
      <c r="C7" s="2" t="s">
        <v>234</v>
      </c>
      <c r="D7" s="105">
        <v>69</v>
      </c>
      <c r="E7" s="105">
        <v>74</v>
      </c>
      <c r="F7" s="106">
        <v>265</v>
      </c>
      <c r="G7" s="4">
        <v>33434</v>
      </c>
      <c r="H7" s="119">
        <f ca="1">ROUNDDOWN(YEARFRAC($G$25,G7),1)</f>
        <v>29.3</v>
      </c>
      <c r="I7" t="s">
        <v>537</v>
      </c>
      <c r="J7" s="3">
        <v>11</v>
      </c>
      <c r="K7" s="107">
        <v>2010</v>
      </c>
      <c r="L7" s="107">
        <v>3</v>
      </c>
      <c r="M7" s="2" t="s">
        <v>2682</v>
      </c>
      <c r="N7" s="3" t="s">
        <v>495</v>
      </c>
      <c r="O7" s="3" t="s">
        <v>2446</v>
      </c>
      <c r="P7" s="57">
        <v>9258000</v>
      </c>
      <c r="Q7" s="22">
        <f>P7+($P$7*0.05)</f>
        <v>9720900</v>
      </c>
      <c r="R7" s="55">
        <f>Q7+($P$7*0.05)</f>
        <v>10183800</v>
      </c>
      <c r="S7" s="51">
        <f>R7*1.9</f>
        <v>19349220</v>
      </c>
      <c r="T7" s="12"/>
      <c r="U7"/>
      <c r="V7"/>
      <c r="W7"/>
      <c r="X7" s="132" t="s">
        <v>238</v>
      </c>
      <c r="Y7" s="107">
        <v>5</v>
      </c>
      <c r="Z7" s="107">
        <v>45</v>
      </c>
      <c r="AA7" s="41">
        <f>22/45</f>
        <v>0.48888888888888887</v>
      </c>
      <c r="AB7" s="110">
        <v>113.2</v>
      </c>
      <c r="AC7" s="110">
        <v>107.4</v>
      </c>
      <c r="AD7" s="110">
        <f t="shared" ref="AD7" si="1">AB7-AC7</f>
        <v>5.7999999999999972</v>
      </c>
      <c r="AE7" s="110">
        <v>24.2</v>
      </c>
      <c r="AF7" s="110">
        <v>19</v>
      </c>
      <c r="AG7" s="41">
        <v>0.624</v>
      </c>
      <c r="AH7" s="110">
        <v>14.4</v>
      </c>
      <c r="AI7" s="110">
        <v>2.4</v>
      </c>
      <c r="AJ7" s="110">
        <v>1.4</v>
      </c>
      <c r="AK7" s="41">
        <v>0.16800000000000001</v>
      </c>
      <c r="AL7" s="110">
        <v>0.8</v>
      </c>
      <c r="AM7" s="110">
        <v>0.4</v>
      </c>
      <c r="AN7" s="110">
        <v>0.9</v>
      </c>
      <c r="AO7" s="110">
        <v>13</v>
      </c>
      <c r="AP7"/>
    </row>
    <row r="8" spans="1:42" x14ac:dyDescent="0.2">
      <c r="A8" s="3">
        <v>23</v>
      </c>
      <c r="B8" s="3" t="s">
        <v>1761</v>
      </c>
      <c r="C8" s="3" t="s">
        <v>252</v>
      </c>
      <c r="D8" s="105">
        <v>64</v>
      </c>
      <c r="E8" s="105">
        <v>610</v>
      </c>
      <c r="F8" s="106">
        <v>226</v>
      </c>
      <c r="G8" s="4">
        <v>34125</v>
      </c>
      <c r="H8" s="110">
        <f t="shared" ref="H8:H19" ca="1" si="2">ROUNDDOWN(YEARFRAC(G8,$G$25),1)</f>
        <v>27.4</v>
      </c>
      <c r="I8" s="3" t="s">
        <v>1762</v>
      </c>
      <c r="J8" s="3">
        <v>4</v>
      </c>
      <c r="K8" s="3">
        <v>2015</v>
      </c>
      <c r="L8" s="3"/>
      <c r="M8" s="3" t="s">
        <v>744</v>
      </c>
      <c r="N8" s="3" t="s">
        <v>5</v>
      </c>
      <c r="O8" s="3" t="s">
        <v>2075</v>
      </c>
      <c r="P8" s="11">
        <v>8500000</v>
      </c>
      <c r="Q8" s="11">
        <v>8800000</v>
      </c>
      <c r="R8" s="11">
        <v>9200000</v>
      </c>
      <c r="S8" s="15">
        <v>9500000</v>
      </c>
      <c r="T8" s="14">
        <f>S8*1.9</f>
        <v>18050000</v>
      </c>
      <c r="U8" s="3"/>
      <c r="V8" s="3"/>
      <c r="W8" s="3"/>
      <c r="X8" s="59" t="s">
        <v>1763</v>
      </c>
      <c r="Y8" s="69">
        <v>4</v>
      </c>
      <c r="Z8" s="69">
        <v>64</v>
      </c>
      <c r="AA8" s="65">
        <f>41/64</f>
        <v>0.640625</v>
      </c>
      <c r="AB8" s="119">
        <v>113.1</v>
      </c>
      <c r="AC8" s="119">
        <v>107.7</v>
      </c>
      <c r="AD8" s="119">
        <f t="shared" si="0"/>
        <v>5.3999999999999915</v>
      </c>
      <c r="AE8" s="119">
        <v>29.1</v>
      </c>
      <c r="AF8" s="119">
        <v>9.3000000000000007</v>
      </c>
      <c r="AG8" s="65">
        <v>0.58399999999999996</v>
      </c>
      <c r="AH8" s="119">
        <v>9.3000000000000007</v>
      </c>
      <c r="AI8" s="119">
        <v>1.8</v>
      </c>
      <c r="AJ8" s="119">
        <v>2.2000000000000002</v>
      </c>
      <c r="AK8" s="65">
        <v>0.104</v>
      </c>
      <c r="AL8" s="119">
        <v>-1.3</v>
      </c>
      <c r="AM8" s="119">
        <v>2.1</v>
      </c>
      <c r="AN8" s="119">
        <v>1.3</v>
      </c>
      <c r="AO8" s="119">
        <v>7.1</v>
      </c>
    </row>
    <row r="9" spans="1:42" x14ac:dyDescent="0.2">
      <c r="A9" s="3">
        <v>45</v>
      </c>
      <c r="B9" s="3" t="s">
        <v>1755</v>
      </c>
      <c r="C9" s="3" t="s">
        <v>230</v>
      </c>
      <c r="D9" s="105">
        <v>61</v>
      </c>
      <c r="E9" s="105">
        <v>610</v>
      </c>
      <c r="F9" s="106">
        <v>215</v>
      </c>
      <c r="G9" s="4">
        <v>35315</v>
      </c>
      <c r="H9" s="110">
        <f t="shared" ca="1" si="2"/>
        <v>24.2</v>
      </c>
      <c r="I9" s="3" t="s">
        <v>474</v>
      </c>
      <c r="J9" s="3">
        <v>4</v>
      </c>
      <c r="K9" s="3">
        <v>2017</v>
      </c>
      <c r="L9" s="3">
        <v>13</v>
      </c>
      <c r="M9" s="3" t="s">
        <v>1756</v>
      </c>
      <c r="N9" s="3" t="s">
        <v>2443</v>
      </c>
      <c r="O9" s="3" t="s">
        <v>2583</v>
      </c>
      <c r="P9" s="11">
        <v>5195501</v>
      </c>
      <c r="Q9" s="57">
        <f>(109140000*1.03)*0.25</f>
        <v>28103550</v>
      </c>
      <c r="R9" s="57">
        <f>Q9+($Q$9*0.08)</f>
        <v>30351834</v>
      </c>
      <c r="S9" s="57">
        <f t="shared" ref="S9:U9" si="3">R9+($Q$9*0.08)</f>
        <v>32600118</v>
      </c>
      <c r="T9" s="57">
        <f t="shared" si="3"/>
        <v>34848402</v>
      </c>
      <c r="U9" s="55">
        <f t="shared" si="3"/>
        <v>37096686</v>
      </c>
      <c r="V9" s="51"/>
      <c r="W9" s="57" t="s">
        <v>2668</v>
      </c>
      <c r="X9" s="59" t="s">
        <v>1757</v>
      </c>
      <c r="Y9" s="69">
        <v>2</v>
      </c>
      <c r="Z9" s="69">
        <v>63</v>
      </c>
      <c r="AA9" s="65">
        <f>40/63</f>
        <v>0.63492063492063489</v>
      </c>
      <c r="AB9" s="119">
        <v>111.5</v>
      </c>
      <c r="AC9" s="119">
        <v>109</v>
      </c>
      <c r="AD9" s="119">
        <f t="shared" si="0"/>
        <v>2.5</v>
      </c>
      <c r="AE9" s="119">
        <v>34.4</v>
      </c>
      <c r="AF9" s="119">
        <v>19.100000000000001</v>
      </c>
      <c r="AG9" s="65">
        <v>0.56000000000000005</v>
      </c>
      <c r="AH9" s="119">
        <v>31</v>
      </c>
      <c r="AI9" s="119">
        <v>3</v>
      </c>
      <c r="AJ9" s="119">
        <v>2.2000000000000002</v>
      </c>
      <c r="AK9" s="65">
        <v>0.115</v>
      </c>
      <c r="AL9" s="119">
        <v>2.4</v>
      </c>
      <c r="AM9" s="119">
        <v>-0.5</v>
      </c>
      <c r="AN9" s="119">
        <v>2.1</v>
      </c>
      <c r="AO9" s="119">
        <v>12.6</v>
      </c>
    </row>
    <row r="10" spans="1:42" x14ac:dyDescent="0.2">
      <c r="A10" s="3"/>
      <c r="B10" s="3" t="s">
        <v>2315</v>
      </c>
      <c r="C10" s="3" t="s">
        <v>234</v>
      </c>
      <c r="D10" s="105">
        <v>70</v>
      </c>
      <c r="E10" s="105">
        <v>77</v>
      </c>
      <c r="F10" s="106">
        <v>270</v>
      </c>
      <c r="G10" s="62">
        <v>36420</v>
      </c>
      <c r="H10" s="110">
        <f t="shared" ca="1" si="2"/>
        <v>21.1</v>
      </c>
      <c r="I10" s="3" t="s">
        <v>498</v>
      </c>
      <c r="J10" s="59">
        <v>1</v>
      </c>
      <c r="K10" s="3">
        <v>2020</v>
      </c>
      <c r="L10" s="3">
        <v>27</v>
      </c>
      <c r="M10" s="3" t="s">
        <v>2316</v>
      </c>
      <c r="N10" s="3" t="s">
        <v>244</v>
      </c>
      <c r="O10" s="3" t="s">
        <v>2314</v>
      </c>
      <c r="P10" s="11">
        <v>1977000</v>
      </c>
      <c r="Q10" s="11">
        <v>2075880</v>
      </c>
      <c r="R10" s="50">
        <v>2174800</v>
      </c>
      <c r="S10" s="50">
        <v>3923484</v>
      </c>
      <c r="T10" s="49">
        <f>S10*3</f>
        <v>11770452</v>
      </c>
      <c r="U10"/>
      <c r="V10"/>
      <c r="W10"/>
      <c r="X10"/>
      <c r="Y10" s="69"/>
      <c r="Z10" s="69"/>
      <c r="AA10" s="65"/>
      <c r="AB10" s="119"/>
      <c r="AC10" s="119"/>
      <c r="AD10" s="119"/>
      <c r="AE10" s="119"/>
      <c r="AF10" s="119"/>
      <c r="AG10" s="65"/>
      <c r="AH10" s="119"/>
      <c r="AI10" s="119"/>
      <c r="AJ10" s="119"/>
      <c r="AK10" s="65"/>
      <c r="AL10" s="119"/>
      <c r="AM10" s="119"/>
      <c r="AN10" s="119"/>
      <c r="AO10" s="119"/>
    </row>
    <row r="11" spans="1:42" x14ac:dyDescent="0.2">
      <c r="A11" s="3">
        <v>31</v>
      </c>
      <c r="B11" s="3" t="s">
        <v>178</v>
      </c>
      <c r="C11" s="3" t="s">
        <v>234</v>
      </c>
      <c r="D11" s="105">
        <v>67</v>
      </c>
      <c r="E11" s="105">
        <v>610</v>
      </c>
      <c r="F11" s="106">
        <v>230</v>
      </c>
      <c r="G11" s="4">
        <v>34137</v>
      </c>
      <c r="H11" s="110">
        <f t="shared" ca="1" si="2"/>
        <v>27.4</v>
      </c>
      <c r="I11" s="3" t="s">
        <v>228</v>
      </c>
      <c r="J11" s="3">
        <v>5</v>
      </c>
      <c r="K11" s="3">
        <v>2016</v>
      </c>
      <c r="L11" s="3">
        <v>50</v>
      </c>
      <c r="M11" s="3" t="s">
        <v>1759</v>
      </c>
      <c r="N11" s="3" t="s">
        <v>56</v>
      </c>
      <c r="O11" s="3" t="s">
        <v>2571</v>
      </c>
      <c r="P11" s="16">
        <v>1783557</v>
      </c>
      <c r="Q11" s="14">
        <v>1856061</v>
      </c>
      <c r="R11" s="3"/>
      <c r="S11" s="3"/>
      <c r="T11" s="3"/>
      <c r="U11" s="3"/>
      <c r="V11" s="3"/>
      <c r="W11" s="3"/>
      <c r="X11" s="59" t="s">
        <v>1760</v>
      </c>
      <c r="Y11" s="69">
        <v>4</v>
      </c>
      <c r="Z11" s="69">
        <v>58</v>
      </c>
      <c r="AA11" s="65">
        <f>38/58</f>
        <v>0.65517241379310343</v>
      </c>
      <c r="AB11" s="119">
        <v>105.9</v>
      </c>
      <c r="AC11" s="119">
        <v>107.2</v>
      </c>
      <c r="AD11" s="119">
        <f t="shared" si="0"/>
        <v>-1.2999999999999972</v>
      </c>
      <c r="AE11" s="119">
        <v>13.3</v>
      </c>
      <c r="AF11" s="119">
        <v>12.4</v>
      </c>
      <c r="AG11" s="65">
        <v>0.61199999999999999</v>
      </c>
      <c r="AH11" s="119">
        <v>17.100000000000001</v>
      </c>
      <c r="AI11" s="119">
        <v>1</v>
      </c>
      <c r="AJ11" s="119">
        <v>0.7</v>
      </c>
      <c r="AK11" s="65">
        <v>0.105</v>
      </c>
      <c r="AL11" s="119">
        <v>0.9</v>
      </c>
      <c r="AM11" s="119">
        <v>-0.4</v>
      </c>
      <c r="AN11" s="119">
        <v>0.5</v>
      </c>
      <c r="AO11" s="119">
        <v>8.6</v>
      </c>
    </row>
    <row r="12" spans="1:42" x14ac:dyDescent="0.2">
      <c r="A12" s="3">
        <v>0</v>
      </c>
      <c r="B12" s="3" t="s">
        <v>180</v>
      </c>
      <c r="C12" s="3" t="s">
        <v>247</v>
      </c>
      <c r="D12" s="105">
        <v>62</v>
      </c>
      <c r="E12" s="105">
        <v>67</v>
      </c>
      <c r="F12" s="106">
        <v>190</v>
      </c>
      <c r="G12" s="4">
        <v>34593</v>
      </c>
      <c r="H12" s="110">
        <f t="shared" ca="1" si="2"/>
        <v>26.1</v>
      </c>
      <c r="I12" s="3" t="s">
        <v>1466</v>
      </c>
      <c r="J12" s="3">
        <v>2</v>
      </c>
      <c r="K12" s="3">
        <v>2017</v>
      </c>
      <c r="L12" s="3">
        <v>55</v>
      </c>
      <c r="M12" s="3" t="s">
        <v>920</v>
      </c>
      <c r="N12" s="3" t="s">
        <v>279</v>
      </c>
      <c r="O12" s="3" t="s">
        <v>1984</v>
      </c>
      <c r="P12" s="15">
        <v>1517981</v>
      </c>
      <c r="Q12" s="15">
        <v>1782621</v>
      </c>
      <c r="R12" s="49">
        <v>2228276</v>
      </c>
      <c r="S12" s="3"/>
      <c r="T12" s="3"/>
      <c r="U12" s="3"/>
      <c r="V12" s="3"/>
      <c r="W12" s="3"/>
      <c r="X12" s="96" t="s">
        <v>284</v>
      </c>
      <c r="Y12" s="69">
        <v>1</v>
      </c>
      <c r="Z12" s="69">
        <v>9</v>
      </c>
      <c r="AA12" s="65">
        <f>5/9</f>
        <v>0.55555555555555558</v>
      </c>
      <c r="AB12" s="119">
        <v>95</v>
      </c>
      <c r="AC12" s="119">
        <v>79.400000000000006</v>
      </c>
      <c r="AD12" s="119">
        <f t="shared" si="0"/>
        <v>15.599999999999994</v>
      </c>
      <c r="AE12" s="119">
        <v>3.1</v>
      </c>
      <c r="AF12" s="119">
        <v>5.7</v>
      </c>
      <c r="AG12" s="65">
        <v>0.254</v>
      </c>
      <c r="AH12" s="119">
        <v>15.5</v>
      </c>
      <c r="AI12" s="119">
        <v>-0.1</v>
      </c>
      <c r="AJ12" s="119">
        <v>0</v>
      </c>
      <c r="AK12" s="65">
        <v>-4.4999999999999998E-2</v>
      </c>
      <c r="AL12" s="119">
        <v>-5.0999999999999996</v>
      </c>
      <c r="AM12" s="119">
        <v>1.1000000000000001</v>
      </c>
      <c r="AN12" s="119">
        <v>0</v>
      </c>
      <c r="AO12" s="119">
        <v>5</v>
      </c>
    </row>
    <row r="13" spans="1:42" x14ac:dyDescent="0.2">
      <c r="A13" s="3">
        <v>81</v>
      </c>
      <c r="B13" s="3" t="s">
        <v>181</v>
      </c>
      <c r="C13" s="3" t="s">
        <v>230</v>
      </c>
      <c r="D13" s="105">
        <v>65</v>
      </c>
      <c r="E13" s="105">
        <v>611</v>
      </c>
      <c r="F13" s="106">
        <v>206</v>
      </c>
      <c r="G13" s="4">
        <v>35646</v>
      </c>
      <c r="H13" s="110">
        <f t="shared" ca="1" si="2"/>
        <v>23.3</v>
      </c>
      <c r="I13" s="3" t="s">
        <v>1764</v>
      </c>
      <c r="J13" s="3">
        <v>2</v>
      </c>
      <c r="K13" s="3">
        <v>2019</v>
      </c>
      <c r="L13" s="3">
        <v>58</v>
      </c>
      <c r="M13" s="3" t="s">
        <v>1765</v>
      </c>
      <c r="N13" s="3" t="s">
        <v>279</v>
      </c>
      <c r="O13" s="3" t="s">
        <v>750</v>
      </c>
      <c r="P13" s="15">
        <v>1517981</v>
      </c>
      <c r="Q13" s="15">
        <v>1782621</v>
      </c>
      <c r="R13" s="49">
        <v>2228276</v>
      </c>
      <c r="S13" s="3"/>
      <c r="T13" s="26"/>
      <c r="U13" s="3"/>
      <c r="V13" s="3"/>
      <c r="W13" s="3"/>
      <c r="X13" s="59" t="s">
        <v>1766</v>
      </c>
      <c r="Y13" s="69">
        <v>2</v>
      </c>
      <c r="Z13" s="69">
        <v>5</v>
      </c>
      <c r="AA13" s="65">
        <f>4/5</f>
        <v>0.8</v>
      </c>
      <c r="AB13" s="119">
        <v>52</v>
      </c>
      <c r="AC13" s="119">
        <v>120</v>
      </c>
      <c r="AD13" s="119">
        <f t="shared" si="0"/>
        <v>-68</v>
      </c>
      <c r="AE13" s="119">
        <v>2.1</v>
      </c>
      <c r="AF13" s="119">
        <v>-9.9</v>
      </c>
      <c r="AG13" s="65">
        <v>0</v>
      </c>
      <c r="AH13" s="119">
        <v>12</v>
      </c>
      <c r="AI13" s="119">
        <v>-0.1</v>
      </c>
      <c r="AJ13" s="119">
        <v>0</v>
      </c>
      <c r="AK13" s="65">
        <v>-0.28499999999999998</v>
      </c>
      <c r="AL13" s="119">
        <v>-12.7</v>
      </c>
      <c r="AM13" s="119">
        <v>-4.5999999999999996</v>
      </c>
      <c r="AN13" s="119">
        <v>0</v>
      </c>
      <c r="AO13" s="119">
        <v>-3.1</v>
      </c>
    </row>
    <row r="14" spans="1:42" x14ac:dyDescent="0.2">
      <c r="A14" s="3">
        <v>16</v>
      </c>
      <c r="B14" s="3" t="s">
        <v>182</v>
      </c>
      <c r="C14" s="3" t="s">
        <v>234</v>
      </c>
      <c r="D14" s="105">
        <v>67</v>
      </c>
      <c r="E14" s="105">
        <v>70</v>
      </c>
      <c r="F14" s="106">
        <v>232</v>
      </c>
      <c r="G14" s="4">
        <v>35537</v>
      </c>
      <c r="H14" s="110">
        <f t="shared" ca="1" si="2"/>
        <v>23.6</v>
      </c>
      <c r="I14" s="3" t="s">
        <v>362</v>
      </c>
      <c r="J14" s="3">
        <v>2</v>
      </c>
      <c r="K14" s="3">
        <v>2019</v>
      </c>
      <c r="L14" s="3"/>
      <c r="M14" s="3" t="s">
        <v>1767</v>
      </c>
      <c r="N14" s="3" t="s">
        <v>276</v>
      </c>
      <c r="O14" s="3" t="s">
        <v>2718</v>
      </c>
      <c r="P14" s="15">
        <v>1517981</v>
      </c>
      <c r="Q14" s="49">
        <v>2056061</v>
      </c>
      <c r="R14" s="3"/>
      <c r="S14" s="3"/>
      <c r="T14" s="3"/>
      <c r="U14" s="3"/>
      <c r="V14" s="3"/>
      <c r="W14" s="3"/>
      <c r="X14" s="59" t="s">
        <v>1768</v>
      </c>
      <c r="Y14" s="69">
        <v>4</v>
      </c>
      <c r="Z14" s="69">
        <v>16</v>
      </c>
      <c r="AA14" s="65">
        <f>10/16</f>
        <v>0.625</v>
      </c>
      <c r="AB14" s="119">
        <v>107</v>
      </c>
      <c r="AC14" s="119">
        <v>92.6</v>
      </c>
      <c r="AD14" s="119">
        <f t="shared" si="0"/>
        <v>14.400000000000006</v>
      </c>
      <c r="AE14" s="119">
        <v>4.5999999999999996</v>
      </c>
      <c r="AF14" s="119">
        <v>8.8000000000000007</v>
      </c>
      <c r="AG14" s="65">
        <v>0.55900000000000005</v>
      </c>
      <c r="AH14" s="119">
        <v>11.9</v>
      </c>
      <c r="AI14" s="119">
        <v>0</v>
      </c>
      <c r="AJ14" s="119">
        <v>0.1</v>
      </c>
      <c r="AK14" s="65">
        <v>6.6000000000000003E-2</v>
      </c>
      <c r="AL14" s="119">
        <v>-2.9</v>
      </c>
      <c r="AM14" s="119">
        <v>-0.4</v>
      </c>
      <c r="AN14" s="119">
        <v>0</v>
      </c>
      <c r="AO14" s="119">
        <v>8.1</v>
      </c>
    </row>
    <row r="15" spans="1:42" x14ac:dyDescent="0.2">
      <c r="A15" s="3">
        <v>6</v>
      </c>
      <c r="B15" s="3" t="s">
        <v>183</v>
      </c>
      <c r="C15" s="3" t="s">
        <v>252</v>
      </c>
      <c r="D15" s="105">
        <v>63</v>
      </c>
      <c r="E15" s="105">
        <v>67</v>
      </c>
      <c r="F15" s="106">
        <v>209</v>
      </c>
      <c r="G15" s="4">
        <v>35697</v>
      </c>
      <c r="H15" s="110">
        <f t="shared" ca="1" si="2"/>
        <v>23.1</v>
      </c>
      <c r="I15" s="3" t="s">
        <v>1769</v>
      </c>
      <c r="J15" s="3">
        <v>2</v>
      </c>
      <c r="K15" s="3">
        <v>2019</v>
      </c>
      <c r="L15" s="3"/>
      <c r="M15" s="3" t="s">
        <v>1770</v>
      </c>
      <c r="N15" s="3" t="s">
        <v>276</v>
      </c>
      <c r="O15" s="3" t="s">
        <v>2752</v>
      </c>
      <c r="P15" s="15">
        <v>1517981</v>
      </c>
      <c r="Q15" s="49">
        <v>2056061</v>
      </c>
      <c r="R15" s="3"/>
      <c r="S15" s="3"/>
      <c r="T15" s="3"/>
      <c r="U15" s="3"/>
      <c r="V15" s="3"/>
      <c r="W15" s="3"/>
      <c r="X15" s="59" t="s">
        <v>794</v>
      </c>
      <c r="Y15" s="69">
        <v>2</v>
      </c>
      <c r="Z15" s="69">
        <v>14</v>
      </c>
      <c r="AA15" s="65">
        <f>10/14</f>
        <v>0.7142857142857143</v>
      </c>
      <c r="AB15" s="119">
        <v>109.6</v>
      </c>
      <c r="AC15" s="119">
        <v>113.1</v>
      </c>
      <c r="AD15" s="119">
        <f t="shared" si="0"/>
        <v>-3.5</v>
      </c>
      <c r="AE15" s="119">
        <v>5.6</v>
      </c>
      <c r="AF15" s="119">
        <v>4.5</v>
      </c>
      <c r="AG15" s="65">
        <v>0.44800000000000001</v>
      </c>
      <c r="AH15" s="119">
        <v>13.6</v>
      </c>
      <c r="AI15" s="119">
        <v>-0.1</v>
      </c>
      <c r="AJ15" s="119">
        <v>0.1</v>
      </c>
      <c r="AK15" s="65">
        <v>-8.9999999999999993E-3</v>
      </c>
      <c r="AL15" s="119">
        <v>-6.7</v>
      </c>
      <c r="AM15" s="119">
        <v>-1.2</v>
      </c>
      <c r="AN15" s="119">
        <v>-0.1</v>
      </c>
      <c r="AO15" s="119">
        <v>3.5</v>
      </c>
    </row>
    <row r="16" spans="1:42" x14ac:dyDescent="0.2">
      <c r="A16" s="3"/>
      <c r="B16" s="3" t="s">
        <v>2340</v>
      </c>
      <c r="C16" s="3" t="s">
        <v>252</v>
      </c>
      <c r="D16" s="105">
        <v>66</v>
      </c>
      <c r="E16" s="105">
        <v>68</v>
      </c>
      <c r="F16" s="106">
        <v>215</v>
      </c>
      <c r="G16" s="4">
        <v>35864</v>
      </c>
      <c r="H16" s="110">
        <f t="shared" ca="1" si="2"/>
        <v>22.7</v>
      </c>
      <c r="I16" s="3" t="s">
        <v>733</v>
      </c>
      <c r="J16" s="3">
        <v>1</v>
      </c>
      <c r="K16" s="107">
        <v>2020</v>
      </c>
      <c r="L16" s="107">
        <v>39</v>
      </c>
      <c r="M16" s="2" t="s">
        <v>2341</v>
      </c>
      <c r="N16" s="3" t="s">
        <v>276</v>
      </c>
      <c r="O16" s="3" t="s">
        <v>2752</v>
      </c>
      <c r="P16" s="175">
        <v>898310</v>
      </c>
      <c r="Q16" s="11">
        <v>1517981</v>
      </c>
      <c r="R16" s="49"/>
      <c r="S16" s="16"/>
      <c r="T16" s="16"/>
      <c r="U16"/>
      <c r="V16"/>
      <c r="W16"/>
      <c r="X16"/>
      <c r="Y16" s="69"/>
      <c r="Z16" s="69"/>
      <c r="AA16" s="65"/>
      <c r="AB16" s="119"/>
      <c r="AC16" s="119"/>
      <c r="AD16" s="119"/>
      <c r="AE16" s="119"/>
      <c r="AF16" s="119"/>
      <c r="AG16" s="65"/>
      <c r="AH16" s="119"/>
      <c r="AI16" s="119"/>
      <c r="AJ16" s="119"/>
      <c r="AK16" s="65"/>
      <c r="AL16" s="119"/>
      <c r="AM16" s="119"/>
      <c r="AN16" s="119"/>
      <c r="AO16" s="119"/>
    </row>
    <row r="17" spans="1:41" x14ac:dyDescent="0.2">
      <c r="A17" s="3"/>
      <c r="B17" s="3" t="s">
        <v>2754</v>
      </c>
      <c r="C17" s="3"/>
      <c r="D17" s="105">
        <v>65</v>
      </c>
      <c r="E17" s="105"/>
      <c r="F17" s="106">
        <v>205</v>
      </c>
      <c r="G17" s="4">
        <v>35130</v>
      </c>
      <c r="H17" s="110">
        <f t="shared" ca="1" si="2"/>
        <v>24.7</v>
      </c>
      <c r="I17" s="3" t="s">
        <v>2755</v>
      </c>
      <c r="J17" s="3">
        <v>1</v>
      </c>
      <c r="K17" s="107">
        <v>2020</v>
      </c>
      <c r="L17" s="107"/>
      <c r="M17" s="3" t="s">
        <v>2436</v>
      </c>
      <c r="N17" s="3" t="s">
        <v>2403</v>
      </c>
      <c r="O17" s="3" t="s">
        <v>2533</v>
      </c>
      <c r="P17" s="250">
        <v>898310</v>
      </c>
      <c r="Q17" s="68"/>
      <c r="R17" s="16"/>
      <c r="S17" s="16"/>
      <c r="T17" s="16"/>
      <c r="U17"/>
      <c r="V17"/>
      <c r="W17"/>
      <c r="X17"/>
      <c r="Y17" s="69"/>
      <c r="Z17" s="69"/>
      <c r="AA17" s="65"/>
      <c r="AB17" s="119"/>
      <c r="AC17" s="119"/>
      <c r="AD17" s="119"/>
      <c r="AE17" s="119"/>
      <c r="AF17" s="119"/>
      <c r="AG17" s="65"/>
      <c r="AH17" s="119"/>
      <c r="AI17" s="119"/>
      <c r="AJ17" s="119"/>
      <c r="AK17" s="65"/>
      <c r="AL17" s="119"/>
      <c r="AM17" s="119"/>
      <c r="AN17" s="119"/>
      <c r="AO17" s="119"/>
    </row>
    <row r="18" spans="1:41" x14ac:dyDescent="0.2">
      <c r="A18" s="3">
        <v>5</v>
      </c>
      <c r="B18" s="3" t="s">
        <v>1771</v>
      </c>
      <c r="C18" s="3" t="s">
        <v>234</v>
      </c>
      <c r="D18" s="105">
        <v>65</v>
      </c>
      <c r="E18" s="105">
        <v>71</v>
      </c>
      <c r="F18" s="106">
        <v>250</v>
      </c>
      <c r="G18" s="4">
        <v>35223</v>
      </c>
      <c r="H18" s="110">
        <f t="shared" ca="1" si="2"/>
        <v>24.4</v>
      </c>
      <c r="I18" s="3" t="s">
        <v>1772</v>
      </c>
      <c r="J18" s="3">
        <v>2</v>
      </c>
      <c r="K18" s="3">
        <v>2019</v>
      </c>
      <c r="L18" s="3">
        <v>50</v>
      </c>
      <c r="M18" s="3" t="s">
        <v>1773</v>
      </c>
      <c r="N18" s="3" t="s">
        <v>288</v>
      </c>
      <c r="O18" s="3" t="s">
        <v>2516</v>
      </c>
      <c r="P18" s="11" t="s">
        <v>288</v>
      </c>
      <c r="Q18" s="68"/>
      <c r="R18" s="3"/>
      <c r="S18" s="3"/>
      <c r="T18" s="3"/>
      <c r="U18" s="3"/>
      <c r="V18" s="3"/>
      <c r="W18" s="3"/>
      <c r="X18" s="59" t="s">
        <v>1774</v>
      </c>
      <c r="Y18" s="69">
        <v>3</v>
      </c>
      <c r="Z18" s="69">
        <v>5</v>
      </c>
      <c r="AA18" s="65">
        <f>2/5</f>
        <v>0.4</v>
      </c>
      <c r="AB18" s="119">
        <v>83.9</v>
      </c>
      <c r="AC18" s="119">
        <v>81.3</v>
      </c>
      <c r="AD18" s="119">
        <f t="shared" si="0"/>
        <v>2.6000000000000085</v>
      </c>
      <c r="AE18" s="119">
        <v>2.7</v>
      </c>
      <c r="AF18" s="119">
        <v>2.7</v>
      </c>
      <c r="AG18" s="65">
        <v>0</v>
      </c>
      <c r="AH18" s="119">
        <v>6.8</v>
      </c>
      <c r="AI18" s="119">
        <v>0</v>
      </c>
      <c r="AJ18" s="119">
        <v>0</v>
      </c>
      <c r="AK18" s="65">
        <v>-5.2999999999999999E-2</v>
      </c>
      <c r="AL18" s="119">
        <v>-8.6</v>
      </c>
      <c r="AM18" s="119">
        <v>5.9</v>
      </c>
      <c r="AN18" s="119">
        <v>0</v>
      </c>
      <c r="AO18" s="119">
        <v>6.6</v>
      </c>
    </row>
    <row r="19" spans="1:41" x14ac:dyDescent="0.2">
      <c r="A19" s="3"/>
      <c r="B19" s="3" t="s">
        <v>2675</v>
      </c>
      <c r="C19" s="3" t="s">
        <v>2280</v>
      </c>
      <c r="D19" s="105">
        <v>64</v>
      </c>
      <c r="E19" s="105"/>
      <c r="F19" s="106">
        <v>210</v>
      </c>
      <c r="G19" s="4">
        <v>35958</v>
      </c>
      <c r="H19" s="110">
        <f t="shared" ca="1" si="2"/>
        <v>22.4</v>
      </c>
      <c r="I19" s="3" t="s">
        <v>494</v>
      </c>
      <c r="J19" s="3">
        <v>1</v>
      </c>
      <c r="K19" s="3">
        <v>2020</v>
      </c>
      <c r="L19" s="3"/>
      <c r="M19" s="3" t="s">
        <v>2681</v>
      </c>
      <c r="N19" s="3" t="s">
        <v>288</v>
      </c>
      <c r="O19" s="3" t="s">
        <v>2516</v>
      </c>
      <c r="P19" s="11" t="s">
        <v>288</v>
      </c>
      <c r="Q19" s="68"/>
      <c r="R19" s="3"/>
      <c r="S19" s="3"/>
      <c r="T19" s="3"/>
      <c r="U19" s="3"/>
      <c r="V19" s="3"/>
      <c r="W19" s="3"/>
      <c r="Y19" s="69"/>
      <c r="Z19" s="69"/>
      <c r="AA19" s="65"/>
      <c r="AB19" s="119"/>
      <c r="AC19" s="119"/>
      <c r="AD19" s="119"/>
      <c r="AE19" s="119"/>
      <c r="AF19" s="119"/>
      <c r="AG19" s="65"/>
      <c r="AH19" s="119"/>
      <c r="AI19" s="119"/>
      <c r="AJ19" s="119"/>
      <c r="AK19" s="65"/>
      <c r="AL19" s="119"/>
      <c r="AM19" s="119"/>
      <c r="AN19" s="119"/>
      <c r="AO19" s="119"/>
    </row>
    <row r="20" spans="1:41" x14ac:dyDescent="0.2">
      <c r="A20" s="3"/>
      <c r="B20" s="3" t="s">
        <v>290</v>
      </c>
      <c r="C20" s="3"/>
      <c r="D20" s="3"/>
      <c r="E20" s="3"/>
      <c r="F20" s="3"/>
      <c r="G20" s="3"/>
      <c r="H20" s="110"/>
      <c r="I20" s="3"/>
      <c r="J20" s="3"/>
      <c r="K20" s="3"/>
      <c r="L20" s="3"/>
      <c r="M20" s="3"/>
      <c r="N20" s="3"/>
      <c r="O20" s="3"/>
      <c r="P20" s="11"/>
      <c r="Q20" s="11"/>
      <c r="R20" s="11"/>
      <c r="S20" s="11"/>
      <c r="T20" s="3"/>
      <c r="U20" s="3"/>
      <c r="V20" s="3"/>
      <c r="W20" s="3"/>
      <c r="Y20" s="69"/>
      <c r="Z20" s="69"/>
      <c r="AA20" s="65"/>
      <c r="AB20" s="119"/>
      <c r="AC20" s="119"/>
      <c r="AD20" s="119"/>
      <c r="AE20" s="119"/>
      <c r="AF20" s="119"/>
      <c r="AG20" s="65"/>
      <c r="AH20" s="119"/>
      <c r="AI20" s="119"/>
      <c r="AJ20" s="119"/>
      <c r="AK20" s="65"/>
      <c r="AL20" s="119"/>
      <c r="AM20" s="119"/>
      <c r="AN20" s="119"/>
      <c r="AO20" s="119"/>
    </row>
    <row r="21" spans="1:41" x14ac:dyDescent="0.2">
      <c r="B21" s="5"/>
      <c r="O21" s="70"/>
      <c r="P21" s="11"/>
      <c r="Q21" s="11"/>
      <c r="R21" s="16"/>
      <c r="S21" s="16"/>
      <c r="T21" s="16"/>
      <c r="Y21" s="69"/>
      <c r="Z21" s="69"/>
      <c r="AA21" s="65"/>
      <c r="AB21" s="119"/>
      <c r="AC21" s="119"/>
      <c r="AD21" s="119"/>
      <c r="AE21" s="119"/>
      <c r="AF21" s="119"/>
      <c r="AG21" s="65"/>
      <c r="AH21" s="119"/>
      <c r="AI21" s="119"/>
      <c r="AJ21" s="119"/>
      <c r="AK21" s="65"/>
      <c r="AL21" s="119"/>
      <c r="AM21" s="119"/>
      <c r="AN21" s="119"/>
      <c r="AO21" s="119"/>
    </row>
    <row r="22" spans="1:41" x14ac:dyDescent="0.2">
      <c r="A22" s="3">
        <v>15</v>
      </c>
      <c r="B22" s="3" t="s">
        <v>179</v>
      </c>
      <c r="C22" s="3" t="s">
        <v>247</v>
      </c>
      <c r="D22" s="105">
        <v>63</v>
      </c>
      <c r="E22" s="105">
        <v>69</v>
      </c>
      <c r="F22" s="106">
        <v>200</v>
      </c>
      <c r="G22" s="4">
        <v>35129</v>
      </c>
      <c r="H22" s="110">
        <f ca="1">ROUNDDOWN(YEARFRAC(G22,$G$25),1)</f>
        <v>24.7</v>
      </c>
      <c r="I22" s="3" t="s">
        <v>2079</v>
      </c>
      <c r="J22" s="3">
        <v>6</v>
      </c>
      <c r="K22" s="3">
        <v>2015</v>
      </c>
      <c r="L22" s="3">
        <v>7</v>
      </c>
      <c r="M22" s="3" t="s">
        <v>1730</v>
      </c>
      <c r="N22" s="3"/>
      <c r="O22" s="11"/>
      <c r="P22" s="14">
        <v>1707576</v>
      </c>
      <c r="Q22" s="3"/>
      <c r="R22" s="3"/>
      <c r="S22" s="3"/>
      <c r="T22" s="3"/>
      <c r="U22" s="3"/>
      <c r="V22" s="3"/>
      <c r="W22" s="3"/>
      <c r="X22" s="59" t="s">
        <v>820</v>
      </c>
      <c r="Y22" s="69">
        <v>1</v>
      </c>
      <c r="Z22" s="69">
        <v>48</v>
      </c>
      <c r="AA22" s="65">
        <f>32/48</f>
        <v>0.66666666666666663</v>
      </c>
      <c r="AB22" s="119">
        <v>106.5</v>
      </c>
      <c r="AC22" s="119">
        <v>105.3</v>
      </c>
      <c r="AD22" s="119">
        <f t="shared" ref="AD22:AD23" si="4">AB22-AC22</f>
        <v>1.2000000000000028</v>
      </c>
      <c r="AE22" s="119">
        <v>15.7</v>
      </c>
      <c r="AF22" s="119">
        <v>13.7</v>
      </c>
      <c r="AG22" s="65">
        <v>0.55000000000000004</v>
      </c>
      <c r="AH22" s="119">
        <v>22.4</v>
      </c>
      <c r="AI22" s="119">
        <v>0.3</v>
      </c>
      <c r="AJ22" s="119">
        <v>0.8</v>
      </c>
      <c r="AK22" s="65">
        <v>7.0999999999999994E-2</v>
      </c>
      <c r="AL22" s="119">
        <v>-1.2</v>
      </c>
      <c r="AM22" s="119">
        <v>0.1</v>
      </c>
      <c r="AN22" s="119">
        <v>0.2</v>
      </c>
      <c r="AO22" s="119">
        <v>10</v>
      </c>
    </row>
    <row r="23" spans="1:41" x14ac:dyDescent="0.2">
      <c r="A23" s="3">
        <v>3</v>
      </c>
      <c r="B23" s="3" t="s">
        <v>1775</v>
      </c>
      <c r="C23" s="3" t="s">
        <v>247</v>
      </c>
      <c r="D23" s="105">
        <v>60</v>
      </c>
      <c r="E23" s="105">
        <v>68</v>
      </c>
      <c r="F23" s="106">
        <v>190</v>
      </c>
      <c r="G23" s="4">
        <v>35730</v>
      </c>
      <c r="H23" s="110">
        <f ca="1">ROUNDDOWN(YEARFRAC(G23,$G$25),1)</f>
        <v>23</v>
      </c>
      <c r="I23" s="3" t="s">
        <v>1776</v>
      </c>
      <c r="J23" s="3">
        <v>2</v>
      </c>
      <c r="K23" s="3">
        <v>2019</v>
      </c>
      <c r="L23" s="3">
        <v>53</v>
      </c>
      <c r="M23" s="3" t="s">
        <v>1777</v>
      </c>
      <c r="N23" s="3"/>
      <c r="O23" s="3"/>
      <c r="P23" s="34"/>
      <c r="Q23" s="3"/>
      <c r="R23" s="22"/>
      <c r="S23" s="3"/>
      <c r="T23" s="3"/>
      <c r="U23" s="3"/>
      <c r="V23" s="3"/>
      <c r="W23" s="3"/>
      <c r="X23" s="96" t="s">
        <v>284</v>
      </c>
      <c r="Y23" s="69">
        <v>1</v>
      </c>
      <c r="Z23" s="69">
        <v>1</v>
      </c>
      <c r="AA23" s="65">
        <f>0/1</f>
        <v>0</v>
      </c>
      <c r="AB23" s="119">
        <v>66.7</v>
      </c>
      <c r="AC23" s="119">
        <v>0</v>
      </c>
      <c r="AD23" s="119">
        <f t="shared" si="4"/>
        <v>66.7</v>
      </c>
      <c r="AE23" s="119">
        <v>1.5</v>
      </c>
      <c r="AF23" s="119">
        <v>0</v>
      </c>
      <c r="AG23" s="65">
        <v>0</v>
      </c>
      <c r="AH23" s="119">
        <v>0</v>
      </c>
      <c r="AI23" s="119">
        <v>0</v>
      </c>
      <c r="AJ23" s="119">
        <v>0</v>
      </c>
      <c r="AK23" s="65">
        <v>0.01</v>
      </c>
      <c r="AL23" s="119">
        <v>-6.1</v>
      </c>
      <c r="AM23" s="119">
        <v>-0.9</v>
      </c>
      <c r="AN23" s="119">
        <v>0</v>
      </c>
      <c r="AO23" s="119">
        <v>0</v>
      </c>
    </row>
    <row r="24" spans="1:41" x14ac:dyDescent="0.2">
      <c r="B24" s="5"/>
      <c r="P24" s="11"/>
      <c r="Q24" s="11"/>
      <c r="R24" s="16"/>
      <c r="S24" s="16"/>
      <c r="T24" s="16"/>
      <c r="Y24" s="69"/>
      <c r="Z24" s="69"/>
      <c r="AA24" s="65"/>
      <c r="AB24" s="119"/>
      <c r="AC24" s="119"/>
      <c r="AD24" s="119"/>
      <c r="AE24" s="119"/>
      <c r="AF24" s="119"/>
      <c r="AG24" s="65"/>
      <c r="AH24" s="119"/>
      <c r="AI24" s="119"/>
      <c r="AJ24" s="119"/>
      <c r="AK24" s="65"/>
      <c r="AL24" s="119"/>
      <c r="AM24" s="119"/>
      <c r="AN24" s="119"/>
      <c r="AO24" s="119"/>
    </row>
    <row r="25" spans="1:41" x14ac:dyDescent="0.2">
      <c r="G25" s="62">
        <f ca="1">TODAY()</f>
        <v>44162</v>
      </c>
      <c r="H25" s="63">
        <f ca="1">AVERAGE(H2:H15)</f>
        <v>27.150000000000006</v>
      </c>
      <c r="J25" s="63">
        <f>AVERAGE(J2:J15)</f>
        <v>5.4285714285714288</v>
      </c>
      <c r="O25" s="11"/>
      <c r="T25" s="60"/>
      <c r="Y25" s="69"/>
      <c r="Z25" s="69"/>
      <c r="AA25" s="65"/>
      <c r="AB25" s="119"/>
      <c r="AC25" s="119"/>
      <c r="AD25" s="119"/>
      <c r="AE25" s="119"/>
      <c r="AF25" s="119"/>
      <c r="AG25" s="65"/>
      <c r="AH25" s="119"/>
      <c r="AI25" s="119"/>
      <c r="AJ25" s="119"/>
      <c r="AK25" s="65"/>
      <c r="AL25" s="119"/>
      <c r="AM25" s="119"/>
      <c r="AN25" s="119"/>
      <c r="AO25" s="119"/>
    </row>
    <row r="26" spans="1:41" x14ac:dyDescent="0.2">
      <c r="H26" s="63">
        <f ca="1">MEDIAN(H2:H15)</f>
        <v>27.4</v>
      </c>
      <c r="J26" s="69">
        <f>MEDIAN(J2:J15)</f>
        <v>4.5</v>
      </c>
      <c r="P26" s="64"/>
      <c r="S26" s="237"/>
      <c r="T26" s="237"/>
      <c r="U26" s="237"/>
      <c r="V26" s="237"/>
      <c r="W26" s="237"/>
      <c r="Y26" s="69"/>
      <c r="Z26" s="69"/>
      <c r="AA26" s="65"/>
      <c r="AG26" s="65"/>
      <c r="AK26" s="65"/>
    </row>
    <row r="27" spans="1:41" x14ac:dyDescent="0.2">
      <c r="B27" s="197" t="s">
        <v>1985</v>
      </c>
      <c r="P27" s="156">
        <f>SUM(P2:P19)+340000-P12-P13-P14-P15-P17</f>
        <v>130193418</v>
      </c>
      <c r="AA27" s="65"/>
      <c r="AG27" s="65"/>
      <c r="AK27" s="65"/>
    </row>
    <row r="28" spans="1:41" x14ac:dyDescent="0.2">
      <c r="B28" s="3" t="s">
        <v>1876</v>
      </c>
      <c r="C28" s="59">
        <v>11</v>
      </c>
      <c r="P28" s="121">
        <f>SUM(P2:P19)</f>
        <v>136823652</v>
      </c>
      <c r="AG28" s="65"/>
      <c r="AK28" s="65"/>
    </row>
    <row r="29" spans="1:41" x14ac:dyDescent="0.2">
      <c r="B29" s="3" t="s">
        <v>2457</v>
      </c>
      <c r="C29" s="59">
        <v>5</v>
      </c>
      <c r="I29" s="197"/>
      <c r="O29" s="165"/>
      <c r="P29" s="121"/>
      <c r="AG29" s="65"/>
      <c r="AK29" s="65"/>
    </row>
    <row r="30" spans="1:41" x14ac:dyDescent="0.2">
      <c r="B30" s="3" t="s">
        <v>2539</v>
      </c>
      <c r="C30" s="59">
        <v>2</v>
      </c>
      <c r="I30" s="3"/>
      <c r="O30" s="165" t="s">
        <v>292</v>
      </c>
      <c r="P30" s="22" t="e">
        <f>#REF!</f>
        <v>#REF!</v>
      </c>
      <c r="AG30" s="65"/>
    </row>
    <row r="31" spans="1:41" x14ac:dyDescent="0.2">
      <c r="B31" s="3" t="s">
        <v>495</v>
      </c>
      <c r="C31" s="60">
        <f>9258000-P7</f>
        <v>0</v>
      </c>
      <c r="D31" s="59" t="s">
        <v>111</v>
      </c>
      <c r="I31" s="3"/>
      <c r="O31" s="166" t="s">
        <v>294</v>
      </c>
      <c r="P31" s="22" t="e">
        <f>#REF!</f>
        <v>#REF!</v>
      </c>
      <c r="AG31" s="65"/>
    </row>
    <row r="32" spans="1:41" x14ac:dyDescent="0.2">
      <c r="B32" s="3" t="s">
        <v>514</v>
      </c>
      <c r="C32" s="60">
        <f>3623000</f>
        <v>3623000</v>
      </c>
      <c r="I32" s="3"/>
      <c r="O32" s="166" t="s">
        <v>2561</v>
      </c>
      <c r="P32" s="22">
        <v>138928000</v>
      </c>
      <c r="AG32" s="65"/>
    </row>
    <row r="33" spans="2:33" x14ac:dyDescent="0.2">
      <c r="B33" s="3" t="s">
        <v>293</v>
      </c>
      <c r="C33" s="60">
        <v>3500000</v>
      </c>
      <c r="I33" s="3"/>
      <c r="O33" s="166"/>
      <c r="P33" s="22"/>
      <c r="AG33" s="65"/>
    </row>
    <row r="34" spans="2:33" x14ac:dyDescent="0.2">
      <c r="B34" s="3" t="s">
        <v>295</v>
      </c>
      <c r="C34" s="60">
        <v>0</v>
      </c>
      <c r="I34" s="3"/>
      <c r="O34" s="166"/>
      <c r="P34" s="22"/>
      <c r="AG34" s="65"/>
    </row>
    <row r="35" spans="2:33" x14ac:dyDescent="0.2">
      <c r="B35" s="3"/>
      <c r="I35" s="3"/>
      <c r="J35" s="60"/>
      <c r="AG35" s="65"/>
    </row>
    <row r="36" spans="2:33" x14ac:dyDescent="0.2">
      <c r="B36" s="71" t="s">
        <v>1875</v>
      </c>
      <c r="I36" s="3"/>
      <c r="J36" s="60"/>
    </row>
    <row r="37" spans="2:33" x14ac:dyDescent="0.2">
      <c r="B37" s="3" t="s">
        <v>296</v>
      </c>
      <c r="C37" s="65">
        <f>44/(44+28)</f>
        <v>0.61111111111111116</v>
      </c>
      <c r="D37" s="59" t="s">
        <v>717</v>
      </c>
      <c r="I37" s="3"/>
    </row>
    <row r="38" spans="2:33" x14ac:dyDescent="0.2">
      <c r="B38" s="3" t="s">
        <v>298</v>
      </c>
      <c r="C38" s="59">
        <v>111.8</v>
      </c>
      <c r="D38" s="59" t="s">
        <v>1996</v>
      </c>
      <c r="I38" s="71"/>
    </row>
    <row r="39" spans="2:33" x14ac:dyDescent="0.2">
      <c r="B39" s="3" t="s">
        <v>299</v>
      </c>
      <c r="C39" s="59">
        <v>109.3</v>
      </c>
      <c r="D39" s="59" t="s">
        <v>1959</v>
      </c>
      <c r="I39" s="3"/>
    </row>
    <row r="40" spans="2:33" x14ac:dyDescent="0.2">
      <c r="B40" s="3" t="s">
        <v>300</v>
      </c>
      <c r="C40" s="59">
        <f>C38-C39</f>
        <v>2.5</v>
      </c>
      <c r="D40" s="59" t="s">
        <v>1996</v>
      </c>
      <c r="I40" s="3"/>
    </row>
    <row r="41" spans="2:33" x14ac:dyDescent="0.2">
      <c r="B41" s="3" t="s">
        <v>301</v>
      </c>
      <c r="C41" s="59">
        <v>99.15</v>
      </c>
      <c r="D41" s="59" t="s">
        <v>2077</v>
      </c>
      <c r="I41" s="3"/>
    </row>
    <row r="42" spans="2:33" x14ac:dyDescent="0.2">
      <c r="B42" s="3"/>
      <c r="I42" s="3"/>
    </row>
    <row r="43" spans="2:33" x14ac:dyDescent="0.2">
      <c r="B43" s="3" t="s">
        <v>302</v>
      </c>
      <c r="I43" s="3"/>
    </row>
    <row r="44" spans="2:33" x14ac:dyDescent="0.2">
      <c r="B44" s="2" t="s">
        <v>1779</v>
      </c>
      <c r="I44" s="3"/>
    </row>
    <row r="45" spans="2:33" x14ac:dyDescent="0.2">
      <c r="B45" s="2" t="s">
        <v>1780</v>
      </c>
      <c r="I45" s="3"/>
    </row>
    <row r="46" spans="2:33" x14ac:dyDescent="0.2">
      <c r="B46" s="10"/>
    </row>
    <row r="47" spans="2:33" x14ac:dyDescent="0.2">
      <c r="B47" s="2" t="s">
        <v>310</v>
      </c>
    </row>
    <row r="48" spans="2:33" x14ac:dyDescent="0.2">
      <c r="B48" s="2" t="s">
        <v>2076</v>
      </c>
    </row>
    <row r="49" spans="2:10" x14ac:dyDescent="0.2">
      <c r="B49" s="2" t="s">
        <v>1781</v>
      </c>
    </row>
    <row r="50" spans="2:10" x14ac:dyDescent="0.2">
      <c r="B50" s="194"/>
    </row>
    <row r="51" spans="2:10" x14ac:dyDescent="0.2">
      <c r="B51" s="71" t="s">
        <v>1989</v>
      </c>
    </row>
    <row r="52" spans="2:10" x14ac:dyDescent="0.2">
      <c r="B52" s="39" t="s">
        <v>314</v>
      </c>
      <c r="C52" s="59">
        <v>44</v>
      </c>
      <c r="D52" s="59">
        <v>28</v>
      </c>
      <c r="E52" s="59" t="s">
        <v>717</v>
      </c>
      <c r="G52" s="59" t="s">
        <v>1778</v>
      </c>
      <c r="J52" s="59" t="s">
        <v>1690</v>
      </c>
    </row>
    <row r="53" spans="2:10" x14ac:dyDescent="0.2">
      <c r="B53" s="39" t="s">
        <v>317</v>
      </c>
      <c r="C53" s="59">
        <v>50</v>
      </c>
      <c r="D53" s="59">
        <v>32</v>
      </c>
      <c r="E53" s="59" t="s">
        <v>776</v>
      </c>
      <c r="G53" s="59" t="s">
        <v>1778</v>
      </c>
      <c r="J53" s="59" t="s">
        <v>719</v>
      </c>
    </row>
    <row r="54" spans="2:10" x14ac:dyDescent="0.2">
      <c r="B54" s="39" t="s">
        <v>319</v>
      </c>
      <c r="C54" s="59">
        <v>48</v>
      </c>
      <c r="D54" s="59">
        <v>34</v>
      </c>
      <c r="E54" s="59" t="s">
        <v>776</v>
      </c>
      <c r="G54" s="59" t="s">
        <v>1778</v>
      </c>
      <c r="J54" s="59" t="s">
        <v>1782</v>
      </c>
    </row>
    <row r="55" spans="2:10" x14ac:dyDescent="0.2">
      <c r="B55" s="39" t="s">
        <v>322</v>
      </c>
      <c r="C55" s="59">
        <v>51</v>
      </c>
      <c r="D55" s="59">
        <v>31</v>
      </c>
      <c r="E55" s="59" t="s">
        <v>776</v>
      </c>
      <c r="G55" s="59" t="s">
        <v>1778</v>
      </c>
      <c r="J55" s="59" t="s">
        <v>1783</v>
      </c>
    </row>
    <row r="56" spans="2:10" x14ac:dyDescent="0.2">
      <c r="B56" s="39" t="s">
        <v>325</v>
      </c>
      <c r="C56" s="59">
        <v>40</v>
      </c>
      <c r="D56" s="59">
        <v>42</v>
      </c>
      <c r="E56" s="59" t="s">
        <v>769</v>
      </c>
      <c r="G56" s="59" t="s">
        <v>1778</v>
      </c>
      <c r="I56" s="145"/>
      <c r="J56" s="145" t="s">
        <v>316</v>
      </c>
    </row>
    <row r="57" spans="2:10" x14ac:dyDescent="0.2">
      <c r="B57" s="39" t="s">
        <v>328</v>
      </c>
      <c r="C57" s="59">
        <v>38</v>
      </c>
      <c r="D57" s="59">
        <v>44</v>
      </c>
      <c r="E57" s="59" t="s">
        <v>716</v>
      </c>
      <c r="G57" s="59" t="s">
        <v>1778</v>
      </c>
      <c r="I57" s="145"/>
      <c r="J57" s="145" t="s">
        <v>316</v>
      </c>
    </row>
    <row r="58" spans="2:10" x14ac:dyDescent="0.2">
      <c r="B58" s="39" t="s">
        <v>331</v>
      </c>
      <c r="C58" s="59">
        <v>25</v>
      </c>
      <c r="D58" s="59">
        <v>57</v>
      </c>
      <c r="E58" s="59" t="s">
        <v>883</v>
      </c>
      <c r="G58" s="59" t="s">
        <v>1784</v>
      </c>
      <c r="I58" s="145"/>
      <c r="J58" s="145" t="s">
        <v>316</v>
      </c>
    </row>
    <row r="59" spans="2:10" x14ac:dyDescent="0.2">
      <c r="B59" s="39" t="s">
        <v>334</v>
      </c>
      <c r="C59" s="59">
        <v>43</v>
      </c>
      <c r="D59" s="59">
        <v>39</v>
      </c>
      <c r="E59" s="59" t="s">
        <v>769</v>
      </c>
      <c r="G59" s="59" t="s">
        <v>1784</v>
      </c>
      <c r="I59" s="145"/>
      <c r="J59" s="145" t="s">
        <v>316</v>
      </c>
    </row>
    <row r="60" spans="2:10" x14ac:dyDescent="0.2">
      <c r="B60" s="39" t="s">
        <v>338</v>
      </c>
      <c r="C60" s="59">
        <v>36</v>
      </c>
      <c r="D60" s="59">
        <v>30</v>
      </c>
      <c r="E60" s="59" t="s">
        <v>720</v>
      </c>
      <c r="G60" s="59" t="s">
        <v>1784</v>
      </c>
      <c r="J60" s="59" t="s">
        <v>1096</v>
      </c>
    </row>
    <row r="61" spans="2:10" x14ac:dyDescent="0.2">
      <c r="B61" s="39" t="s">
        <v>340</v>
      </c>
      <c r="C61" s="59">
        <v>39</v>
      </c>
      <c r="D61" s="59">
        <v>43</v>
      </c>
      <c r="E61" s="59" t="s">
        <v>716</v>
      </c>
      <c r="G61" s="59" t="s">
        <v>1785</v>
      </c>
      <c r="J61" s="145" t="s">
        <v>316</v>
      </c>
    </row>
    <row r="62" spans="2:10" x14ac:dyDescent="0.2">
      <c r="B62" s="59" t="s">
        <v>342</v>
      </c>
      <c r="C62" s="59">
        <f>SUM(C52:C61)</f>
        <v>414</v>
      </c>
      <c r="D62" s="59">
        <f>SUM(D52:D61)</f>
        <v>380</v>
      </c>
      <c r="E62" s="65">
        <f>C62/(C62+D62)</f>
        <v>0.52141057934508817</v>
      </c>
    </row>
    <row r="64" spans="2:10" x14ac:dyDescent="0.2">
      <c r="D64" s="77"/>
    </row>
    <row r="65" spans="3:4" x14ac:dyDescent="0.2">
      <c r="D65" s="77"/>
    </row>
    <row r="66" spans="3:4" x14ac:dyDescent="0.2">
      <c r="C66" s="77"/>
      <c r="D66" s="77"/>
    </row>
  </sheetData>
  <pageMargins left="0.7" right="0.7" top="0.75" bottom="0.75" header="0.3" footer="0.3"/>
  <ignoredErrors>
    <ignoredError sqref="A5" numberStoredAsText="1"/>
    <ignoredError sqref="J25:J26" formulaRange="1"/>
    <ignoredError sqref="H7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7D8B-FA2B-2E40-AC28-65B5CA9C4AFF}">
  <dimension ref="A1:AP67"/>
  <sheetViews>
    <sheetView zoomScaleNormal="100" workbookViewId="0"/>
  </sheetViews>
  <sheetFormatPr baseColWidth="10" defaultColWidth="10.83203125" defaultRowHeight="16" x14ac:dyDescent="0.2"/>
  <cols>
    <col min="1" max="1" width="4.83203125" style="3" customWidth="1"/>
    <col min="2" max="2" width="23.1640625" style="3" customWidth="1"/>
    <col min="3" max="3" width="10.5" style="3" customWidth="1"/>
    <col min="4" max="4" width="7" style="3" customWidth="1"/>
    <col min="5" max="5" width="10.33203125" style="3" customWidth="1"/>
    <col min="6" max="6" width="7.6640625" style="3" customWidth="1"/>
    <col min="7" max="7" width="10" style="3" customWidth="1"/>
    <col min="8" max="8" width="5.83203125" style="3" customWidth="1"/>
    <col min="9" max="9" width="18.6640625" style="3" customWidth="1"/>
    <col min="10" max="10" width="11" style="3" customWidth="1"/>
    <col min="11" max="11" width="13" style="3" customWidth="1"/>
    <col min="12" max="12" width="5.6640625" style="3" customWidth="1"/>
    <col min="13" max="13" width="33.5" style="3" customWidth="1"/>
    <col min="14" max="14" width="16" style="3" customWidth="1"/>
    <col min="15" max="15" width="46.1640625" style="3" customWidth="1"/>
    <col min="16" max="16" width="13.5" style="3" customWidth="1"/>
    <col min="17" max="17" width="12.5" style="3" customWidth="1"/>
    <col min="18" max="18" width="13.33203125" style="3" customWidth="1"/>
    <col min="19" max="19" width="13.1640625" style="3" customWidth="1"/>
    <col min="20" max="20" width="12.33203125" style="3" customWidth="1"/>
    <col min="21" max="21" width="10.83203125" style="3"/>
    <col min="22" max="22" width="248.6640625" style="3" customWidth="1"/>
    <col min="23" max="23" width="25.83203125" style="3" customWidth="1"/>
    <col min="24" max="24" width="9.5" style="3" customWidth="1"/>
    <col min="25" max="25" width="4" style="3" customWidth="1"/>
    <col min="26" max="26" width="7.83203125" style="3" customWidth="1"/>
    <col min="27" max="27" width="6.1640625" style="3" customWidth="1"/>
    <col min="28" max="28" width="5.83203125" style="3" customWidth="1"/>
    <col min="29" max="29" width="7.1640625" style="3" customWidth="1"/>
    <col min="30" max="30" width="5.1640625" style="3" customWidth="1"/>
    <col min="31" max="31" width="4.83203125" style="3" customWidth="1"/>
    <col min="32" max="32" width="5.83203125" style="3" customWidth="1"/>
    <col min="33" max="33" width="7.83203125" style="3" customWidth="1"/>
    <col min="34" max="34" width="4.83203125" style="3" customWidth="1"/>
    <col min="35" max="35" width="5" style="3" customWidth="1"/>
    <col min="36" max="36" width="6.6640625" style="3" customWidth="1"/>
    <col min="37" max="37" width="5.83203125" style="3" customWidth="1"/>
    <col min="38" max="38" width="6" style="3" customWidth="1"/>
    <col min="39" max="39" width="5.6640625" style="3" customWidth="1"/>
    <col min="40" max="40" width="4.6640625" style="3" customWidth="1"/>
    <col min="41" max="16384" width="10.83203125" style="3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</row>
    <row r="2" spans="1:42" x14ac:dyDescent="0.2">
      <c r="A2" s="3">
        <v>7</v>
      </c>
      <c r="B2" s="3" t="s">
        <v>194</v>
      </c>
      <c r="C2" s="3" t="s">
        <v>2706</v>
      </c>
      <c r="D2" s="105">
        <v>610</v>
      </c>
      <c r="E2" s="105">
        <v>75</v>
      </c>
      <c r="F2" s="106">
        <v>240</v>
      </c>
      <c r="G2" s="4">
        <v>32415</v>
      </c>
      <c r="H2" s="110">
        <f t="shared" ref="H2:H17" ca="1" si="0">ROUNDDOWN(YEARFRAC($G$28,G2),1)</f>
        <v>32.1</v>
      </c>
      <c r="I2" s="3" t="s">
        <v>406</v>
      </c>
      <c r="J2" s="3">
        <v>14</v>
      </c>
      <c r="K2" s="109">
        <v>2007</v>
      </c>
      <c r="L2" s="109">
        <v>2</v>
      </c>
      <c r="M2" s="3" t="s">
        <v>407</v>
      </c>
      <c r="N2" s="3" t="s">
        <v>346</v>
      </c>
      <c r="O2" s="3" t="s">
        <v>1914</v>
      </c>
      <c r="P2" s="22">
        <v>40108950</v>
      </c>
      <c r="Q2" s="22">
        <v>42018900</v>
      </c>
      <c r="R2" s="55">
        <v>43928850</v>
      </c>
      <c r="S2" s="51">
        <v>48234375</v>
      </c>
      <c r="T2" s="57"/>
      <c r="U2" s="22"/>
      <c r="V2" s="3" t="s">
        <v>1832</v>
      </c>
      <c r="W2" s="3" t="s">
        <v>408</v>
      </c>
      <c r="X2" s="107">
        <v>4</v>
      </c>
      <c r="Y2" s="107">
        <v>78</v>
      </c>
      <c r="Z2" s="41">
        <f>54/78</f>
        <v>0.69230769230769229</v>
      </c>
      <c r="AA2" s="110">
        <v>118.7</v>
      </c>
      <c r="AB2" s="110">
        <v>107.3</v>
      </c>
      <c r="AC2" s="110">
        <f t="shared" ref="AC2:AC17" si="1">AA2-AB2</f>
        <v>11.400000000000006</v>
      </c>
      <c r="AD2" s="110">
        <v>34.6</v>
      </c>
      <c r="AE2" s="110">
        <v>24.2</v>
      </c>
      <c r="AF2" s="41">
        <v>0.63100000000000001</v>
      </c>
      <c r="AG2" s="110">
        <v>29</v>
      </c>
      <c r="AH2" s="110">
        <v>8.6</v>
      </c>
      <c r="AI2" s="110">
        <v>2.9</v>
      </c>
      <c r="AJ2" s="41">
        <v>0.20399999999999999</v>
      </c>
      <c r="AK2" s="110">
        <v>5.4</v>
      </c>
      <c r="AL2" s="110">
        <v>0.1</v>
      </c>
      <c r="AM2" s="110">
        <v>5.0999999999999996</v>
      </c>
      <c r="AN2" s="110">
        <v>16.2</v>
      </c>
    </row>
    <row r="3" spans="1:42" x14ac:dyDescent="0.2">
      <c r="A3" s="3">
        <v>11</v>
      </c>
      <c r="B3" s="3" t="s">
        <v>195</v>
      </c>
      <c r="C3" s="3" t="s">
        <v>2702</v>
      </c>
      <c r="D3" s="105">
        <v>62</v>
      </c>
      <c r="E3" s="105">
        <v>64</v>
      </c>
      <c r="F3" s="106">
        <v>195</v>
      </c>
      <c r="G3" s="4">
        <v>33686</v>
      </c>
      <c r="H3" s="110">
        <f t="shared" ca="1" si="0"/>
        <v>28.6</v>
      </c>
      <c r="I3" s="3" t="s">
        <v>253</v>
      </c>
      <c r="J3" s="3">
        <v>10</v>
      </c>
      <c r="K3" s="109">
        <v>2011</v>
      </c>
      <c r="L3" s="109">
        <v>1</v>
      </c>
      <c r="M3" s="3" t="s">
        <v>2521</v>
      </c>
      <c r="N3" s="3" t="s">
        <v>279</v>
      </c>
      <c r="O3" s="3" t="s">
        <v>1915</v>
      </c>
      <c r="P3" s="22">
        <f>33460350</f>
        <v>33460350</v>
      </c>
      <c r="Q3" s="22">
        <f>34916200</f>
        <v>34916200</v>
      </c>
      <c r="R3" s="55">
        <f>36503300</f>
        <v>36503300</v>
      </c>
      <c r="S3" s="51">
        <v>48234375</v>
      </c>
      <c r="T3" s="57"/>
      <c r="U3" s="22"/>
      <c r="V3" s="3" t="s">
        <v>1828</v>
      </c>
      <c r="W3" s="5" t="s">
        <v>284</v>
      </c>
      <c r="X3" s="107">
        <v>1</v>
      </c>
      <c r="Y3" s="107">
        <v>20</v>
      </c>
      <c r="Z3" s="41">
        <f>8/20</f>
        <v>0.4</v>
      </c>
      <c r="AA3" s="110">
        <v>112.7</v>
      </c>
      <c r="AB3" s="110">
        <v>113.1</v>
      </c>
      <c r="AC3" s="110">
        <f t="shared" si="1"/>
        <v>-0.39999999999999147</v>
      </c>
      <c r="AD3" s="110">
        <v>32.9</v>
      </c>
      <c r="AE3" s="110">
        <v>26.3</v>
      </c>
      <c r="AF3" s="41">
        <v>0.59499999999999997</v>
      </c>
      <c r="AG3" s="110">
        <v>32.6</v>
      </c>
      <c r="AH3" s="110">
        <v>2.1</v>
      </c>
      <c r="AI3" s="110">
        <v>0.8</v>
      </c>
      <c r="AJ3" s="41">
        <v>0.216</v>
      </c>
      <c r="AK3" s="110">
        <v>6.6</v>
      </c>
      <c r="AL3" s="110">
        <v>1</v>
      </c>
      <c r="AM3" s="110">
        <v>1.6</v>
      </c>
      <c r="AN3" s="110">
        <v>16.399999999999999</v>
      </c>
    </row>
    <row r="4" spans="1:42" x14ac:dyDescent="0.2">
      <c r="A4" s="3">
        <v>22</v>
      </c>
      <c r="B4" s="3" t="s">
        <v>424</v>
      </c>
      <c r="C4" s="3" t="s">
        <v>2697</v>
      </c>
      <c r="D4" s="105">
        <v>66</v>
      </c>
      <c r="E4" s="105">
        <v>610</v>
      </c>
      <c r="F4" s="106">
        <v>205</v>
      </c>
      <c r="G4" s="4">
        <v>34571</v>
      </c>
      <c r="H4" s="110">
        <f t="shared" ca="1" si="0"/>
        <v>26.2</v>
      </c>
      <c r="I4" s="3" t="s">
        <v>425</v>
      </c>
      <c r="J4" s="3">
        <v>5</v>
      </c>
      <c r="K4" s="109">
        <v>2016</v>
      </c>
      <c r="L4" s="109">
        <v>20</v>
      </c>
      <c r="M4" s="3" t="s">
        <v>426</v>
      </c>
      <c r="N4" s="3" t="s">
        <v>1</v>
      </c>
      <c r="O4" s="3" t="s">
        <v>1913</v>
      </c>
      <c r="P4" s="22">
        <v>16203704</v>
      </c>
      <c r="Q4" s="22">
        <v>17500000</v>
      </c>
      <c r="R4" s="22">
        <v>18796296</v>
      </c>
      <c r="S4" s="51">
        <f>R4*1.5</f>
        <v>28194444</v>
      </c>
      <c r="T4" s="57"/>
      <c r="U4" s="22"/>
      <c r="W4" s="3" t="s">
        <v>427</v>
      </c>
      <c r="X4" s="107">
        <v>2</v>
      </c>
      <c r="Y4" s="107">
        <v>39</v>
      </c>
      <c r="Z4" s="41">
        <f>18/39</f>
        <v>0.46153846153846156</v>
      </c>
      <c r="AA4" s="110">
        <v>108.4</v>
      </c>
      <c r="AB4" s="110">
        <v>108.5</v>
      </c>
      <c r="AC4" s="110">
        <f t="shared" si="1"/>
        <v>-9.9999999999994316E-2</v>
      </c>
      <c r="AD4" s="110">
        <v>29</v>
      </c>
      <c r="AE4" s="110">
        <v>15.1</v>
      </c>
      <c r="AF4" s="41">
        <v>0.50900000000000001</v>
      </c>
      <c r="AG4" s="110">
        <v>28.8</v>
      </c>
      <c r="AH4" s="110">
        <v>-0.1</v>
      </c>
      <c r="AI4" s="110">
        <v>1.2</v>
      </c>
      <c r="AJ4" s="41">
        <v>0.05</v>
      </c>
      <c r="AK4" s="110">
        <v>0.1</v>
      </c>
      <c r="AL4" s="110">
        <v>-0.7</v>
      </c>
      <c r="AM4" s="110">
        <v>0.4</v>
      </c>
      <c r="AN4" s="110">
        <v>10.5</v>
      </c>
    </row>
    <row r="5" spans="1:42" x14ac:dyDescent="0.2">
      <c r="A5" s="3">
        <v>12</v>
      </c>
      <c r="B5" s="3" t="s">
        <v>13</v>
      </c>
      <c r="C5" s="3" t="s">
        <v>2701</v>
      </c>
      <c r="D5" s="105">
        <v>66</v>
      </c>
      <c r="E5" s="105">
        <v>66</v>
      </c>
      <c r="F5" s="106">
        <v>220</v>
      </c>
      <c r="G5" s="4">
        <v>33487</v>
      </c>
      <c r="H5" s="110">
        <f t="shared" ca="1" si="0"/>
        <v>29.2</v>
      </c>
      <c r="I5" s="3" t="s">
        <v>242</v>
      </c>
      <c r="J5" s="3">
        <v>7</v>
      </c>
      <c r="K5" s="109">
        <v>2014</v>
      </c>
      <c r="L5" s="109">
        <v>33</v>
      </c>
      <c r="M5" s="3" t="s">
        <v>416</v>
      </c>
      <c r="N5" s="3" t="s">
        <v>1</v>
      </c>
      <c r="O5" s="3" t="s">
        <v>2473</v>
      </c>
      <c r="P5" s="22">
        <v>16071429</v>
      </c>
      <c r="Q5" s="22">
        <v>17357143</v>
      </c>
      <c r="R5" s="22">
        <v>18642857</v>
      </c>
      <c r="S5" s="57">
        <v>19928571</v>
      </c>
      <c r="T5" s="51">
        <f>S5*1.5</f>
        <v>29892856.5</v>
      </c>
      <c r="U5" s="22"/>
      <c r="V5" s="3" t="s">
        <v>2655</v>
      </c>
      <c r="W5" s="3" t="s">
        <v>417</v>
      </c>
      <c r="X5" s="107">
        <v>3</v>
      </c>
      <c r="Y5" s="107">
        <v>63</v>
      </c>
      <c r="Z5" s="41">
        <f>30/63</f>
        <v>0.47619047619047616</v>
      </c>
      <c r="AA5" s="110">
        <v>109.9</v>
      </c>
      <c r="AB5" s="110">
        <v>108.3</v>
      </c>
      <c r="AC5" s="110">
        <f t="shared" ref="AC5" si="2">AA5-AB5</f>
        <v>1.6000000000000085</v>
      </c>
      <c r="AD5" s="110">
        <v>30.9</v>
      </c>
      <c r="AE5" s="110">
        <v>12.7</v>
      </c>
      <c r="AF5" s="41">
        <v>0.59199999999999997</v>
      </c>
      <c r="AG5" s="110">
        <v>17.899999999999999</v>
      </c>
      <c r="AH5" s="110">
        <v>2.1</v>
      </c>
      <c r="AI5" s="110">
        <v>1.7</v>
      </c>
      <c r="AJ5" s="41">
        <v>9.4E-2</v>
      </c>
      <c r="AK5" s="110">
        <v>0</v>
      </c>
      <c r="AL5" s="110">
        <v>-0.5</v>
      </c>
      <c r="AM5" s="110">
        <v>0.8</v>
      </c>
      <c r="AN5" s="110">
        <v>8.6</v>
      </c>
    </row>
    <row r="6" spans="1:42" x14ac:dyDescent="0.2">
      <c r="A6" s="3">
        <v>2</v>
      </c>
      <c r="B6" s="3" t="s">
        <v>420</v>
      </c>
      <c r="C6" s="3" t="s">
        <v>2705</v>
      </c>
      <c r="D6" s="105">
        <v>67</v>
      </c>
      <c r="E6" s="105">
        <v>70</v>
      </c>
      <c r="F6" s="106">
        <v>218</v>
      </c>
      <c r="G6" s="4">
        <v>34415</v>
      </c>
      <c r="H6" s="110">
        <f t="shared" ca="1" si="0"/>
        <v>26.6</v>
      </c>
      <c r="I6" s="3" t="s">
        <v>421</v>
      </c>
      <c r="J6" s="3">
        <v>5</v>
      </c>
      <c r="K6" s="109">
        <v>2016</v>
      </c>
      <c r="L6" s="109">
        <v>12</v>
      </c>
      <c r="M6" s="3" t="s">
        <v>422</v>
      </c>
      <c r="N6" s="3" t="s">
        <v>1</v>
      </c>
      <c r="O6" s="3" t="s">
        <v>1912</v>
      </c>
      <c r="P6" s="22">
        <v>12250000</v>
      </c>
      <c r="Q6" s="22">
        <v>13000000</v>
      </c>
      <c r="R6" s="51">
        <f>Q6*1.5</f>
        <v>19500000</v>
      </c>
      <c r="S6" s="212"/>
      <c r="T6" s="213"/>
      <c r="U6" s="22"/>
      <c r="V6" s="3" t="s">
        <v>1833</v>
      </c>
      <c r="W6" s="3" t="s">
        <v>423</v>
      </c>
      <c r="X6" s="107">
        <v>4</v>
      </c>
      <c r="Y6" s="107">
        <v>64</v>
      </c>
      <c r="Z6" s="41">
        <f>30/64</f>
        <v>0.46875</v>
      </c>
      <c r="AA6" s="110">
        <v>109.6</v>
      </c>
      <c r="AB6" s="110">
        <v>108.4</v>
      </c>
      <c r="AC6" s="110">
        <f t="shared" si="1"/>
        <v>1.1999999999999886</v>
      </c>
      <c r="AD6" s="110">
        <v>29</v>
      </c>
      <c r="AE6" s="110">
        <v>9.1999999999999993</v>
      </c>
      <c r="AF6" s="41">
        <v>0.497</v>
      </c>
      <c r="AG6" s="110">
        <v>20.399999999999999</v>
      </c>
      <c r="AH6" s="110">
        <v>-1.7</v>
      </c>
      <c r="AI6" s="110">
        <v>2.4</v>
      </c>
      <c r="AJ6" s="41">
        <v>1.9E-2</v>
      </c>
      <c r="AK6" s="110">
        <v>-2.9</v>
      </c>
      <c r="AL6" s="110">
        <v>-0.1</v>
      </c>
      <c r="AM6" s="110">
        <v>-0.5</v>
      </c>
      <c r="AN6" s="110">
        <v>7.4</v>
      </c>
    </row>
    <row r="7" spans="1:42" x14ac:dyDescent="0.2">
      <c r="A7" s="3">
        <v>26</v>
      </c>
      <c r="B7" s="3" t="s">
        <v>410</v>
      </c>
      <c r="C7" s="3" t="s">
        <v>2700</v>
      </c>
      <c r="D7" s="105">
        <v>65</v>
      </c>
      <c r="E7" s="105">
        <v>68</v>
      </c>
      <c r="F7" s="106">
        <v>215</v>
      </c>
      <c r="G7" s="4">
        <v>34065</v>
      </c>
      <c r="H7" s="110">
        <f t="shared" ca="1" si="0"/>
        <v>27.6</v>
      </c>
      <c r="I7" s="3" t="s">
        <v>411</v>
      </c>
      <c r="J7" s="3">
        <v>7</v>
      </c>
      <c r="K7" s="109">
        <v>2014</v>
      </c>
      <c r="L7" s="109">
        <v>38</v>
      </c>
      <c r="M7" s="3" t="s">
        <v>412</v>
      </c>
      <c r="N7" s="3" t="s">
        <v>279</v>
      </c>
      <c r="O7" s="3" t="s">
        <v>1916</v>
      </c>
      <c r="P7" s="22">
        <v>11454048</v>
      </c>
      <c r="Q7" s="55">
        <v>12302496</v>
      </c>
      <c r="R7" s="51">
        <f>Q7*1.5</f>
        <v>18453744</v>
      </c>
      <c r="S7" s="212"/>
      <c r="T7" s="213"/>
      <c r="U7" s="22"/>
      <c r="W7" s="3" t="s">
        <v>413</v>
      </c>
      <c r="X7" s="107">
        <v>2</v>
      </c>
      <c r="Y7" s="107">
        <v>64</v>
      </c>
      <c r="Z7" s="41">
        <f>30/64</f>
        <v>0.46875</v>
      </c>
      <c r="AA7" s="110">
        <v>110.5</v>
      </c>
      <c r="AB7" s="110">
        <v>109.4</v>
      </c>
      <c r="AC7" s="110">
        <f t="shared" si="1"/>
        <v>1.0999999999999943</v>
      </c>
      <c r="AD7" s="110">
        <v>31.2</v>
      </c>
      <c r="AE7" s="110">
        <v>17.899999999999999</v>
      </c>
      <c r="AF7" s="41">
        <v>0.54100000000000004</v>
      </c>
      <c r="AG7" s="110">
        <v>29.2</v>
      </c>
      <c r="AH7" s="110">
        <v>3.4</v>
      </c>
      <c r="AI7" s="110">
        <v>1.7</v>
      </c>
      <c r="AJ7" s="41">
        <v>0.123</v>
      </c>
      <c r="AK7" s="110">
        <v>2.6</v>
      </c>
      <c r="AL7" s="110">
        <v>-0.8</v>
      </c>
      <c r="AM7" s="110">
        <v>1.9</v>
      </c>
      <c r="AN7" s="110">
        <v>12.1</v>
      </c>
    </row>
    <row r="8" spans="1:42" x14ac:dyDescent="0.2">
      <c r="A8" s="3">
        <v>6</v>
      </c>
      <c r="B8" s="3" t="s">
        <v>414</v>
      </c>
      <c r="C8" s="3" t="s">
        <v>2698</v>
      </c>
      <c r="D8" s="105">
        <v>611</v>
      </c>
      <c r="E8" s="105">
        <v>76</v>
      </c>
      <c r="F8" s="106">
        <v>265</v>
      </c>
      <c r="G8" s="4">
        <v>32345</v>
      </c>
      <c r="H8" s="110">
        <f t="shared" ca="1" si="0"/>
        <v>32.299999999999997</v>
      </c>
      <c r="I8" s="3" t="s">
        <v>373</v>
      </c>
      <c r="J8" s="3">
        <v>13</v>
      </c>
      <c r="K8" s="109">
        <v>2008</v>
      </c>
      <c r="L8" s="109">
        <v>35</v>
      </c>
      <c r="M8" s="3" t="s">
        <v>2522</v>
      </c>
      <c r="N8" s="3" t="s">
        <v>279</v>
      </c>
      <c r="O8" s="3" t="s">
        <v>1917</v>
      </c>
      <c r="P8" s="22">
        <v>10375678</v>
      </c>
      <c r="Q8" s="22">
        <v>9881598</v>
      </c>
      <c r="R8" s="57">
        <v>9821842</v>
      </c>
      <c r="S8" s="51">
        <f>R8*1.9</f>
        <v>18661499.800000001</v>
      </c>
      <c r="T8" s="57"/>
      <c r="U8" s="22"/>
      <c r="W8" s="5" t="s">
        <v>238</v>
      </c>
      <c r="X8" s="107">
        <v>5</v>
      </c>
      <c r="Y8" s="107">
        <v>56</v>
      </c>
      <c r="Z8" s="41">
        <f>27/56</f>
        <v>0.48214285714285715</v>
      </c>
      <c r="AA8" s="110">
        <v>104</v>
      </c>
      <c r="AB8" s="110">
        <v>105.8</v>
      </c>
      <c r="AC8" s="110">
        <f t="shared" si="1"/>
        <v>-1.7999999999999972</v>
      </c>
      <c r="AD8" s="110">
        <v>22</v>
      </c>
      <c r="AE8" s="110">
        <v>20</v>
      </c>
      <c r="AF8" s="41">
        <v>0.68200000000000005</v>
      </c>
      <c r="AG8" s="110">
        <v>14.1</v>
      </c>
      <c r="AH8" s="110">
        <v>3</v>
      </c>
      <c r="AI8" s="110">
        <v>2.2999999999999998</v>
      </c>
      <c r="AJ8" s="41">
        <v>0.20399999999999999</v>
      </c>
      <c r="AK8" s="110">
        <v>1.1000000000000001</v>
      </c>
      <c r="AL8" s="110">
        <v>1.8</v>
      </c>
      <c r="AM8" s="110">
        <v>1.5</v>
      </c>
      <c r="AN8" s="110">
        <v>16.8</v>
      </c>
    </row>
    <row r="9" spans="1:42" x14ac:dyDescent="0.2">
      <c r="A9" s="3">
        <v>31</v>
      </c>
      <c r="B9" s="3" t="s">
        <v>428</v>
      </c>
      <c r="C9" s="3" t="s">
        <v>2703</v>
      </c>
      <c r="D9" s="105">
        <v>611</v>
      </c>
      <c r="E9" s="105">
        <v>76</v>
      </c>
      <c r="F9" s="106">
        <v>243</v>
      </c>
      <c r="G9" s="4">
        <v>35906</v>
      </c>
      <c r="H9" s="110">
        <f t="shared" ca="1" si="0"/>
        <v>22.6</v>
      </c>
      <c r="I9" s="3" t="s">
        <v>406</v>
      </c>
      <c r="J9" s="3">
        <v>4</v>
      </c>
      <c r="K9" s="109">
        <v>2017</v>
      </c>
      <c r="L9" s="109">
        <v>22</v>
      </c>
      <c r="M9" s="3" t="s">
        <v>429</v>
      </c>
      <c r="N9" s="3" t="s">
        <v>244</v>
      </c>
      <c r="O9" s="3" t="s">
        <v>1887</v>
      </c>
      <c r="P9" s="22">
        <v>3909902</v>
      </c>
      <c r="Q9" s="68">
        <f>P9*3</f>
        <v>11729706</v>
      </c>
      <c r="R9" s="212"/>
      <c r="S9" s="212"/>
      <c r="T9" s="213"/>
      <c r="U9" s="22"/>
      <c r="W9" s="5" t="s">
        <v>238</v>
      </c>
      <c r="X9" s="107">
        <v>5</v>
      </c>
      <c r="Y9" s="107">
        <v>64</v>
      </c>
      <c r="Z9" s="41">
        <f>30/64</f>
        <v>0.46875</v>
      </c>
      <c r="AA9" s="110">
        <v>109.4</v>
      </c>
      <c r="AB9" s="110">
        <v>108.9</v>
      </c>
      <c r="AC9" s="110">
        <f t="shared" si="1"/>
        <v>0.5</v>
      </c>
      <c r="AD9" s="110">
        <v>25.7</v>
      </c>
      <c r="AE9" s="110">
        <v>20.3</v>
      </c>
      <c r="AF9" s="41">
        <v>0.65800000000000003</v>
      </c>
      <c r="AG9" s="110">
        <v>15</v>
      </c>
      <c r="AH9" s="110">
        <v>4.3</v>
      </c>
      <c r="AI9" s="110">
        <v>2.8</v>
      </c>
      <c r="AJ9" s="41">
        <v>0.20699999999999999</v>
      </c>
      <c r="AK9" s="110">
        <v>1</v>
      </c>
      <c r="AL9" s="110">
        <v>1.1000000000000001</v>
      </c>
      <c r="AM9" s="110">
        <v>1.7</v>
      </c>
      <c r="AN9" s="110">
        <v>13.8</v>
      </c>
    </row>
    <row r="10" spans="1:42" x14ac:dyDescent="0.2">
      <c r="A10" s="3">
        <v>20</v>
      </c>
      <c r="B10" s="3" t="s">
        <v>1030</v>
      </c>
      <c r="C10" s="3" t="s">
        <v>2707</v>
      </c>
      <c r="D10" s="105">
        <v>64</v>
      </c>
      <c r="E10" s="105">
        <v>67</v>
      </c>
      <c r="F10" s="106">
        <v>190</v>
      </c>
      <c r="G10" s="4">
        <v>35502</v>
      </c>
      <c r="H10" s="110">
        <f t="shared" ca="1" si="0"/>
        <v>23.7</v>
      </c>
      <c r="I10" s="3" t="s">
        <v>1031</v>
      </c>
      <c r="J10" s="3">
        <v>3</v>
      </c>
      <c r="K10" s="109">
        <v>2018</v>
      </c>
      <c r="L10" s="109">
        <v>26</v>
      </c>
      <c r="M10" s="3" t="s">
        <v>2479</v>
      </c>
      <c r="N10" s="3" t="s">
        <v>1032</v>
      </c>
      <c r="O10" s="3" t="s">
        <v>1943</v>
      </c>
      <c r="P10" s="11">
        <v>2090040</v>
      </c>
      <c r="Q10" s="50">
        <v>3768342</v>
      </c>
      <c r="R10" s="49">
        <f>Q10*3</f>
        <v>11305026</v>
      </c>
      <c r="S10" s="12"/>
      <c r="T10" s="59"/>
      <c r="U10" s="59"/>
      <c r="V10"/>
      <c r="W10" t="s">
        <v>1033</v>
      </c>
      <c r="X10" s="69">
        <v>2</v>
      </c>
      <c r="Y10" s="69">
        <v>47</v>
      </c>
      <c r="Z10" s="65">
        <f>31/47</f>
        <v>0.65957446808510634</v>
      </c>
      <c r="AA10" s="119">
        <v>112.5</v>
      </c>
      <c r="AB10" s="119">
        <v>107.6</v>
      </c>
      <c r="AC10" s="119">
        <f t="shared" si="1"/>
        <v>4.9000000000000057</v>
      </c>
      <c r="AD10" s="119">
        <v>27.5</v>
      </c>
      <c r="AE10" s="119">
        <v>9.1999999999999993</v>
      </c>
      <c r="AF10" s="65">
        <v>0.59899999999999998</v>
      </c>
      <c r="AG10" s="119">
        <v>13.3</v>
      </c>
      <c r="AH10" s="119">
        <v>1.7</v>
      </c>
      <c r="AI10" s="119">
        <v>1</v>
      </c>
      <c r="AJ10" s="65">
        <v>0.1</v>
      </c>
      <c r="AK10" s="119">
        <v>-1.4</v>
      </c>
      <c r="AL10" s="119">
        <v>-0.2</v>
      </c>
      <c r="AM10" s="119">
        <v>0.1</v>
      </c>
      <c r="AN10" s="119">
        <v>5.2</v>
      </c>
      <c r="AO10"/>
      <c r="AP10"/>
    </row>
    <row r="11" spans="1:42" x14ac:dyDescent="0.2">
      <c r="A11" s="3">
        <v>9</v>
      </c>
      <c r="B11" s="3" t="s">
        <v>15</v>
      </c>
      <c r="C11" s="3" t="s">
        <v>2705</v>
      </c>
      <c r="D11" s="105">
        <v>67</v>
      </c>
      <c r="E11" s="105">
        <v>72</v>
      </c>
      <c r="F11" s="106">
        <v>220</v>
      </c>
      <c r="G11" s="4">
        <v>34828</v>
      </c>
      <c r="H11" s="110">
        <f t="shared" ca="1" si="0"/>
        <v>25.5</v>
      </c>
      <c r="I11" s="3" t="s">
        <v>445</v>
      </c>
      <c r="J11" s="3">
        <v>5</v>
      </c>
      <c r="K11" s="109">
        <v>2016</v>
      </c>
      <c r="L11" s="109">
        <v>24</v>
      </c>
      <c r="M11" s="3" t="s">
        <v>446</v>
      </c>
      <c r="N11" s="3" t="s">
        <v>276</v>
      </c>
      <c r="O11" s="159" t="s">
        <v>283</v>
      </c>
      <c r="P11" s="56">
        <v>1824003</v>
      </c>
      <c r="Q11" s="51">
        <v>1856061</v>
      </c>
      <c r="R11" s="22"/>
      <c r="S11" s="212"/>
      <c r="T11" s="213"/>
      <c r="U11" s="22"/>
      <c r="W11" s="3" t="s">
        <v>447</v>
      </c>
      <c r="X11" s="107">
        <v>3</v>
      </c>
      <c r="Y11" s="107">
        <v>39</v>
      </c>
      <c r="Z11" s="41">
        <f>15/39</f>
        <v>0.38461538461538464</v>
      </c>
      <c r="AA11" s="110">
        <v>99.9</v>
      </c>
      <c r="AB11" s="110">
        <v>103.8</v>
      </c>
      <c r="AC11" s="110">
        <f t="shared" si="1"/>
        <v>-3.8999999999999915</v>
      </c>
      <c r="AD11" s="110">
        <v>17.2</v>
      </c>
      <c r="AE11" s="110">
        <v>8.9</v>
      </c>
      <c r="AF11" s="41">
        <v>0.56299999999999994</v>
      </c>
      <c r="AG11" s="110">
        <v>15.7</v>
      </c>
      <c r="AH11" s="110">
        <v>0.4</v>
      </c>
      <c r="AI11" s="110">
        <v>0.6</v>
      </c>
      <c r="AJ11" s="41">
        <v>6.9000000000000006E-2</v>
      </c>
      <c r="AK11" s="110">
        <v>-3</v>
      </c>
      <c r="AL11" s="110">
        <v>-0.2</v>
      </c>
      <c r="AM11" s="110">
        <v>-0.2</v>
      </c>
      <c r="AN11" s="110">
        <v>5.5</v>
      </c>
    </row>
    <row r="12" spans="1:42" x14ac:dyDescent="0.2">
      <c r="A12" s="20" t="s">
        <v>229</v>
      </c>
      <c r="B12" s="3" t="s">
        <v>433</v>
      </c>
      <c r="C12" s="3" t="s">
        <v>2709</v>
      </c>
      <c r="D12" s="105">
        <v>69</v>
      </c>
      <c r="E12" s="105">
        <v>72</v>
      </c>
      <c r="F12" s="106">
        <v>228</v>
      </c>
      <c r="G12" s="4">
        <v>35831</v>
      </c>
      <c r="H12" s="110">
        <f t="shared" ca="1" si="0"/>
        <v>22.8</v>
      </c>
      <c r="I12" s="3" t="s">
        <v>434</v>
      </c>
      <c r="J12" s="3">
        <v>3</v>
      </c>
      <c r="K12" s="109">
        <v>2018</v>
      </c>
      <c r="L12" s="109">
        <v>40</v>
      </c>
      <c r="M12" s="3" t="s">
        <v>435</v>
      </c>
      <c r="N12" s="3" t="s">
        <v>279</v>
      </c>
      <c r="O12" s="3" t="s">
        <v>1918</v>
      </c>
      <c r="P12" s="22">
        <v>1780152</v>
      </c>
      <c r="Q12" s="58">
        <v>1861068</v>
      </c>
      <c r="R12" s="51">
        <v>1898973</v>
      </c>
      <c r="S12" s="212"/>
      <c r="T12" s="213"/>
      <c r="U12" s="22"/>
      <c r="W12" s="3" t="s">
        <v>436</v>
      </c>
      <c r="X12" s="107">
        <v>4</v>
      </c>
      <c r="Y12" s="107">
        <v>39</v>
      </c>
      <c r="Z12" s="41">
        <f>13/39</f>
        <v>0.33333333333333331</v>
      </c>
      <c r="AA12" s="110">
        <v>99.5</v>
      </c>
      <c r="AB12" s="110">
        <v>101.7</v>
      </c>
      <c r="AC12" s="110">
        <f t="shared" si="1"/>
        <v>-2.2000000000000028</v>
      </c>
      <c r="AD12" s="110">
        <v>12.8</v>
      </c>
      <c r="AE12" s="110">
        <v>8.4</v>
      </c>
      <c r="AF12" s="41">
        <v>0.55400000000000005</v>
      </c>
      <c r="AG12" s="110">
        <v>15.1</v>
      </c>
      <c r="AH12" s="110">
        <v>-0.1</v>
      </c>
      <c r="AI12" s="110">
        <v>0.6</v>
      </c>
      <c r="AJ12" s="41">
        <v>4.8000000000000001E-2</v>
      </c>
      <c r="AK12" s="110">
        <v>-3.9</v>
      </c>
      <c r="AL12" s="110">
        <v>0.9</v>
      </c>
      <c r="AM12" s="110">
        <v>-0.1</v>
      </c>
      <c r="AN12" s="110">
        <v>6.4</v>
      </c>
    </row>
    <row r="13" spans="1:42" x14ac:dyDescent="0.2">
      <c r="A13" s="3">
        <v>6</v>
      </c>
      <c r="B13" s="3" t="s">
        <v>53</v>
      </c>
      <c r="C13" s="3" t="s">
        <v>2704</v>
      </c>
      <c r="D13" s="105">
        <v>64</v>
      </c>
      <c r="E13" s="105">
        <v>69</v>
      </c>
      <c r="F13" s="106">
        <v>202</v>
      </c>
      <c r="G13" s="4">
        <v>35292</v>
      </c>
      <c r="H13" s="110">
        <f t="shared" ca="1" si="0"/>
        <v>24.2</v>
      </c>
      <c r="I13" s="3" t="s">
        <v>642</v>
      </c>
      <c r="J13" s="3">
        <v>3</v>
      </c>
      <c r="K13" s="109">
        <v>2018</v>
      </c>
      <c r="L13" s="109">
        <v>42</v>
      </c>
      <c r="M13" s="3" t="s">
        <v>2477</v>
      </c>
      <c r="N13" s="3" t="s">
        <v>2174</v>
      </c>
      <c r="O13" s="3" t="s">
        <v>1955</v>
      </c>
      <c r="P13" s="16">
        <v>1663861</v>
      </c>
      <c r="Q13" s="49">
        <v>2122822</v>
      </c>
      <c r="T13" s="25"/>
      <c r="U13" s="59"/>
      <c r="V13" s="59"/>
      <c r="W13" s="59" t="s">
        <v>810</v>
      </c>
      <c r="X13" s="69">
        <v>2</v>
      </c>
      <c r="Y13" s="69">
        <v>58</v>
      </c>
      <c r="Z13" s="65">
        <f>18/58</f>
        <v>0.31034482758620691</v>
      </c>
      <c r="AA13" s="119">
        <v>106</v>
      </c>
      <c r="AB13" s="119">
        <v>110.4</v>
      </c>
      <c r="AC13" s="119">
        <f t="shared" si="1"/>
        <v>-4.4000000000000057</v>
      </c>
      <c r="AD13" s="119">
        <v>28.2</v>
      </c>
      <c r="AE13" s="119">
        <v>11.9</v>
      </c>
      <c r="AF13" s="65">
        <v>0.51800000000000002</v>
      </c>
      <c r="AG13" s="119">
        <v>16</v>
      </c>
      <c r="AH13" s="119">
        <v>0.8</v>
      </c>
      <c r="AI13" s="119">
        <v>1.4</v>
      </c>
      <c r="AJ13" s="65">
        <v>6.2E-2</v>
      </c>
      <c r="AK13" s="119">
        <v>-2</v>
      </c>
      <c r="AL13" s="119">
        <v>0.8</v>
      </c>
      <c r="AM13" s="119">
        <v>0.3</v>
      </c>
      <c r="AN13" s="119">
        <v>8.3000000000000007</v>
      </c>
    </row>
    <row r="14" spans="1:42" x14ac:dyDescent="0.2">
      <c r="B14" s="3" t="s">
        <v>67</v>
      </c>
      <c r="C14" s="3" t="s">
        <v>2696</v>
      </c>
      <c r="D14" s="105">
        <v>68</v>
      </c>
      <c r="E14" s="105">
        <v>71</v>
      </c>
      <c r="F14" s="106">
        <v>235</v>
      </c>
      <c r="G14" s="4">
        <v>31652</v>
      </c>
      <c r="H14" s="110">
        <f t="shared" ca="1" si="0"/>
        <v>34.200000000000003</v>
      </c>
      <c r="I14" s="3" t="s">
        <v>529</v>
      </c>
      <c r="J14" s="3">
        <v>13</v>
      </c>
      <c r="K14" s="109">
        <v>2007</v>
      </c>
      <c r="L14" s="109">
        <v>5</v>
      </c>
      <c r="M14" s="3" t="s">
        <v>2663</v>
      </c>
      <c r="N14" s="3" t="s">
        <v>276</v>
      </c>
      <c r="O14" s="3" t="s">
        <v>2438</v>
      </c>
      <c r="P14" s="16">
        <v>1620564</v>
      </c>
      <c r="Q14" s="234"/>
      <c r="U14"/>
      <c r="V14"/>
      <c r="W14" s="132" t="s">
        <v>238</v>
      </c>
      <c r="X14" s="69">
        <v>5</v>
      </c>
      <c r="Y14" s="69">
        <v>10</v>
      </c>
      <c r="Z14" s="65">
        <f>6/10</f>
        <v>0.6</v>
      </c>
      <c r="AA14" s="119">
        <v>120.6</v>
      </c>
      <c r="AB14" s="119">
        <v>108.1</v>
      </c>
      <c r="AC14" s="119">
        <f t="shared" si="1"/>
        <v>12.5</v>
      </c>
      <c r="AD14" s="119">
        <v>20.100000000000001</v>
      </c>
      <c r="AE14" s="119">
        <v>20</v>
      </c>
      <c r="AF14" s="65">
        <v>0.73899999999999999</v>
      </c>
      <c r="AG14" s="119">
        <v>16.3</v>
      </c>
      <c r="AH14" s="119">
        <v>0.6</v>
      </c>
      <c r="AI14" s="119">
        <v>0.2</v>
      </c>
      <c r="AJ14" s="65">
        <v>0.20100000000000001</v>
      </c>
      <c r="AK14" s="119">
        <v>3.5</v>
      </c>
      <c r="AL14" s="119">
        <v>0.4</v>
      </c>
      <c r="AM14" s="119">
        <v>0.3</v>
      </c>
      <c r="AN14" s="119">
        <v>11.6</v>
      </c>
    </row>
    <row r="15" spans="1:42" x14ac:dyDescent="0.2">
      <c r="A15" s="3">
        <v>8</v>
      </c>
      <c r="B15" s="3" t="s">
        <v>1842</v>
      </c>
      <c r="C15" s="3" t="s">
        <v>2711</v>
      </c>
      <c r="D15" s="105">
        <v>63</v>
      </c>
      <c r="E15" s="105">
        <v>66</v>
      </c>
      <c r="F15" s="106">
        <v>186</v>
      </c>
      <c r="G15" s="4">
        <v>33731</v>
      </c>
      <c r="H15" s="110">
        <f t="shared" ca="1" si="0"/>
        <v>28.5</v>
      </c>
      <c r="I15" s="3" t="s">
        <v>1009</v>
      </c>
      <c r="J15" s="3">
        <v>7</v>
      </c>
      <c r="K15" s="109">
        <v>2014</v>
      </c>
      <c r="L15" s="109"/>
      <c r="M15" s="3" t="s">
        <v>1848</v>
      </c>
      <c r="N15" s="3" t="s">
        <v>276</v>
      </c>
      <c r="O15" s="3" t="s">
        <v>2438</v>
      </c>
      <c r="P15" s="16">
        <v>1620564</v>
      </c>
      <c r="Q15" s="234"/>
      <c r="R15" s="22"/>
      <c r="S15" s="212"/>
      <c r="T15" s="213"/>
      <c r="U15" s="22"/>
      <c r="W15" s="3" t="s">
        <v>1843</v>
      </c>
      <c r="X15" s="107">
        <v>2</v>
      </c>
      <c r="Y15" s="107">
        <v>31</v>
      </c>
      <c r="Z15" s="41">
        <f>11/31</f>
        <v>0.35483870967741937</v>
      </c>
      <c r="AA15" s="110">
        <v>99.1</v>
      </c>
      <c r="AB15" s="110">
        <v>107.2</v>
      </c>
      <c r="AC15" s="110">
        <f t="shared" si="1"/>
        <v>-8.1000000000000085</v>
      </c>
      <c r="AD15" s="110">
        <v>16.600000000000001</v>
      </c>
      <c r="AE15" s="110">
        <v>8.1</v>
      </c>
      <c r="AF15" s="41">
        <v>0.48099999999999998</v>
      </c>
      <c r="AG15" s="110">
        <v>17.3</v>
      </c>
      <c r="AH15" s="110">
        <v>-0.2</v>
      </c>
      <c r="AI15" s="110">
        <v>0.3</v>
      </c>
      <c r="AJ15" s="41">
        <v>1.0999999999999999E-2</v>
      </c>
      <c r="AK15" s="110">
        <v>-3</v>
      </c>
      <c r="AL15" s="110">
        <v>-0.7</v>
      </c>
      <c r="AM15" s="110">
        <v>-0.2</v>
      </c>
      <c r="AN15" s="110">
        <v>5.6</v>
      </c>
    </row>
    <row r="16" spans="1:42" x14ac:dyDescent="0.2">
      <c r="A16" s="3">
        <v>33</v>
      </c>
      <c r="B16" s="3" t="s">
        <v>441</v>
      </c>
      <c r="C16" s="3" t="s">
        <v>2710</v>
      </c>
      <c r="D16" s="105">
        <v>611</v>
      </c>
      <c r="E16" s="105">
        <v>73</v>
      </c>
      <c r="F16" s="106">
        <v>215</v>
      </c>
      <c r="G16" s="4">
        <v>36267</v>
      </c>
      <c r="H16" s="110">
        <f t="shared" ca="1" si="0"/>
        <v>21.6</v>
      </c>
      <c r="I16" s="3" t="s">
        <v>221</v>
      </c>
      <c r="J16" s="3">
        <v>2</v>
      </c>
      <c r="K16" s="109">
        <v>2019</v>
      </c>
      <c r="L16" s="109">
        <v>31</v>
      </c>
      <c r="M16" s="3" t="s">
        <v>442</v>
      </c>
      <c r="N16" s="3" t="s">
        <v>279</v>
      </c>
      <c r="O16" s="3" t="s">
        <v>750</v>
      </c>
      <c r="P16" s="22">
        <v>1517981</v>
      </c>
      <c r="Q16" s="22">
        <v>1782621</v>
      </c>
      <c r="R16" s="68">
        <v>2228276</v>
      </c>
      <c r="S16" s="212"/>
      <c r="T16" s="213"/>
      <c r="U16" s="22"/>
      <c r="W16" s="3" t="s">
        <v>444</v>
      </c>
      <c r="X16" s="107">
        <v>5</v>
      </c>
      <c r="Y16" s="107">
        <v>15</v>
      </c>
      <c r="Z16" s="41">
        <f>5/15</f>
        <v>0.33333333333333331</v>
      </c>
      <c r="AA16" s="110">
        <v>94.1</v>
      </c>
      <c r="AB16" s="110">
        <v>109.7</v>
      </c>
      <c r="AC16" s="110">
        <f t="shared" si="1"/>
        <v>-15.600000000000009</v>
      </c>
      <c r="AD16" s="110">
        <v>12.5</v>
      </c>
      <c r="AE16" s="110">
        <v>14.9</v>
      </c>
      <c r="AF16" s="41">
        <v>0.57699999999999996</v>
      </c>
      <c r="AG16" s="110">
        <v>14.8</v>
      </c>
      <c r="AH16" s="110">
        <v>0.3</v>
      </c>
      <c r="AI16" s="110">
        <v>0.2</v>
      </c>
      <c r="AJ16" s="41">
        <v>0.124</v>
      </c>
      <c r="AK16" s="110">
        <v>-0.7</v>
      </c>
      <c r="AL16" s="110">
        <v>0</v>
      </c>
      <c r="AM16" s="110">
        <v>0.1</v>
      </c>
      <c r="AN16" s="110">
        <v>9.1999999999999993</v>
      </c>
    </row>
    <row r="17" spans="1:40" x14ac:dyDescent="0.2">
      <c r="A17" s="3">
        <v>0</v>
      </c>
      <c r="B17" s="3" t="s">
        <v>451</v>
      </c>
      <c r="C17" s="3" t="s">
        <v>2708</v>
      </c>
      <c r="D17" s="105">
        <v>62</v>
      </c>
      <c r="E17" s="105">
        <v>69</v>
      </c>
      <c r="F17" s="106">
        <v>185</v>
      </c>
      <c r="G17" s="4">
        <v>35235</v>
      </c>
      <c r="H17" s="110">
        <f t="shared" ca="1" si="0"/>
        <v>24.4</v>
      </c>
      <c r="I17" s="3" t="s">
        <v>223</v>
      </c>
      <c r="J17" s="3">
        <v>2</v>
      </c>
      <c r="K17" s="109">
        <v>2019</v>
      </c>
      <c r="L17" s="115"/>
      <c r="M17" s="3" t="s">
        <v>452</v>
      </c>
      <c r="N17" s="3" t="s">
        <v>288</v>
      </c>
      <c r="O17" s="3" t="s">
        <v>2552</v>
      </c>
      <c r="P17" s="57" t="s">
        <v>288</v>
      </c>
      <c r="Q17" s="215"/>
      <c r="R17" s="212"/>
      <c r="S17" s="212"/>
      <c r="T17" s="213"/>
      <c r="U17" s="22"/>
      <c r="W17" s="3" t="s">
        <v>453</v>
      </c>
      <c r="X17" s="107">
        <v>2</v>
      </c>
      <c r="Y17" s="107">
        <v>3</v>
      </c>
      <c r="Z17" s="41">
        <f>3/3</f>
        <v>1</v>
      </c>
      <c r="AA17" s="110">
        <v>105.9</v>
      </c>
      <c r="AB17" s="110">
        <v>100</v>
      </c>
      <c r="AC17" s="110">
        <f t="shared" si="1"/>
        <v>5.9000000000000057</v>
      </c>
      <c r="AD17" s="110">
        <v>5.3</v>
      </c>
      <c r="AE17" s="110">
        <v>5.9</v>
      </c>
      <c r="AF17" s="41">
        <v>0.2</v>
      </c>
      <c r="AG17" s="110">
        <v>13.1</v>
      </c>
      <c r="AH17" s="110">
        <v>0</v>
      </c>
      <c r="AI17" s="110">
        <v>0</v>
      </c>
      <c r="AJ17" s="41">
        <v>-0.04</v>
      </c>
      <c r="AK17" s="110">
        <v>-6.6</v>
      </c>
      <c r="AL17" s="110">
        <v>3.6</v>
      </c>
      <c r="AM17" s="110">
        <v>0</v>
      </c>
      <c r="AN17" s="110">
        <v>5.6</v>
      </c>
    </row>
    <row r="18" spans="1:40" x14ac:dyDescent="0.2">
      <c r="B18" s="3" t="s">
        <v>290</v>
      </c>
      <c r="D18" s="105"/>
      <c r="E18" s="105"/>
      <c r="F18" s="106"/>
      <c r="G18" s="4"/>
      <c r="H18" s="110"/>
      <c r="K18" s="109"/>
      <c r="L18" s="115"/>
      <c r="O18" s="159"/>
      <c r="P18" s="57"/>
      <c r="Q18" s="213"/>
      <c r="R18" s="212"/>
      <c r="S18" s="212"/>
      <c r="T18" s="213"/>
      <c r="U18" s="22"/>
      <c r="X18" s="107"/>
      <c r="Y18" s="107"/>
      <c r="Z18" s="41"/>
      <c r="AA18" s="110"/>
      <c r="AB18" s="110"/>
      <c r="AC18" s="110"/>
      <c r="AD18" s="110"/>
      <c r="AE18" s="110"/>
      <c r="AF18" s="41"/>
      <c r="AG18" s="110"/>
      <c r="AH18" s="110"/>
      <c r="AI18" s="110"/>
      <c r="AJ18" s="41"/>
      <c r="AK18" s="110"/>
      <c r="AL18" s="110"/>
      <c r="AM18" s="110"/>
      <c r="AN18" s="110"/>
    </row>
    <row r="19" spans="1:40" x14ac:dyDescent="0.2">
      <c r="A19"/>
      <c r="B19" s="70" t="s">
        <v>2376</v>
      </c>
      <c r="D19" s="105">
        <v>610</v>
      </c>
      <c r="E19" s="105">
        <v>71</v>
      </c>
      <c r="F19" s="106">
        <v>250</v>
      </c>
      <c r="G19" s="62">
        <v>36606</v>
      </c>
      <c r="H19" s="110">
        <f ca="1">ROUNDDOWN(YEARFRAC($G$28,G19),1)</f>
        <v>20.6</v>
      </c>
      <c r="I19" s="3" t="s">
        <v>1680</v>
      </c>
      <c r="J19" s="59">
        <v>1</v>
      </c>
      <c r="K19" s="59">
        <v>2020</v>
      </c>
      <c r="L19" s="59">
        <v>57</v>
      </c>
      <c r="M19" s="78" t="s">
        <v>2377</v>
      </c>
      <c r="N19" s="75"/>
      <c r="O19" s="75"/>
      <c r="P19" s="180">
        <v>898310</v>
      </c>
      <c r="Q19" s="22"/>
      <c r="R19" s="22"/>
      <c r="S19" s="22"/>
      <c r="T19" s="22"/>
      <c r="U19" s="22"/>
    </row>
    <row r="20" spans="1:40" x14ac:dyDescent="0.2">
      <c r="D20" s="105"/>
      <c r="E20" s="105"/>
      <c r="F20" s="106"/>
      <c r="H20" s="110"/>
      <c r="K20" s="54"/>
      <c r="L20" s="109"/>
      <c r="M20" s="112"/>
      <c r="N20" s="54"/>
      <c r="O20" s="178"/>
      <c r="P20" s="237"/>
      <c r="Q20" s="237"/>
      <c r="R20" s="237"/>
      <c r="S20" s="237"/>
      <c r="T20" s="22"/>
      <c r="U20" s="22"/>
    </row>
    <row r="21" spans="1:40" x14ac:dyDescent="0.2">
      <c r="A21" s="3">
        <v>21</v>
      </c>
      <c r="B21" s="3" t="s">
        <v>16</v>
      </c>
      <c r="D21" s="105">
        <v>68</v>
      </c>
      <c r="E21" s="105">
        <v>611</v>
      </c>
      <c r="F21" s="106">
        <v>235</v>
      </c>
      <c r="G21" s="4">
        <v>31907</v>
      </c>
      <c r="H21" s="110">
        <f ca="1">ROUNDDOWN(YEARFRAC($G$28,G21),1)</f>
        <v>33.5</v>
      </c>
      <c r="I21" s="3" t="s">
        <v>437</v>
      </c>
      <c r="J21" s="3">
        <v>14</v>
      </c>
      <c r="K21" s="109">
        <v>2007</v>
      </c>
      <c r="L21" s="109">
        <v>23</v>
      </c>
      <c r="M21" s="3" t="s">
        <v>418</v>
      </c>
      <c r="P21" s="51">
        <v>1620564</v>
      </c>
      <c r="Q21" s="213"/>
      <c r="R21" s="212"/>
      <c r="S21" s="212"/>
      <c r="T21" s="213"/>
      <c r="U21" s="22"/>
      <c r="W21" s="3" t="s">
        <v>438</v>
      </c>
      <c r="X21" s="107">
        <v>4</v>
      </c>
      <c r="Y21" s="107">
        <v>35</v>
      </c>
      <c r="Z21" s="41">
        <f>16/35</f>
        <v>0.45714285714285713</v>
      </c>
      <c r="AA21" s="110">
        <v>101.7</v>
      </c>
      <c r="AB21" s="110">
        <v>108.2</v>
      </c>
      <c r="AC21" s="110">
        <f t="shared" ref="AC21:AC23" si="3">AA21-AB21</f>
        <v>-6.5</v>
      </c>
      <c r="AD21" s="110">
        <v>21</v>
      </c>
      <c r="AE21" s="110">
        <v>7.4</v>
      </c>
      <c r="AF21" s="41">
        <v>0.53100000000000003</v>
      </c>
      <c r="AG21" s="110">
        <v>13</v>
      </c>
      <c r="AH21" s="110">
        <v>-0.1</v>
      </c>
      <c r="AI21" s="110">
        <v>0.9</v>
      </c>
      <c r="AJ21" s="41">
        <v>0.05</v>
      </c>
      <c r="AK21" s="110">
        <v>-3.9</v>
      </c>
      <c r="AL21" s="110">
        <v>1</v>
      </c>
      <c r="AM21" s="110">
        <v>-0.2</v>
      </c>
      <c r="AN21" s="110">
        <v>6.5</v>
      </c>
    </row>
    <row r="22" spans="1:40" x14ac:dyDescent="0.2">
      <c r="A22" s="3">
        <v>4</v>
      </c>
      <c r="B22" s="3" t="s">
        <v>448</v>
      </c>
      <c r="D22" s="105">
        <v>511</v>
      </c>
      <c r="E22" s="105">
        <v>61</v>
      </c>
      <c r="F22" s="106">
        <v>175</v>
      </c>
      <c r="G22" s="4">
        <v>35028</v>
      </c>
      <c r="H22" s="110">
        <f t="shared" ref="H22" ca="1" si="4">ROUNDDOWN(YEARFRAC($G$28,G22),1)</f>
        <v>25</v>
      </c>
      <c r="I22" s="3" t="s">
        <v>449</v>
      </c>
      <c r="J22" s="3">
        <v>3</v>
      </c>
      <c r="K22" s="109">
        <v>2018</v>
      </c>
      <c r="L22" s="115"/>
      <c r="M22" s="3" t="s">
        <v>450</v>
      </c>
      <c r="P22" s="227">
        <v>1416852</v>
      </c>
      <c r="Q22" s="213"/>
      <c r="R22" s="212"/>
      <c r="S22" s="212"/>
      <c r="T22" s="213"/>
      <c r="U22" s="22"/>
      <c r="W22" s="5" t="s">
        <v>284</v>
      </c>
      <c r="X22" s="107">
        <v>1</v>
      </c>
      <c r="Y22" s="107">
        <v>11</v>
      </c>
      <c r="Z22" s="41">
        <f>7/11</f>
        <v>0.63636363636363635</v>
      </c>
      <c r="AA22" s="110">
        <v>105.4</v>
      </c>
      <c r="AB22" s="110">
        <v>101.8</v>
      </c>
      <c r="AC22" s="110">
        <f t="shared" si="3"/>
        <v>3.6000000000000085</v>
      </c>
      <c r="AD22" s="110">
        <v>11.5</v>
      </c>
      <c r="AE22" s="110">
        <v>16.5</v>
      </c>
      <c r="AF22" s="41">
        <v>0.621</v>
      </c>
      <c r="AG22" s="110">
        <v>17.899999999999999</v>
      </c>
      <c r="AH22" s="110">
        <v>0.3</v>
      </c>
      <c r="AI22" s="110">
        <v>0.1</v>
      </c>
      <c r="AJ22" s="41">
        <v>0.154</v>
      </c>
      <c r="AK22" s="110">
        <v>1.8</v>
      </c>
      <c r="AL22" s="110">
        <v>1.1000000000000001</v>
      </c>
      <c r="AM22" s="110">
        <v>0.2</v>
      </c>
      <c r="AN22" s="110">
        <v>12.2</v>
      </c>
    </row>
    <row r="23" spans="1:40" x14ac:dyDescent="0.2">
      <c r="A23" s="3">
        <v>10</v>
      </c>
      <c r="B23" s="3" t="s">
        <v>1862</v>
      </c>
      <c r="D23" s="105">
        <v>65</v>
      </c>
      <c r="E23" s="105">
        <v>611</v>
      </c>
      <c r="F23" s="106">
        <v>231</v>
      </c>
      <c r="G23" s="4">
        <v>34292</v>
      </c>
      <c r="H23" s="110">
        <f ca="1">ROUNDDOWN(YEARFRAC($G$28,G23),1)</f>
        <v>27</v>
      </c>
      <c r="I23" s="3" t="s">
        <v>242</v>
      </c>
      <c r="J23" s="3">
        <v>6</v>
      </c>
      <c r="K23" s="109">
        <v>2015</v>
      </c>
      <c r="L23" s="109">
        <v>21</v>
      </c>
      <c r="M23" s="3" t="s">
        <v>1908</v>
      </c>
      <c r="P23" s="51">
        <v>1620564</v>
      </c>
      <c r="Q23" s="57"/>
      <c r="R23" s="22"/>
      <c r="S23" s="212"/>
      <c r="T23" s="213"/>
      <c r="U23" s="22"/>
      <c r="W23" s="3" t="s">
        <v>1863</v>
      </c>
      <c r="X23" s="107">
        <v>3</v>
      </c>
      <c r="Y23" s="107">
        <v>3</v>
      </c>
      <c r="Z23" s="41">
        <f>2/3</f>
        <v>0.66666666666666663</v>
      </c>
      <c r="AA23" s="110">
        <v>69.2</v>
      </c>
      <c r="AB23" s="110">
        <v>94.6</v>
      </c>
      <c r="AC23" s="110">
        <f t="shared" si="3"/>
        <v>-25.399999999999991</v>
      </c>
      <c r="AD23" s="110">
        <v>5.6</v>
      </c>
      <c r="AE23" s="110">
        <v>-3.8</v>
      </c>
      <c r="AF23" s="41">
        <v>0.218</v>
      </c>
      <c r="AG23" s="110">
        <v>16.899999999999999</v>
      </c>
      <c r="AH23" s="110">
        <v>-0.1</v>
      </c>
      <c r="AI23" s="110">
        <v>0</v>
      </c>
      <c r="AJ23" s="41">
        <v>-0.16700000000000001</v>
      </c>
      <c r="AK23" s="110">
        <v>-12.8</v>
      </c>
      <c r="AL23" s="110">
        <v>-2.2999999999999998</v>
      </c>
      <c r="AM23" s="110">
        <v>-0.1</v>
      </c>
      <c r="AN23" s="110">
        <v>-4.7</v>
      </c>
    </row>
    <row r="24" spans="1:40" x14ac:dyDescent="0.2">
      <c r="A24" s="3">
        <v>45</v>
      </c>
      <c r="B24" s="3" t="s">
        <v>1905</v>
      </c>
      <c r="D24" s="105">
        <v>69</v>
      </c>
      <c r="E24" s="105">
        <v>72</v>
      </c>
      <c r="F24" s="106">
        <v>229</v>
      </c>
      <c r="G24" s="4">
        <v>35649</v>
      </c>
      <c r="H24" s="110">
        <f ca="1">ROUNDDOWN(YEARFRAC($G$28,G24),1)</f>
        <v>23.3</v>
      </c>
      <c r="I24" s="3" t="s">
        <v>617</v>
      </c>
      <c r="J24" s="3">
        <v>2</v>
      </c>
      <c r="K24" s="54">
        <v>2019</v>
      </c>
      <c r="L24" s="109"/>
      <c r="M24" s="112" t="s">
        <v>1910</v>
      </c>
      <c r="P24" s="51">
        <v>1620564</v>
      </c>
      <c r="Q24" s="22"/>
      <c r="R24" s="22"/>
      <c r="S24" s="22"/>
      <c r="T24" s="22"/>
      <c r="U24" s="22"/>
    </row>
    <row r="25" spans="1:40" x14ac:dyDescent="0.2">
      <c r="A25" s="3">
        <v>42</v>
      </c>
      <c r="B25" s="3" t="s">
        <v>1906</v>
      </c>
      <c r="D25" s="105">
        <v>68</v>
      </c>
      <c r="E25" s="105">
        <v>73</v>
      </c>
      <c r="F25" s="106">
        <v>225</v>
      </c>
      <c r="G25" s="4">
        <v>32257</v>
      </c>
      <c r="H25" s="110">
        <f ca="1">ROUNDDOWN(YEARFRAC($G$28,G25),1)</f>
        <v>32.5</v>
      </c>
      <c r="I25" s="3" t="s">
        <v>253</v>
      </c>
      <c r="J25" s="3">
        <v>10</v>
      </c>
      <c r="K25" s="54">
        <v>2010</v>
      </c>
      <c r="L25" s="109"/>
      <c r="M25" s="112" t="s">
        <v>1909</v>
      </c>
      <c r="P25" s="51">
        <v>1620564</v>
      </c>
      <c r="Q25" s="22"/>
      <c r="R25" s="22"/>
      <c r="S25" s="22"/>
      <c r="T25" s="22"/>
      <c r="U25" s="22"/>
    </row>
    <row r="26" spans="1:40" x14ac:dyDescent="0.2">
      <c r="A26" s="3">
        <v>1</v>
      </c>
      <c r="B26" s="3" t="s">
        <v>1907</v>
      </c>
      <c r="D26" s="105">
        <v>65</v>
      </c>
      <c r="E26" s="105">
        <v>610</v>
      </c>
      <c r="F26" s="106">
        <v>200</v>
      </c>
      <c r="G26" s="4">
        <v>29300</v>
      </c>
      <c r="H26" s="110">
        <f ca="1">ROUNDDOWN(YEARFRAC($G$28,G26),1)</f>
        <v>40.6</v>
      </c>
      <c r="I26" s="3" t="s">
        <v>425</v>
      </c>
      <c r="J26" s="3">
        <v>21</v>
      </c>
      <c r="K26" s="54">
        <v>2000</v>
      </c>
      <c r="L26" s="109">
        <v>8</v>
      </c>
      <c r="M26" s="112" t="s">
        <v>1911</v>
      </c>
      <c r="P26" s="51">
        <v>1620564</v>
      </c>
      <c r="Q26" s="22"/>
      <c r="R26" s="22"/>
      <c r="S26" s="22"/>
      <c r="T26" s="22"/>
      <c r="U26" s="22"/>
    </row>
    <row r="27" spans="1:40" x14ac:dyDescent="0.2">
      <c r="D27" s="105"/>
      <c r="E27" s="105"/>
      <c r="F27" s="106"/>
      <c r="H27" s="110"/>
      <c r="K27" s="54"/>
      <c r="L27" s="109"/>
      <c r="M27" s="112"/>
      <c r="N27" s="54"/>
      <c r="O27" s="178"/>
      <c r="P27" s="179"/>
      <c r="Q27" s="22"/>
      <c r="R27" s="22"/>
      <c r="S27" s="22"/>
      <c r="T27" s="22"/>
      <c r="U27" s="22"/>
    </row>
    <row r="28" spans="1:40" ht="17" x14ac:dyDescent="0.2">
      <c r="E28" s="4"/>
      <c r="F28" s="36"/>
      <c r="G28" s="4">
        <f ca="1">TODAY()</f>
        <v>44162</v>
      </c>
      <c r="H28" s="36">
        <f ca="1">AVERAGE(H2:H17)</f>
        <v>26.881249999999998</v>
      </c>
      <c r="J28" s="36">
        <f>AVERAGE(J2:J17)</f>
        <v>6.4375</v>
      </c>
      <c r="K28" s="54"/>
      <c r="L28" s="182"/>
      <c r="M28" s="54"/>
      <c r="N28" s="54"/>
      <c r="O28" s="178"/>
      <c r="P28" s="216"/>
      <c r="Q28" s="22"/>
      <c r="R28" s="22"/>
      <c r="S28" s="22"/>
      <c r="T28" s="22"/>
      <c r="U28" s="22"/>
    </row>
    <row r="29" spans="1:40" ht="17" x14ac:dyDescent="0.2">
      <c r="E29" s="4"/>
      <c r="F29" s="36"/>
      <c r="G29" s="4"/>
      <c r="H29" s="36">
        <f ca="1">MEDIAN(H2:H17)</f>
        <v>26.4</v>
      </c>
      <c r="J29" s="36">
        <f>MEDIAN(J2:J17)</f>
        <v>5</v>
      </c>
      <c r="K29" s="54"/>
      <c r="L29" s="182"/>
      <c r="M29" s="54"/>
      <c r="N29" s="54"/>
      <c r="O29" s="178"/>
      <c r="P29" s="216"/>
      <c r="Q29" s="22"/>
      <c r="R29" s="22"/>
      <c r="S29" s="22"/>
      <c r="T29" s="22"/>
      <c r="U29" s="22"/>
    </row>
    <row r="30" spans="1:40" x14ac:dyDescent="0.2">
      <c r="B30" s="5" t="s">
        <v>1985</v>
      </c>
      <c r="K30" s="57"/>
      <c r="L30" s="57"/>
      <c r="M30" s="54"/>
      <c r="N30" s="54"/>
      <c r="O30" s="16"/>
      <c r="P30" s="22">
        <f>SUM(P2:P17)-P11</f>
        <v>154127223</v>
      </c>
      <c r="Q30" s="22" t="s">
        <v>2721</v>
      </c>
      <c r="R30" s="22"/>
      <c r="S30" s="22"/>
      <c r="T30" s="22"/>
      <c r="U30" s="22"/>
    </row>
    <row r="31" spans="1:40" x14ac:dyDescent="0.2">
      <c r="B31" s="3" t="s">
        <v>1876</v>
      </c>
      <c r="C31" s="3">
        <v>14</v>
      </c>
      <c r="K31" s="57"/>
      <c r="L31" s="57"/>
      <c r="M31" s="54"/>
      <c r="N31" s="54"/>
      <c r="O31" s="54"/>
      <c r="P31" s="217">
        <f>SUM(P2:P17)</f>
        <v>155951226</v>
      </c>
      <c r="Q31" s="22" t="s">
        <v>2720</v>
      </c>
      <c r="R31" s="22"/>
      <c r="S31" s="22"/>
      <c r="T31" s="22"/>
      <c r="U31" s="22"/>
    </row>
    <row r="32" spans="1:40" x14ac:dyDescent="0.2">
      <c r="B32" s="3" t="s">
        <v>2457</v>
      </c>
      <c r="C32" s="3">
        <v>1</v>
      </c>
      <c r="K32" s="57"/>
      <c r="L32" s="57"/>
      <c r="M32" s="54"/>
      <c r="N32" s="54"/>
      <c r="O32" s="54"/>
      <c r="P32" s="217"/>
      <c r="Q32" s="22"/>
      <c r="R32" s="22"/>
      <c r="S32" s="22"/>
      <c r="T32" s="22"/>
      <c r="U32" s="22"/>
    </row>
    <row r="33" spans="2:21" ht="17" x14ac:dyDescent="0.2">
      <c r="B33" s="3" t="s">
        <v>2539</v>
      </c>
      <c r="C33" s="3">
        <v>1</v>
      </c>
      <c r="K33" s="114"/>
      <c r="L33" s="57"/>
      <c r="M33" s="54"/>
      <c r="N33" s="54"/>
      <c r="O33" s="3" t="s">
        <v>292</v>
      </c>
      <c r="P33" s="22" t="e">
        <f>#REF!</f>
        <v>#REF!</v>
      </c>
      <c r="Q33" s="22"/>
      <c r="R33" s="22"/>
      <c r="S33" s="22"/>
      <c r="T33" s="22"/>
      <c r="U33" s="22"/>
    </row>
    <row r="34" spans="2:21" ht="17" x14ac:dyDescent="0.2">
      <c r="B34" s="3" t="s">
        <v>748</v>
      </c>
      <c r="C34" s="46">
        <v>5718000</v>
      </c>
      <c r="K34" s="114"/>
      <c r="L34" s="57"/>
      <c r="M34" s="54"/>
      <c r="N34" s="54"/>
      <c r="O34" s="22" t="s">
        <v>294</v>
      </c>
      <c r="P34" s="22" t="e">
        <f>#REF!</f>
        <v>#REF!</v>
      </c>
      <c r="Q34" s="22"/>
      <c r="R34" s="22"/>
      <c r="S34" s="22"/>
      <c r="T34" s="22"/>
      <c r="U34" s="22"/>
    </row>
    <row r="35" spans="2:21" x14ac:dyDescent="0.2">
      <c r="B35" s="3" t="s">
        <v>293</v>
      </c>
      <c r="C35" s="46">
        <v>0</v>
      </c>
      <c r="K35" s="57"/>
      <c r="L35" s="57"/>
      <c r="M35" s="54"/>
      <c r="N35" s="54"/>
      <c r="O35" s="22"/>
      <c r="P35" s="22"/>
      <c r="Q35" s="22"/>
      <c r="R35" s="22"/>
      <c r="S35" s="22"/>
      <c r="T35" s="22"/>
      <c r="U35" s="22"/>
    </row>
    <row r="36" spans="2:21" x14ac:dyDescent="0.2">
      <c r="B36" s="24" t="s">
        <v>295</v>
      </c>
      <c r="C36" s="46">
        <v>0</v>
      </c>
      <c r="K36" s="57"/>
      <c r="L36" s="57"/>
      <c r="M36" s="54"/>
      <c r="N36" s="54"/>
      <c r="O36" s="22"/>
      <c r="P36" s="22"/>
      <c r="Q36" s="22"/>
      <c r="R36" s="22"/>
      <c r="S36" s="22"/>
      <c r="T36" s="22"/>
      <c r="U36" s="22"/>
    </row>
    <row r="37" spans="2:21" x14ac:dyDescent="0.2">
      <c r="B37" s="24"/>
      <c r="C37" s="46"/>
      <c r="K37" s="57"/>
      <c r="L37" s="57"/>
      <c r="M37" s="54"/>
      <c r="P37" s="22"/>
    </row>
    <row r="38" spans="2:21" x14ac:dyDescent="0.2">
      <c r="B38" s="5" t="s">
        <v>1875</v>
      </c>
      <c r="J38" s="22"/>
      <c r="K38" s="57"/>
      <c r="L38" s="57"/>
      <c r="M38" s="54"/>
      <c r="P38" s="22"/>
    </row>
    <row r="39" spans="2:21" x14ac:dyDescent="0.2">
      <c r="B39" s="3" t="s">
        <v>296</v>
      </c>
      <c r="C39" s="41">
        <f>35/(35+37)</f>
        <v>0.4861111111111111</v>
      </c>
      <c r="D39" s="3" t="s">
        <v>400</v>
      </c>
      <c r="E39" s="2"/>
      <c r="K39" s="57"/>
      <c r="L39" s="57"/>
      <c r="M39" s="54"/>
      <c r="N39" s="22"/>
      <c r="P39" s="22"/>
    </row>
    <row r="40" spans="2:21" x14ac:dyDescent="0.2">
      <c r="B40" s="3" t="s">
        <v>298</v>
      </c>
      <c r="C40" s="110">
        <v>108.7</v>
      </c>
      <c r="D40" s="3" t="s">
        <v>1991</v>
      </c>
      <c r="E40" s="116"/>
      <c r="L40" s="54"/>
      <c r="M40" s="54"/>
    </row>
    <row r="41" spans="2:21" x14ac:dyDescent="0.2">
      <c r="B41" s="3" t="s">
        <v>299</v>
      </c>
      <c r="C41" s="110">
        <v>109.2</v>
      </c>
      <c r="D41" s="3" t="s">
        <v>1992</v>
      </c>
      <c r="E41" s="116"/>
    </row>
    <row r="42" spans="2:21" x14ac:dyDescent="0.2">
      <c r="B42" s="3" t="s">
        <v>300</v>
      </c>
      <c r="C42" s="110">
        <f>C40-C41</f>
        <v>-0.5</v>
      </c>
      <c r="D42" s="3" t="s">
        <v>1993</v>
      </c>
      <c r="E42" s="116"/>
    </row>
    <row r="43" spans="2:21" x14ac:dyDescent="0.2">
      <c r="B43" s="3" t="s">
        <v>301</v>
      </c>
      <c r="C43" s="36">
        <v>101.7</v>
      </c>
      <c r="D43" s="3" t="s">
        <v>1992</v>
      </c>
      <c r="E43" s="116"/>
    </row>
    <row r="45" spans="2:21" x14ac:dyDescent="0.2">
      <c r="B45" s="2" t="s">
        <v>302</v>
      </c>
    </row>
    <row r="46" spans="2:21" x14ac:dyDescent="0.2">
      <c r="B46" s="2" t="s">
        <v>1988</v>
      </c>
    </row>
    <row r="47" spans="2:21" x14ac:dyDescent="0.2">
      <c r="B47" s="2" t="s">
        <v>455</v>
      </c>
    </row>
    <row r="48" spans="2:21" x14ac:dyDescent="0.2">
      <c r="B48" s="2" t="s">
        <v>456</v>
      </c>
    </row>
    <row r="49" spans="2:10" x14ac:dyDescent="0.2">
      <c r="B49" s="2" t="s">
        <v>1987</v>
      </c>
    </row>
    <row r="50" spans="2:10" x14ac:dyDescent="0.2">
      <c r="B50" s="10"/>
    </row>
    <row r="51" spans="2:10" x14ac:dyDescent="0.2">
      <c r="B51" s="2" t="s">
        <v>310</v>
      </c>
    </row>
    <row r="52" spans="2:10" x14ac:dyDescent="0.2">
      <c r="B52" s="2" t="s">
        <v>1990</v>
      </c>
    </row>
    <row r="53" spans="2:10" x14ac:dyDescent="0.2">
      <c r="B53" s="2" t="s">
        <v>458</v>
      </c>
    </row>
    <row r="54" spans="2:10" x14ac:dyDescent="0.2">
      <c r="B54" s="2" t="s">
        <v>459</v>
      </c>
    </row>
    <row r="55" spans="2:10" x14ac:dyDescent="0.2">
      <c r="B55" s="2"/>
    </row>
    <row r="56" spans="2:10" x14ac:dyDescent="0.2">
      <c r="B56" s="194" t="s">
        <v>1989</v>
      </c>
    </row>
    <row r="57" spans="2:10" x14ac:dyDescent="0.2">
      <c r="B57" s="40" t="s">
        <v>314</v>
      </c>
      <c r="C57" s="3">
        <v>35</v>
      </c>
      <c r="D57" s="3">
        <v>37</v>
      </c>
      <c r="E57" s="3" t="s">
        <v>400</v>
      </c>
      <c r="G57" s="3" t="s">
        <v>460</v>
      </c>
      <c r="J57" s="3" t="s">
        <v>2094</v>
      </c>
    </row>
    <row r="58" spans="2:10" x14ac:dyDescent="0.2">
      <c r="B58" s="40" t="s">
        <v>317</v>
      </c>
      <c r="C58" s="3">
        <v>42</v>
      </c>
      <c r="D58" s="3">
        <v>40</v>
      </c>
      <c r="E58" s="3" t="s">
        <v>335</v>
      </c>
      <c r="G58" s="3" t="s">
        <v>461</v>
      </c>
      <c r="J58" s="3" t="s">
        <v>462</v>
      </c>
    </row>
    <row r="59" spans="2:10" x14ac:dyDescent="0.2">
      <c r="B59" s="40" t="s">
        <v>319</v>
      </c>
      <c r="C59" s="3">
        <v>28</v>
      </c>
      <c r="D59" s="3">
        <v>54</v>
      </c>
      <c r="E59" s="3" t="s">
        <v>318</v>
      </c>
      <c r="G59" s="3" t="s">
        <v>461</v>
      </c>
      <c r="H59" s="38"/>
      <c r="I59" s="38"/>
      <c r="J59" s="38" t="s">
        <v>316</v>
      </c>
    </row>
    <row r="60" spans="2:10" x14ac:dyDescent="0.2">
      <c r="B60" s="40" t="s">
        <v>322</v>
      </c>
      <c r="C60" s="3">
        <v>20</v>
      </c>
      <c r="D60" s="3">
        <v>62</v>
      </c>
      <c r="E60" s="3" t="s">
        <v>320</v>
      </c>
      <c r="G60" s="3" t="s">
        <v>461</v>
      </c>
      <c r="H60" s="38"/>
      <c r="I60" s="38"/>
      <c r="J60" s="38" t="s">
        <v>316</v>
      </c>
    </row>
    <row r="61" spans="2:10" x14ac:dyDescent="0.2">
      <c r="B61" s="40" t="s">
        <v>325</v>
      </c>
      <c r="C61" s="3">
        <v>21</v>
      </c>
      <c r="D61" s="3">
        <v>61</v>
      </c>
      <c r="E61" s="3" t="s">
        <v>315</v>
      </c>
      <c r="G61" s="3" t="s">
        <v>463</v>
      </c>
      <c r="H61" s="38"/>
      <c r="I61" s="38"/>
      <c r="J61" s="38" t="s">
        <v>316</v>
      </c>
    </row>
    <row r="62" spans="2:10" x14ac:dyDescent="0.2">
      <c r="B62" s="40" t="s">
        <v>328</v>
      </c>
      <c r="C62" s="3">
        <v>38</v>
      </c>
      <c r="D62" s="3">
        <v>44</v>
      </c>
      <c r="E62" s="3" t="s">
        <v>332</v>
      </c>
      <c r="G62" s="3" t="s">
        <v>464</v>
      </c>
      <c r="J62" s="3" t="s">
        <v>399</v>
      </c>
    </row>
    <row r="63" spans="2:10" x14ac:dyDescent="0.2">
      <c r="B63" s="40" t="s">
        <v>331</v>
      </c>
      <c r="C63" s="3">
        <v>44</v>
      </c>
      <c r="D63" s="3">
        <v>38</v>
      </c>
      <c r="E63" s="3" t="s">
        <v>335</v>
      </c>
      <c r="G63" s="3" t="s">
        <v>465</v>
      </c>
      <c r="J63" s="3" t="s">
        <v>466</v>
      </c>
    </row>
    <row r="64" spans="2:10" x14ac:dyDescent="0.2">
      <c r="B64" s="40" t="s">
        <v>334</v>
      </c>
      <c r="C64" s="3">
        <v>49</v>
      </c>
      <c r="D64" s="3">
        <v>33</v>
      </c>
      <c r="E64" s="3" t="s">
        <v>326</v>
      </c>
      <c r="G64" s="3" t="s">
        <v>467</v>
      </c>
      <c r="J64" s="3" t="s">
        <v>468</v>
      </c>
    </row>
    <row r="65" spans="2:10" x14ac:dyDescent="0.2">
      <c r="B65" s="40" t="s">
        <v>338</v>
      </c>
      <c r="C65" s="3">
        <v>22</v>
      </c>
      <c r="D65" s="3">
        <v>44</v>
      </c>
      <c r="E65" s="3" t="s">
        <v>318</v>
      </c>
      <c r="G65" s="3" t="s">
        <v>469</v>
      </c>
      <c r="H65" s="38"/>
      <c r="I65" s="38"/>
      <c r="J65" s="38" t="s">
        <v>316</v>
      </c>
    </row>
    <row r="66" spans="2:10" x14ac:dyDescent="0.2">
      <c r="B66" s="40" t="s">
        <v>340</v>
      </c>
      <c r="C66" s="3">
        <v>24</v>
      </c>
      <c r="D66" s="3">
        <v>58</v>
      </c>
      <c r="E66" s="3" t="s">
        <v>318</v>
      </c>
      <c r="G66" s="3" t="s">
        <v>469</v>
      </c>
      <c r="H66" s="38"/>
      <c r="I66" s="38"/>
      <c r="J66" s="38" t="s">
        <v>316</v>
      </c>
    </row>
    <row r="67" spans="2:10" x14ac:dyDescent="0.2">
      <c r="B67" s="3" t="s">
        <v>342</v>
      </c>
      <c r="C67" s="3">
        <f>SUM(C57:C66)</f>
        <v>323</v>
      </c>
      <c r="D67" s="3">
        <f>SUM(D57:D66)</f>
        <v>471</v>
      </c>
      <c r="E67" s="41">
        <f>C67/(D67+C67)</f>
        <v>0.40680100755667509</v>
      </c>
    </row>
  </sheetData>
  <pageMargins left="0.7" right="0.7" top="0.75" bottom="0.75" header="0.3" footer="0.3"/>
  <ignoredErrors>
    <ignoredError sqref="A12" numberStoredAsText="1"/>
  </ignoredError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4BCF-AFDD-8B42-A5D2-50855AD5FCD4}">
  <dimension ref="A1:AO133"/>
  <sheetViews>
    <sheetView zoomScaleNormal="100" workbookViewId="0"/>
  </sheetViews>
  <sheetFormatPr baseColWidth="10" defaultColWidth="11" defaultRowHeight="16" x14ac:dyDescent="0.2"/>
  <cols>
    <col min="1" max="1" width="5.33203125" customWidth="1"/>
    <col min="2" max="2" width="19.5" customWidth="1"/>
    <col min="3" max="3" width="11.1640625" customWidth="1"/>
    <col min="4" max="4" width="9.6640625" customWidth="1"/>
    <col min="5" max="5" width="10.5" customWidth="1"/>
    <col min="6" max="6" width="8" customWidth="1"/>
    <col min="7" max="7" width="10.1640625" customWidth="1"/>
    <col min="8" max="8" width="6" customWidth="1"/>
    <col min="9" max="9" width="25.33203125" customWidth="1"/>
    <col min="10" max="10" width="10.83203125" customWidth="1"/>
    <col min="11" max="11" width="12" customWidth="1"/>
    <col min="12" max="12" width="4.83203125" customWidth="1"/>
    <col min="13" max="13" width="26.33203125" customWidth="1"/>
    <col min="14" max="14" width="16.6640625" customWidth="1"/>
    <col min="15" max="15" width="84" customWidth="1"/>
    <col min="16" max="16" width="13.33203125" bestFit="1" customWidth="1"/>
    <col min="17" max="20" width="12.33203125" bestFit="1" customWidth="1"/>
    <col min="21" max="21" width="11.1640625" bestFit="1" customWidth="1"/>
    <col min="22" max="22" width="60.6640625" customWidth="1"/>
    <col min="23" max="23" width="26" customWidth="1"/>
    <col min="24" max="24" width="9.83203125" customWidth="1"/>
    <col min="25" max="25" width="4.1640625" customWidth="1"/>
    <col min="26" max="26" width="7.83203125" customWidth="1"/>
    <col min="27" max="27" width="6.1640625" customWidth="1"/>
    <col min="28" max="28" width="5.83203125" customWidth="1"/>
    <col min="29" max="29" width="7.33203125" customWidth="1"/>
    <col min="30" max="31" width="5" customWidth="1"/>
    <col min="32" max="32" width="5.83203125" customWidth="1"/>
    <col min="33" max="33" width="7.83203125" customWidth="1"/>
    <col min="34" max="34" width="5.83203125" customWidth="1"/>
    <col min="35" max="35" width="5.1640625" customWidth="1"/>
    <col min="36" max="36" width="6.83203125" customWidth="1"/>
    <col min="37" max="37" width="6.1640625" customWidth="1"/>
    <col min="38" max="38" width="6.33203125" customWidth="1"/>
    <col min="39" max="39" width="5.83203125" customWidth="1"/>
    <col min="40" max="40" width="4.83203125" customWidth="1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3">
        <v>2</v>
      </c>
      <c r="B2" s="3" t="s">
        <v>1786</v>
      </c>
      <c r="C2" s="3" t="s">
        <v>247</v>
      </c>
      <c r="D2" s="105">
        <v>64</v>
      </c>
      <c r="E2" s="105">
        <v>69</v>
      </c>
      <c r="F2" s="106">
        <v>210</v>
      </c>
      <c r="G2" s="4">
        <v>33122</v>
      </c>
      <c r="H2" s="110">
        <f ca="1">ROUNDDOWN(YEARFRAC(G2,$G$29),1)</f>
        <v>30.2</v>
      </c>
      <c r="I2" s="3" t="s">
        <v>266</v>
      </c>
      <c r="J2" s="3">
        <v>11</v>
      </c>
      <c r="K2" s="3">
        <v>2010</v>
      </c>
      <c r="L2" s="3">
        <v>1</v>
      </c>
      <c r="M2" s="3" t="s">
        <v>1787</v>
      </c>
      <c r="N2" s="3" t="s">
        <v>1</v>
      </c>
      <c r="O2" s="3" t="s">
        <v>1938</v>
      </c>
      <c r="P2" s="11">
        <v>41254920</v>
      </c>
      <c r="Q2" s="11">
        <v>44310840</v>
      </c>
      <c r="R2" s="47">
        <v>47366760</v>
      </c>
      <c r="S2" s="14">
        <v>48234375</v>
      </c>
      <c r="T2" s="3"/>
      <c r="U2" s="3"/>
      <c r="V2" s="3" t="s">
        <v>347</v>
      </c>
      <c r="W2" s="5" t="s">
        <v>284</v>
      </c>
      <c r="X2" s="107">
        <v>1</v>
      </c>
      <c r="Y2" s="107">
        <v>32</v>
      </c>
      <c r="Z2" s="41">
        <f>11/32</f>
        <v>0.34375</v>
      </c>
      <c r="AA2" s="110">
        <v>107</v>
      </c>
      <c r="AB2" s="110">
        <v>113.2</v>
      </c>
      <c r="AC2" s="110">
        <f t="shared" ref="AC2:AC18" si="0">AA2-AB2</f>
        <v>-6.2000000000000028</v>
      </c>
      <c r="AD2" s="110">
        <v>34.5</v>
      </c>
      <c r="AE2" s="110">
        <v>18</v>
      </c>
      <c r="AF2" s="41">
        <v>0.52700000000000002</v>
      </c>
      <c r="AG2" s="110">
        <v>28.8</v>
      </c>
      <c r="AH2" s="110">
        <v>0.5</v>
      </c>
      <c r="AI2" s="110">
        <v>0.7</v>
      </c>
      <c r="AJ2" s="41">
        <v>5.0999999999999997E-2</v>
      </c>
      <c r="AK2" s="110">
        <v>2.2000000000000002</v>
      </c>
      <c r="AL2" s="110">
        <v>-1.4</v>
      </c>
      <c r="AM2" s="110">
        <v>0.8</v>
      </c>
      <c r="AN2" s="110">
        <v>12.3</v>
      </c>
    </row>
    <row r="3" spans="1:41" x14ac:dyDescent="0.2">
      <c r="A3" s="3">
        <v>3</v>
      </c>
      <c r="B3" s="3" t="s">
        <v>220</v>
      </c>
      <c r="C3" s="3" t="s">
        <v>252</v>
      </c>
      <c r="D3" s="105">
        <v>63</v>
      </c>
      <c r="E3" s="105">
        <v>68</v>
      </c>
      <c r="F3" s="106">
        <v>207</v>
      </c>
      <c r="G3" s="4">
        <v>34148</v>
      </c>
      <c r="H3" s="110">
        <f ca="1">ROUNDDOWN(YEARFRAC(G3,$G$29),1)</f>
        <v>27.4</v>
      </c>
      <c r="I3" s="3" t="s">
        <v>449</v>
      </c>
      <c r="J3" s="3">
        <v>9</v>
      </c>
      <c r="K3" s="3">
        <v>2012</v>
      </c>
      <c r="L3" s="3">
        <v>3</v>
      </c>
      <c r="M3" s="3" t="s">
        <v>1788</v>
      </c>
      <c r="N3" s="3" t="s">
        <v>1</v>
      </c>
      <c r="O3" s="3" t="s">
        <v>1937</v>
      </c>
      <c r="P3" s="11">
        <v>28751774</v>
      </c>
      <c r="Q3" s="11">
        <v>34502129</v>
      </c>
      <c r="R3" s="47">
        <v>37262299</v>
      </c>
      <c r="S3" s="14">
        <v>48234375</v>
      </c>
      <c r="T3" s="3"/>
      <c r="U3" s="3"/>
      <c r="V3" s="3" t="s">
        <v>1789</v>
      </c>
      <c r="W3" s="3" t="s">
        <v>1790</v>
      </c>
      <c r="X3" s="107">
        <v>2</v>
      </c>
      <c r="Y3" s="107">
        <v>57</v>
      </c>
      <c r="Z3" s="41">
        <f>20/57</f>
        <v>0.35087719298245612</v>
      </c>
      <c r="AA3" s="110">
        <v>113.1</v>
      </c>
      <c r="AB3" s="110">
        <v>117.6</v>
      </c>
      <c r="AC3" s="110">
        <f t="shared" si="0"/>
        <v>-4.5</v>
      </c>
      <c r="AD3" s="110">
        <v>36</v>
      </c>
      <c r="AE3" s="110">
        <v>23.1</v>
      </c>
      <c r="AF3" s="41">
        <v>0.57899999999999996</v>
      </c>
      <c r="AG3" s="110">
        <v>34.4</v>
      </c>
      <c r="AH3" s="110">
        <v>4.5999999999999996</v>
      </c>
      <c r="AI3" s="110">
        <v>0.5</v>
      </c>
      <c r="AJ3" s="41">
        <v>0.11899999999999999</v>
      </c>
      <c r="AK3" s="110">
        <v>5.3</v>
      </c>
      <c r="AL3" s="110">
        <v>-2.4</v>
      </c>
      <c r="AM3" s="110">
        <v>2.5</v>
      </c>
      <c r="AN3" s="110">
        <v>14.34</v>
      </c>
    </row>
    <row r="4" spans="1:41" x14ac:dyDescent="0.2">
      <c r="A4" s="3">
        <v>42</v>
      </c>
      <c r="B4" s="3" t="s">
        <v>185</v>
      </c>
      <c r="C4" s="3" t="s">
        <v>241</v>
      </c>
      <c r="D4" s="105">
        <v>610</v>
      </c>
      <c r="E4" s="105">
        <v>610</v>
      </c>
      <c r="F4" s="106">
        <v>225</v>
      </c>
      <c r="G4" s="4">
        <v>33920</v>
      </c>
      <c r="H4" s="110">
        <f ca="1">ROUNDDOWN(YEARFRAC(G4,$G$29),1)</f>
        <v>28</v>
      </c>
      <c r="I4" s="3" t="s">
        <v>366</v>
      </c>
      <c r="J4" s="3">
        <v>4</v>
      </c>
      <c r="K4" s="3">
        <v>2011</v>
      </c>
      <c r="L4" s="3">
        <v>42</v>
      </c>
      <c r="M4" s="3" t="s">
        <v>1794</v>
      </c>
      <c r="N4" s="3" t="s">
        <v>1</v>
      </c>
      <c r="O4" s="3" t="s">
        <v>2458</v>
      </c>
      <c r="P4" s="57">
        <v>15000000</v>
      </c>
      <c r="Q4" s="22">
        <v>16000000</v>
      </c>
      <c r="R4" s="22">
        <v>16000000</v>
      </c>
      <c r="S4" s="22">
        <v>17000000</v>
      </c>
      <c r="T4" s="245">
        <v>16000000</v>
      </c>
      <c r="U4" s="51">
        <f>T4*1.5</f>
        <v>24000000</v>
      </c>
      <c r="V4" s="3"/>
      <c r="W4" s="3" t="s">
        <v>1795</v>
      </c>
      <c r="X4" s="107">
        <v>4</v>
      </c>
      <c r="Y4" s="107">
        <v>54</v>
      </c>
      <c r="Z4" s="41">
        <f>20/54</f>
        <v>0.37037037037037035</v>
      </c>
      <c r="AA4" s="110">
        <v>113.6</v>
      </c>
      <c r="AB4" s="110">
        <v>113.9</v>
      </c>
      <c r="AC4" s="110">
        <f t="shared" si="0"/>
        <v>-0.30000000000001137</v>
      </c>
      <c r="AD4" s="110">
        <v>29.3</v>
      </c>
      <c r="AE4" s="110">
        <v>15.5</v>
      </c>
      <c r="AF4" s="41">
        <v>0.628</v>
      </c>
      <c r="AG4" s="110">
        <v>19</v>
      </c>
      <c r="AH4" s="110">
        <v>3</v>
      </c>
      <c r="AI4" s="110">
        <v>0.5</v>
      </c>
      <c r="AJ4" s="41">
        <v>0.106</v>
      </c>
      <c r="AK4" s="110">
        <v>2.7</v>
      </c>
      <c r="AL4" s="110">
        <v>-1.8</v>
      </c>
      <c r="AM4" s="110">
        <v>1.1000000000000001</v>
      </c>
      <c r="AN4" s="110">
        <v>9.4</v>
      </c>
    </row>
    <row r="5" spans="1:41" x14ac:dyDescent="0.2">
      <c r="A5" s="3">
        <v>13</v>
      </c>
      <c r="B5" s="3" t="s">
        <v>1791</v>
      </c>
      <c r="C5" s="3" t="s">
        <v>234</v>
      </c>
      <c r="D5" s="105">
        <v>610</v>
      </c>
      <c r="E5" s="105">
        <v>76</v>
      </c>
      <c r="F5" s="106">
        <v>248</v>
      </c>
      <c r="G5" s="4">
        <v>35642</v>
      </c>
      <c r="H5" s="110">
        <f ca="1">ROUNDDOWN(YEARFRAC(G5,$G$29),1)</f>
        <v>23.3</v>
      </c>
      <c r="I5" s="3" t="s">
        <v>362</v>
      </c>
      <c r="J5" s="3">
        <v>4</v>
      </c>
      <c r="K5" s="3">
        <v>2017</v>
      </c>
      <c r="L5" s="3">
        <v>42</v>
      </c>
      <c r="M5" s="3" t="s">
        <v>1792</v>
      </c>
      <c r="N5" s="3" t="s">
        <v>5</v>
      </c>
      <c r="O5" s="3" t="s">
        <v>1939</v>
      </c>
      <c r="P5" s="11">
        <v>8333333</v>
      </c>
      <c r="Q5" s="11">
        <v>8666667</v>
      </c>
      <c r="R5" s="14">
        <f>Q5*1.9</f>
        <v>16466667.299999999</v>
      </c>
      <c r="S5" s="3"/>
      <c r="T5" s="3"/>
      <c r="U5" s="3"/>
      <c r="V5" s="3"/>
      <c r="W5" s="3" t="s">
        <v>1793</v>
      </c>
      <c r="X5" s="107">
        <v>5</v>
      </c>
      <c r="Y5" s="107">
        <v>38</v>
      </c>
      <c r="Z5" s="41">
        <f>14/38</f>
        <v>0.36842105263157893</v>
      </c>
      <c r="AA5" s="110">
        <v>110.6</v>
      </c>
      <c r="AB5" s="110">
        <v>117.6</v>
      </c>
      <c r="AC5" s="110">
        <f t="shared" si="0"/>
        <v>-7</v>
      </c>
      <c r="AD5" s="110">
        <v>23.7</v>
      </c>
      <c r="AE5" s="110">
        <v>20</v>
      </c>
      <c r="AF5" s="41">
        <v>0.65900000000000003</v>
      </c>
      <c r="AG5" s="110">
        <v>18.3</v>
      </c>
      <c r="AH5" s="110">
        <v>2.4</v>
      </c>
      <c r="AI5" s="110">
        <v>0.5</v>
      </c>
      <c r="AJ5" s="41">
        <v>0.153</v>
      </c>
      <c r="AK5" s="110">
        <v>2.1</v>
      </c>
      <c r="AL5" s="110">
        <v>-1.2</v>
      </c>
      <c r="AM5" s="110">
        <v>0.7</v>
      </c>
      <c r="AN5" s="110">
        <v>12.2</v>
      </c>
    </row>
    <row r="6" spans="1:41" x14ac:dyDescent="0.2">
      <c r="A6" s="165"/>
      <c r="B6" s="165" t="s">
        <v>99</v>
      </c>
      <c r="C6" s="165" t="s">
        <v>234</v>
      </c>
      <c r="D6" s="256" t="s">
        <v>2631</v>
      </c>
      <c r="E6" s="256" t="s">
        <v>2632</v>
      </c>
      <c r="F6" s="257" t="s">
        <v>2633</v>
      </c>
      <c r="G6" s="258">
        <v>32234</v>
      </c>
      <c r="H6" s="259">
        <v>32.6</v>
      </c>
      <c r="I6" s="165" t="s">
        <v>672</v>
      </c>
      <c r="J6" s="165">
        <v>13</v>
      </c>
      <c r="K6" s="260">
        <v>2008</v>
      </c>
      <c r="L6" s="260">
        <v>15</v>
      </c>
      <c r="M6" s="165" t="s">
        <v>2577</v>
      </c>
      <c r="N6" s="165" t="s">
        <v>495</v>
      </c>
      <c r="O6" s="165" t="s">
        <v>2634</v>
      </c>
      <c r="P6" s="261">
        <v>7300000</v>
      </c>
      <c r="Q6" s="262">
        <v>8760000</v>
      </c>
      <c r="R6" s="165"/>
      <c r="S6" s="165"/>
      <c r="T6" s="165"/>
      <c r="U6" s="165"/>
      <c r="V6" s="165"/>
      <c r="W6" s="263" t="s">
        <v>238</v>
      </c>
      <c r="X6" s="260">
        <v>5</v>
      </c>
      <c r="Y6" s="260">
        <v>60</v>
      </c>
      <c r="Z6" s="264">
        <v>0.81699999999999995</v>
      </c>
      <c r="AA6" s="259">
        <v>105</v>
      </c>
      <c r="AB6" s="259">
        <v>102.4</v>
      </c>
      <c r="AC6" s="259">
        <v>2.6</v>
      </c>
      <c r="AD6" s="259">
        <v>14.4</v>
      </c>
      <c r="AE6" s="259">
        <v>11.1</v>
      </c>
      <c r="AF6" s="264">
        <v>0.56499999999999995</v>
      </c>
      <c r="AG6" s="259">
        <v>16.600000000000001</v>
      </c>
      <c r="AH6" s="259">
        <v>0.2</v>
      </c>
      <c r="AI6" s="259">
        <v>1.5</v>
      </c>
      <c r="AJ6" s="264">
        <v>9.5000000000000001E-2</v>
      </c>
      <c r="AK6" s="259">
        <v>-2.4</v>
      </c>
      <c r="AL6" s="259">
        <v>0.5</v>
      </c>
      <c r="AM6" s="259">
        <v>0</v>
      </c>
      <c r="AN6" s="259">
        <v>6.6</v>
      </c>
      <c r="AO6" s="165"/>
    </row>
    <row r="7" spans="1:41" x14ac:dyDescent="0.2">
      <c r="A7" s="3">
        <v>14</v>
      </c>
      <c r="B7" s="3" t="s">
        <v>1796</v>
      </c>
      <c r="C7" s="3" t="s">
        <v>247</v>
      </c>
      <c r="D7" s="105">
        <v>60</v>
      </c>
      <c r="E7" s="105">
        <v>65</v>
      </c>
      <c r="F7" s="106">
        <v>175</v>
      </c>
      <c r="G7" s="4">
        <v>32329</v>
      </c>
      <c r="H7" s="110">
        <f t="shared" ref="H7:H13" ca="1" si="1">ROUNDDOWN(YEARFRAC(G7,$G$29),1)</f>
        <v>32.299999999999997</v>
      </c>
      <c r="I7" s="3" t="s">
        <v>231</v>
      </c>
      <c r="J7" s="3">
        <v>11</v>
      </c>
      <c r="K7" s="3">
        <v>2010</v>
      </c>
      <c r="L7" s="3"/>
      <c r="M7" s="3" t="s">
        <v>638</v>
      </c>
      <c r="N7" s="3" t="s">
        <v>495</v>
      </c>
      <c r="O7" s="3" t="s">
        <v>1940</v>
      </c>
      <c r="P7" s="11">
        <v>6000000</v>
      </c>
      <c r="Q7" s="14">
        <f>P7*1.3</f>
        <v>7800000</v>
      </c>
      <c r="R7" s="3"/>
      <c r="S7" s="3"/>
      <c r="T7" s="3"/>
      <c r="U7" s="3"/>
      <c r="V7" s="3"/>
      <c r="W7" s="3" t="s">
        <v>1797</v>
      </c>
      <c r="X7" s="107">
        <v>1</v>
      </c>
      <c r="Y7" s="107">
        <v>60</v>
      </c>
      <c r="Z7" s="41">
        <f>22/60</f>
        <v>0.36666666666666664</v>
      </c>
      <c r="AA7" s="110">
        <v>110.1</v>
      </c>
      <c r="AB7" s="110">
        <v>113.6</v>
      </c>
      <c r="AC7" s="110">
        <f t="shared" si="0"/>
        <v>-3.5</v>
      </c>
      <c r="AD7" s="110">
        <v>26.2</v>
      </c>
      <c r="AE7" s="110">
        <v>13.8</v>
      </c>
      <c r="AF7" s="41">
        <v>0.51200000000000001</v>
      </c>
      <c r="AG7" s="110">
        <v>18.3</v>
      </c>
      <c r="AH7" s="110">
        <v>1.3</v>
      </c>
      <c r="AI7" s="110">
        <v>0.4</v>
      </c>
      <c r="AJ7" s="41">
        <v>5.2999999999999999E-2</v>
      </c>
      <c r="AK7" s="110">
        <v>-0.3</v>
      </c>
      <c r="AL7" s="110">
        <v>-1.1000000000000001</v>
      </c>
      <c r="AM7" s="110">
        <v>0.2</v>
      </c>
      <c r="AN7" s="110">
        <v>9.9</v>
      </c>
    </row>
    <row r="8" spans="1:41" x14ac:dyDescent="0.2">
      <c r="A8" s="3">
        <v>8</v>
      </c>
      <c r="B8" s="3" t="s">
        <v>1798</v>
      </c>
      <c r="C8" s="3" t="s">
        <v>234</v>
      </c>
      <c r="D8" s="105">
        <v>68</v>
      </c>
      <c r="E8" s="105">
        <v>72</v>
      </c>
      <c r="F8" s="106">
        <v>230</v>
      </c>
      <c r="G8" s="4">
        <v>35834</v>
      </c>
      <c r="H8" s="110">
        <f t="shared" ca="1" si="1"/>
        <v>22.8</v>
      </c>
      <c r="I8" s="3" t="s">
        <v>973</v>
      </c>
      <c r="J8" s="3">
        <v>2</v>
      </c>
      <c r="K8" s="3">
        <v>2019</v>
      </c>
      <c r="L8" s="3">
        <v>9</v>
      </c>
      <c r="M8" s="3" t="s">
        <v>1799</v>
      </c>
      <c r="N8" s="3" t="s">
        <v>244</v>
      </c>
      <c r="O8" s="11" t="s">
        <v>1941</v>
      </c>
      <c r="P8" s="11">
        <v>4692840</v>
      </c>
      <c r="Q8" s="50">
        <v>4916160</v>
      </c>
      <c r="R8" s="50">
        <v>6263188</v>
      </c>
      <c r="S8" s="49">
        <f>R8*3</f>
        <v>18789564</v>
      </c>
      <c r="T8" s="3"/>
      <c r="U8" s="3"/>
      <c r="V8" s="3"/>
      <c r="W8" s="3" t="s">
        <v>1800</v>
      </c>
      <c r="X8" s="107">
        <v>4</v>
      </c>
      <c r="Y8" s="107">
        <v>41</v>
      </c>
      <c r="Z8" s="41">
        <f>15/41</f>
        <v>0.36585365853658536</v>
      </c>
      <c r="AA8" s="110">
        <v>109.9</v>
      </c>
      <c r="AB8" s="110">
        <v>117.8</v>
      </c>
      <c r="AC8" s="110">
        <f t="shared" si="0"/>
        <v>-7.8999999999999915</v>
      </c>
      <c r="AD8" s="110">
        <v>29.7</v>
      </c>
      <c r="AE8" s="110">
        <v>13.9</v>
      </c>
      <c r="AF8" s="41">
        <v>0.54300000000000004</v>
      </c>
      <c r="AG8" s="110">
        <v>18.7</v>
      </c>
      <c r="AH8" s="110">
        <v>1.3</v>
      </c>
      <c r="AI8" s="110">
        <v>0.4</v>
      </c>
      <c r="AJ8" s="41">
        <v>6.6000000000000003E-2</v>
      </c>
      <c r="AK8" s="110">
        <v>-1.1000000000000001</v>
      </c>
      <c r="AL8" s="110">
        <v>-0.9</v>
      </c>
      <c r="AM8" s="110">
        <v>-0.3</v>
      </c>
      <c r="AN8" s="110">
        <v>9.1999999999999993</v>
      </c>
    </row>
    <row r="9" spans="1:41" x14ac:dyDescent="0.2">
      <c r="A9" s="59"/>
      <c r="B9" s="3" t="s">
        <v>2263</v>
      </c>
      <c r="C9" s="59" t="s">
        <v>241</v>
      </c>
      <c r="D9" s="105">
        <v>69</v>
      </c>
      <c r="E9" s="105">
        <v>69</v>
      </c>
      <c r="F9" s="143">
        <v>220</v>
      </c>
      <c r="G9" s="62">
        <v>36894</v>
      </c>
      <c r="H9" s="110">
        <f t="shared" ca="1" si="1"/>
        <v>19.899999999999999</v>
      </c>
      <c r="I9" s="59" t="s">
        <v>225</v>
      </c>
      <c r="J9" s="59">
        <v>1</v>
      </c>
      <c r="K9" s="59">
        <v>2020</v>
      </c>
      <c r="L9" s="59">
        <v>9</v>
      </c>
      <c r="M9" s="59" t="s">
        <v>2264</v>
      </c>
      <c r="N9" s="59" t="s">
        <v>244</v>
      </c>
      <c r="O9" s="59" t="s">
        <v>2265</v>
      </c>
      <c r="P9" s="11">
        <v>4469160</v>
      </c>
      <c r="Q9" s="11">
        <v>4692840</v>
      </c>
      <c r="R9" s="50">
        <v>4916160</v>
      </c>
      <c r="S9" s="50">
        <v>6263188</v>
      </c>
      <c r="T9" s="49">
        <f>S9*3</f>
        <v>18789564</v>
      </c>
      <c r="U9" s="59"/>
      <c r="V9" s="59"/>
      <c r="W9" s="59"/>
      <c r="X9" s="69"/>
      <c r="Y9" s="69"/>
      <c r="Z9" s="65"/>
      <c r="AA9" s="110"/>
      <c r="AB9" s="110"/>
      <c r="AC9" s="110"/>
      <c r="AD9" s="110"/>
      <c r="AE9" s="110"/>
      <c r="AF9" s="41"/>
      <c r="AG9" s="110"/>
      <c r="AH9" s="110"/>
      <c r="AI9" s="110"/>
      <c r="AJ9" s="41"/>
      <c r="AK9" s="110"/>
      <c r="AL9" s="110"/>
      <c r="AM9" s="110"/>
      <c r="AN9" s="110"/>
    </row>
    <row r="10" spans="1:41" x14ac:dyDescent="0.2">
      <c r="A10" s="3">
        <v>12</v>
      </c>
      <c r="B10" s="3" t="s">
        <v>1801</v>
      </c>
      <c r="C10" s="3" t="s">
        <v>252</v>
      </c>
      <c r="D10" s="105">
        <v>64</v>
      </c>
      <c r="E10" s="105">
        <v>67</v>
      </c>
      <c r="F10" s="106">
        <v>190</v>
      </c>
      <c r="G10" s="4">
        <v>35483</v>
      </c>
      <c r="H10" s="110">
        <f t="shared" ca="1" si="1"/>
        <v>23.7</v>
      </c>
      <c r="I10" s="3" t="s">
        <v>858</v>
      </c>
      <c r="J10" s="3">
        <v>3</v>
      </c>
      <c r="K10" s="3">
        <v>2018</v>
      </c>
      <c r="L10" s="3">
        <v>13</v>
      </c>
      <c r="M10" s="3" t="s">
        <v>1341</v>
      </c>
      <c r="N10" s="3" t="s">
        <v>1394</v>
      </c>
      <c r="O10" s="3" t="s">
        <v>1923</v>
      </c>
      <c r="P10" s="11">
        <v>3737520</v>
      </c>
      <c r="Q10" s="50">
        <v>5340916</v>
      </c>
      <c r="R10" s="49">
        <f>Q10*3</f>
        <v>16022748</v>
      </c>
      <c r="S10" s="3"/>
      <c r="T10" s="3"/>
      <c r="U10" s="3"/>
      <c r="V10" s="3"/>
      <c r="W10" s="3" t="s">
        <v>1802</v>
      </c>
      <c r="X10" s="107">
        <v>2</v>
      </c>
      <c r="Y10" s="107">
        <v>13</v>
      </c>
      <c r="Z10" s="41">
        <f>6/13</f>
        <v>0.46153846153846156</v>
      </c>
      <c r="AA10" s="110">
        <v>106</v>
      </c>
      <c r="AB10" s="110">
        <v>107.9</v>
      </c>
      <c r="AC10" s="110">
        <f t="shared" si="0"/>
        <v>-1.9000000000000057</v>
      </c>
      <c r="AD10" s="110">
        <v>20.9</v>
      </c>
      <c r="AE10" s="110">
        <v>8.1</v>
      </c>
      <c r="AF10" s="41">
        <v>0.46800000000000003</v>
      </c>
      <c r="AG10" s="110">
        <v>14.1</v>
      </c>
      <c r="AH10" s="110">
        <v>-0.1</v>
      </c>
      <c r="AI10" s="110">
        <v>0.1</v>
      </c>
      <c r="AJ10" s="41">
        <v>1.0999999999999999E-2</v>
      </c>
      <c r="AK10" s="110">
        <v>-3.3</v>
      </c>
      <c r="AL10" s="110">
        <v>-0.6</v>
      </c>
      <c r="AM10" s="110">
        <v>-0.1</v>
      </c>
      <c r="AN10" s="110">
        <v>5.9</v>
      </c>
    </row>
    <row r="11" spans="1:41" x14ac:dyDescent="0.2">
      <c r="A11" s="3">
        <v>6</v>
      </c>
      <c r="B11" s="3" t="s">
        <v>1803</v>
      </c>
      <c r="C11" s="3" t="s">
        <v>252</v>
      </c>
      <c r="D11" s="105">
        <v>66</v>
      </c>
      <c r="E11" s="105">
        <v>610</v>
      </c>
      <c r="F11" s="106">
        <v>215</v>
      </c>
      <c r="G11" s="4">
        <v>36369</v>
      </c>
      <c r="H11" s="110">
        <f t="shared" ca="1" si="1"/>
        <v>21.3</v>
      </c>
      <c r="I11" s="3" t="s">
        <v>763</v>
      </c>
      <c r="J11" s="3">
        <v>3</v>
      </c>
      <c r="K11" s="3">
        <v>2018</v>
      </c>
      <c r="L11" s="3">
        <v>15</v>
      </c>
      <c r="M11" s="3" t="s">
        <v>1804</v>
      </c>
      <c r="N11" s="3" t="s">
        <v>244</v>
      </c>
      <c r="O11" s="3" t="s">
        <v>1942</v>
      </c>
      <c r="P11" s="11">
        <v>3372840</v>
      </c>
      <c r="Q11" s="50">
        <v>5170564</v>
      </c>
      <c r="R11" s="49">
        <f>Q11*3</f>
        <v>15511692</v>
      </c>
      <c r="S11" s="3"/>
      <c r="T11" s="3"/>
      <c r="U11" s="3"/>
      <c r="V11" s="3"/>
      <c r="W11" s="3" t="s">
        <v>1805</v>
      </c>
      <c r="X11" s="107">
        <v>3</v>
      </c>
      <c r="Y11" s="107">
        <v>61</v>
      </c>
      <c r="Z11" s="41">
        <f>23/61</f>
        <v>0.37704918032786883</v>
      </c>
      <c r="AA11" s="110">
        <v>108.9</v>
      </c>
      <c r="AB11" s="110">
        <v>113.7</v>
      </c>
      <c r="AC11" s="110">
        <f t="shared" si="0"/>
        <v>-4.7999999999999972</v>
      </c>
      <c r="AD11" s="110">
        <v>24.9</v>
      </c>
      <c r="AE11" s="110">
        <v>13.7</v>
      </c>
      <c r="AF11" s="41">
        <v>0.53400000000000003</v>
      </c>
      <c r="AG11" s="110">
        <v>17</v>
      </c>
      <c r="AH11" s="110">
        <v>1.2</v>
      </c>
      <c r="AI11" s="110">
        <v>0.9</v>
      </c>
      <c r="AJ11" s="41">
        <v>6.9000000000000006E-2</v>
      </c>
      <c r="AK11" s="110">
        <v>-0.8</v>
      </c>
      <c r="AL11" s="110">
        <v>-0.4</v>
      </c>
      <c r="AM11" s="110">
        <v>0.3</v>
      </c>
      <c r="AN11" s="110">
        <v>9.9</v>
      </c>
    </row>
    <row r="12" spans="1:41" x14ac:dyDescent="0.2">
      <c r="A12" s="3">
        <v>21</v>
      </c>
      <c r="B12" s="3" t="s">
        <v>1806</v>
      </c>
      <c r="C12" s="3" t="s">
        <v>234</v>
      </c>
      <c r="D12" s="105">
        <v>611</v>
      </c>
      <c r="E12" s="105">
        <v>70</v>
      </c>
      <c r="F12" s="106">
        <v>245</v>
      </c>
      <c r="G12" s="4">
        <v>35546</v>
      </c>
      <c r="H12" s="110">
        <f t="shared" ca="1" si="1"/>
        <v>23.5</v>
      </c>
      <c r="I12" s="3" t="s">
        <v>425</v>
      </c>
      <c r="J12" s="3">
        <v>3</v>
      </c>
      <c r="K12" s="3">
        <v>2018</v>
      </c>
      <c r="L12" s="3">
        <v>25</v>
      </c>
      <c r="M12" s="3" t="s">
        <v>1303</v>
      </c>
      <c r="N12" s="3" t="s">
        <v>1304</v>
      </c>
      <c r="O12" s="3" t="s">
        <v>1943</v>
      </c>
      <c r="P12" s="11">
        <v>2161920</v>
      </c>
      <c r="Q12" s="50">
        <v>3893618</v>
      </c>
      <c r="R12" s="49">
        <f>Q12*3</f>
        <v>11680854</v>
      </c>
      <c r="S12" s="3"/>
      <c r="T12" s="3"/>
      <c r="U12" s="3"/>
      <c r="V12" s="3"/>
      <c r="W12" s="5" t="s">
        <v>238</v>
      </c>
      <c r="X12" s="107">
        <v>5</v>
      </c>
      <c r="Y12" s="107">
        <v>37</v>
      </c>
      <c r="Z12" s="41">
        <f>14/37</f>
        <v>0.3783783783783784</v>
      </c>
      <c r="AA12" s="110">
        <v>109.6</v>
      </c>
      <c r="AB12" s="110">
        <v>111.1</v>
      </c>
      <c r="AC12" s="110">
        <f t="shared" si="0"/>
        <v>-1.5</v>
      </c>
      <c r="AD12" s="110">
        <v>19.100000000000001</v>
      </c>
      <c r="AE12" s="110">
        <v>16.600000000000001</v>
      </c>
      <c r="AF12" s="41">
        <v>0.66600000000000004</v>
      </c>
      <c r="AG12" s="110">
        <v>18.8</v>
      </c>
      <c r="AH12" s="110">
        <v>1.3</v>
      </c>
      <c r="AI12" s="110">
        <v>0.5</v>
      </c>
      <c r="AJ12" s="41">
        <v>0.122</v>
      </c>
      <c r="AK12" s="110">
        <v>-1.2</v>
      </c>
      <c r="AL12" s="110">
        <v>-0.3</v>
      </c>
      <c r="AM12" s="110">
        <v>0.1</v>
      </c>
      <c r="AN12" s="110">
        <v>10</v>
      </c>
    </row>
    <row r="13" spans="1:41" x14ac:dyDescent="0.2">
      <c r="A13" s="3">
        <v>17</v>
      </c>
      <c r="B13" s="3" t="s">
        <v>187</v>
      </c>
      <c r="C13" s="3" t="s">
        <v>241</v>
      </c>
      <c r="D13" s="105">
        <v>68</v>
      </c>
      <c r="E13" s="105">
        <v>70</v>
      </c>
      <c r="F13" s="106">
        <v>180</v>
      </c>
      <c r="G13" s="4">
        <v>36472</v>
      </c>
      <c r="H13" s="110">
        <f t="shared" ca="1" si="1"/>
        <v>21</v>
      </c>
      <c r="I13" s="3" t="s">
        <v>1808</v>
      </c>
      <c r="J13" s="3">
        <v>3</v>
      </c>
      <c r="K13" s="3">
        <v>2018</v>
      </c>
      <c r="L13" s="3">
        <v>39</v>
      </c>
      <c r="M13" s="3" t="s">
        <v>1303</v>
      </c>
      <c r="N13" s="3" t="s">
        <v>813</v>
      </c>
      <c r="O13" s="159" t="s">
        <v>500</v>
      </c>
      <c r="P13" s="16">
        <v>1663861</v>
      </c>
      <c r="Q13" s="49">
        <v>2122822</v>
      </c>
      <c r="R13" s="3"/>
      <c r="S13" s="3"/>
      <c r="T13" s="3"/>
      <c r="U13" s="3"/>
      <c r="V13" s="3"/>
      <c r="W13" s="3" t="s">
        <v>1809</v>
      </c>
      <c r="X13" s="107">
        <v>3</v>
      </c>
      <c r="Y13" s="107">
        <v>58</v>
      </c>
      <c r="Z13" s="41">
        <f>21/58</f>
        <v>0.36206896551724138</v>
      </c>
      <c r="AA13" s="110">
        <v>109.3</v>
      </c>
      <c r="AB13" s="110">
        <v>107.4</v>
      </c>
      <c r="AC13" s="110">
        <f t="shared" si="0"/>
        <v>1.8999999999999915</v>
      </c>
      <c r="AD13" s="110">
        <v>17.7</v>
      </c>
      <c r="AE13" s="110">
        <v>10.7</v>
      </c>
      <c r="AF13" s="41">
        <v>0.627</v>
      </c>
      <c r="AG13" s="110">
        <v>10.3</v>
      </c>
      <c r="AH13" s="110">
        <v>1.3</v>
      </c>
      <c r="AI13" s="110">
        <v>0.4</v>
      </c>
      <c r="AJ13" s="41">
        <v>8.1000000000000003E-2</v>
      </c>
      <c r="AK13" s="110">
        <v>-2.4</v>
      </c>
      <c r="AL13" s="110">
        <v>0</v>
      </c>
      <c r="AM13" s="110">
        <v>-0.1</v>
      </c>
      <c r="AN13" s="110">
        <v>6.2</v>
      </c>
    </row>
    <row r="14" spans="1:41" x14ac:dyDescent="0.2">
      <c r="A14" s="3"/>
      <c r="B14" s="3" t="s">
        <v>141</v>
      </c>
      <c r="C14" s="3" t="s">
        <v>247</v>
      </c>
      <c r="D14" s="105">
        <v>61</v>
      </c>
      <c r="E14" s="105">
        <v>62</v>
      </c>
      <c r="F14" s="106">
        <v>180</v>
      </c>
      <c r="G14" s="4">
        <v>33743</v>
      </c>
      <c r="H14" s="110">
        <f ca="1">ROUNDDOWN(YEARFRAC($G$29,G14),1)</f>
        <v>28.5</v>
      </c>
      <c r="I14" s="3" t="s">
        <v>1516</v>
      </c>
      <c r="J14" s="3">
        <v>6</v>
      </c>
      <c r="K14" s="3">
        <v>2013</v>
      </c>
      <c r="L14" s="3">
        <v>47</v>
      </c>
      <c r="M14" s="3" t="s">
        <v>2559</v>
      </c>
      <c r="N14" s="3" t="s">
        <v>276</v>
      </c>
      <c r="O14" s="3" t="s">
        <v>2438</v>
      </c>
      <c r="P14" s="16">
        <v>1620564</v>
      </c>
      <c r="Q14" s="234"/>
      <c r="R14" s="3"/>
      <c r="S14" s="3"/>
      <c r="T14" s="3"/>
      <c r="U14" s="3"/>
      <c r="V14" s="3"/>
      <c r="W14" s="3" t="s">
        <v>1518</v>
      </c>
      <c r="X14" s="107">
        <v>1</v>
      </c>
      <c r="Y14" s="107">
        <v>49</v>
      </c>
      <c r="Z14" s="41">
        <f>27/49</f>
        <v>0.55102040816326525</v>
      </c>
      <c r="AA14" s="110">
        <v>100.6</v>
      </c>
      <c r="AB14" s="110">
        <v>98.7</v>
      </c>
      <c r="AC14" s="110">
        <f t="shared" si="0"/>
        <v>1.8999999999999915</v>
      </c>
      <c r="AD14" s="110">
        <v>11.5</v>
      </c>
      <c r="AE14" s="110">
        <v>11.5</v>
      </c>
      <c r="AF14" s="41">
        <v>0.56200000000000006</v>
      </c>
      <c r="AG14" s="110">
        <v>17.600000000000001</v>
      </c>
      <c r="AH14" s="110">
        <v>0.2</v>
      </c>
      <c r="AI14" s="110">
        <v>0.6</v>
      </c>
      <c r="AJ14" s="41">
        <v>7.0999999999999994E-2</v>
      </c>
      <c r="AK14" s="110">
        <v>-1.8</v>
      </c>
      <c r="AL14" s="110">
        <v>-0.1</v>
      </c>
      <c r="AM14" s="110">
        <v>0</v>
      </c>
      <c r="AN14" s="110">
        <v>8.9</v>
      </c>
    </row>
    <row r="15" spans="1:41" x14ac:dyDescent="0.2">
      <c r="A15" s="3">
        <v>18</v>
      </c>
      <c r="B15" s="3" t="s">
        <v>189</v>
      </c>
      <c r="C15" s="3" t="s">
        <v>234</v>
      </c>
      <c r="D15" s="105">
        <v>72</v>
      </c>
      <c r="E15" s="105">
        <v>74</v>
      </c>
      <c r="F15" s="106">
        <v>229</v>
      </c>
      <c r="G15" s="4">
        <v>35053</v>
      </c>
      <c r="H15" s="110">
        <f ca="1">ROUNDDOWN(YEARFRAC(G15,$G$29),1)</f>
        <v>24.9</v>
      </c>
      <c r="I15" s="3" t="s">
        <v>1762</v>
      </c>
      <c r="J15" s="3">
        <v>2</v>
      </c>
      <c r="K15" s="3">
        <v>2017</v>
      </c>
      <c r="L15" s="3">
        <v>25</v>
      </c>
      <c r="M15" s="3" t="s">
        <v>1814</v>
      </c>
      <c r="N15" s="3" t="s">
        <v>495</v>
      </c>
      <c r="O15" s="3" t="s">
        <v>1962</v>
      </c>
      <c r="P15" s="15">
        <v>1517981</v>
      </c>
      <c r="Q15" s="15">
        <v>1782621</v>
      </c>
      <c r="R15" s="49">
        <v>2228276</v>
      </c>
      <c r="S15" s="3"/>
      <c r="T15" s="3"/>
      <c r="U15" s="3"/>
      <c r="V15" s="3"/>
      <c r="W15" s="5" t="s">
        <v>238</v>
      </c>
      <c r="X15" s="107">
        <v>5</v>
      </c>
      <c r="Y15" s="107">
        <v>24</v>
      </c>
      <c r="Z15" s="41">
        <f>9/24</f>
        <v>0.375</v>
      </c>
      <c r="AA15" s="110">
        <v>109.3</v>
      </c>
      <c r="AB15" s="110">
        <v>108.9</v>
      </c>
      <c r="AC15" s="110">
        <f t="shared" si="0"/>
        <v>0.39999999999999147</v>
      </c>
      <c r="AD15" s="110">
        <v>16.899999999999999</v>
      </c>
      <c r="AE15" s="110">
        <v>11.6</v>
      </c>
      <c r="AF15" s="41">
        <v>0.55500000000000005</v>
      </c>
      <c r="AG15" s="110">
        <v>15.6</v>
      </c>
      <c r="AH15" s="110">
        <v>0.3</v>
      </c>
      <c r="AI15" s="110">
        <v>0.2</v>
      </c>
      <c r="AJ15" s="41">
        <v>5.6000000000000001E-2</v>
      </c>
      <c r="AK15" s="110">
        <v>-3.8</v>
      </c>
      <c r="AL15" s="110">
        <v>-1.6</v>
      </c>
      <c r="AM15" s="110">
        <v>-0.3</v>
      </c>
      <c r="AN15" s="110">
        <v>6.1</v>
      </c>
    </row>
    <row r="16" spans="1:41" x14ac:dyDescent="0.2">
      <c r="A16" s="3"/>
      <c r="B16" s="3" t="s">
        <v>2499</v>
      </c>
      <c r="C16" s="3" t="s">
        <v>241</v>
      </c>
      <c r="D16" s="105">
        <v>68</v>
      </c>
      <c r="E16" s="105"/>
      <c r="F16" s="106">
        <v>230</v>
      </c>
      <c r="G16" s="4">
        <v>33894</v>
      </c>
      <c r="H16" s="110">
        <f ca="1">ROUNDDOWN(YEARFRAC(G16,$G$29),1)</f>
        <v>28.1</v>
      </c>
      <c r="I16" s="3" t="s">
        <v>2500</v>
      </c>
      <c r="J16" s="3">
        <v>1</v>
      </c>
      <c r="K16" s="3">
        <v>2016</v>
      </c>
      <c r="L16" s="3"/>
      <c r="M16" s="3" t="s">
        <v>2436</v>
      </c>
      <c r="N16" s="3" t="s">
        <v>276</v>
      </c>
      <c r="O16" s="3" t="s">
        <v>2513</v>
      </c>
      <c r="P16" s="11">
        <v>898310</v>
      </c>
      <c r="Q16" s="11">
        <v>1517981</v>
      </c>
      <c r="R16" s="49"/>
      <c r="S16" s="3"/>
      <c r="T16" s="3"/>
      <c r="U16" s="3"/>
      <c r="V16" s="3"/>
      <c r="W16" s="5"/>
      <c r="X16" s="107"/>
      <c r="Y16" s="107"/>
      <c r="Z16" s="41"/>
      <c r="AA16" s="110"/>
      <c r="AB16" s="110"/>
      <c r="AC16" s="110"/>
      <c r="AD16" s="110"/>
      <c r="AE16" s="110"/>
      <c r="AF16" s="41"/>
      <c r="AG16" s="110"/>
      <c r="AH16" s="110"/>
      <c r="AI16" s="110"/>
      <c r="AJ16" s="41"/>
      <c r="AK16" s="110"/>
      <c r="AL16" s="110"/>
      <c r="AM16" s="110"/>
      <c r="AN16" s="110"/>
    </row>
    <row r="17" spans="1:40" x14ac:dyDescent="0.2">
      <c r="A17" s="3"/>
      <c r="B17" s="3" t="s">
        <v>2756</v>
      </c>
      <c r="C17" s="3"/>
      <c r="D17" s="105">
        <v>66</v>
      </c>
      <c r="E17" s="105"/>
      <c r="F17" s="106">
        <v>205</v>
      </c>
      <c r="G17" s="4">
        <v>35396</v>
      </c>
      <c r="H17" s="110">
        <f ca="1">ROUNDDOWN(YEARFRAC(G17,$G$29),1)</f>
        <v>24</v>
      </c>
      <c r="I17" s="3" t="s">
        <v>2757</v>
      </c>
      <c r="J17" s="3">
        <v>1</v>
      </c>
      <c r="K17" s="3">
        <v>2020</v>
      </c>
      <c r="L17" s="3"/>
      <c r="M17" s="3" t="s">
        <v>2436</v>
      </c>
      <c r="N17" s="3" t="s">
        <v>2403</v>
      </c>
      <c r="O17" s="3" t="s">
        <v>2533</v>
      </c>
      <c r="P17" s="11">
        <v>898310</v>
      </c>
      <c r="Q17" s="34"/>
      <c r="R17" s="16"/>
      <c r="S17" s="3"/>
      <c r="T17" s="3"/>
      <c r="U17" s="3"/>
      <c r="V17" s="3"/>
      <c r="W17" s="5"/>
      <c r="X17" s="107"/>
      <c r="Y17" s="107"/>
      <c r="Z17" s="41"/>
      <c r="AA17" s="110"/>
      <c r="AB17" s="110"/>
      <c r="AC17" s="110"/>
      <c r="AD17" s="110"/>
      <c r="AE17" s="110"/>
      <c r="AF17" s="41"/>
      <c r="AG17" s="110"/>
      <c r="AH17" s="110"/>
      <c r="AI17" s="110"/>
      <c r="AJ17" s="41"/>
      <c r="AK17" s="110"/>
      <c r="AL17" s="110"/>
      <c r="AM17" s="110"/>
      <c r="AN17" s="110"/>
    </row>
    <row r="18" spans="1:40" x14ac:dyDescent="0.2">
      <c r="A18" s="3">
        <v>24</v>
      </c>
      <c r="B18" s="3" t="s">
        <v>1815</v>
      </c>
      <c r="C18" s="3" t="s">
        <v>252</v>
      </c>
      <c r="D18" s="105">
        <v>65</v>
      </c>
      <c r="E18" s="105"/>
      <c r="F18" s="106">
        <v>215</v>
      </c>
      <c r="G18" s="4">
        <v>35362</v>
      </c>
      <c r="H18" s="110">
        <f ca="1">ROUNDDOWN(YEARFRAC(G18,$G$29),1)</f>
        <v>24</v>
      </c>
      <c r="I18" s="3" t="s">
        <v>1816</v>
      </c>
      <c r="J18" s="3">
        <v>2</v>
      </c>
      <c r="K18" s="3">
        <v>2019</v>
      </c>
      <c r="L18" s="3"/>
      <c r="M18" s="3" t="s">
        <v>925</v>
      </c>
      <c r="N18" s="3" t="s">
        <v>288</v>
      </c>
      <c r="O18" s="3" t="s">
        <v>2516</v>
      </c>
      <c r="P18" s="54" t="s">
        <v>288</v>
      </c>
      <c r="Q18" s="34"/>
      <c r="R18" s="3"/>
      <c r="S18" s="3"/>
      <c r="T18" s="3"/>
      <c r="U18" s="3"/>
      <c r="V18" s="3"/>
      <c r="W18" s="3" t="s">
        <v>1817</v>
      </c>
      <c r="X18" s="107">
        <v>3</v>
      </c>
      <c r="Y18" s="107">
        <v>18</v>
      </c>
      <c r="Z18" s="41">
        <f>8/18</f>
        <v>0.44444444444444442</v>
      </c>
      <c r="AA18" s="110">
        <v>111.8</v>
      </c>
      <c r="AB18" s="110">
        <v>104.7</v>
      </c>
      <c r="AC18" s="110">
        <f t="shared" si="0"/>
        <v>7.0999999999999943</v>
      </c>
      <c r="AD18" s="110">
        <v>12.6</v>
      </c>
      <c r="AE18" s="110">
        <v>13.1</v>
      </c>
      <c r="AF18" s="41">
        <v>0.69099999999999995</v>
      </c>
      <c r="AG18" s="110">
        <v>14.5</v>
      </c>
      <c r="AH18" s="110">
        <v>0.6</v>
      </c>
      <c r="AI18" s="110">
        <v>0</v>
      </c>
      <c r="AJ18" s="41">
        <v>0.129</v>
      </c>
      <c r="AK18" s="110">
        <v>-0.5</v>
      </c>
      <c r="AL18" s="110">
        <v>-0.6</v>
      </c>
      <c r="AM18" s="110">
        <v>0.1</v>
      </c>
      <c r="AN18" s="110">
        <v>7.8</v>
      </c>
    </row>
    <row r="19" spans="1:40" x14ac:dyDescent="0.2">
      <c r="A19" s="3"/>
      <c r="B19" s="3" t="s">
        <v>290</v>
      </c>
      <c r="C19" s="3"/>
      <c r="D19" s="105"/>
      <c r="E19" s="105"/>
      <c r="F19" s="106"/>
      <c r="G19" s="4"/>
      <c r="H19" s="110"/>
      <c r="I19" s="3"/>
      <c r="J19" s="3"/>
      <c r="K19" s="3"/>
      <c r="L19" s="3"/>
      <c r="M19" s="3"/>
      <c r="N19" s="3"/>
      <c r="O19" s="159"/>
      <c r="P19" s="16"/>
      <c r="Q19" s="16"/>
      <c r="R19" s="16"/>
      <c r="S19" s="3"/>
      <c r="T19" s="3"/>
      <c r="U19" s="3"/>
      <c r="V19" s="3"/>
      <c r="W19" s="5"/>
      <c r="X19" s="107"/>
      <c r="Y19" s="107"/>
      <c r="Z19" s="41"/>
      <c r="AA19" s="110"/>
      <c r="AB19" s="110"/>
      <c r="AC19" s="110"/>
      <c r="AD19" s="110"/>
      <c r="AE19" s="110"/>
      <c r="AF19" s="41"/>
      <c r="AG19" s="110"/>
      <c r="AH19" s="110"/>
      <c r="AI19" s="110"/>
      <c r="AJ19" s="41"/>
      <c r="AK19" s="110"/>
      <c r="AL19" s="110"/>
      <c r="AM19" s="110"/>
      <c r="AN19" s="110"/>
    </row>
    <row r="20" spans="1:40" x14ac:dyDescent="0.2">
      <c r="B20" s="2" t="s">
        <v>2367</v>
      </c>
      <c r="C20" s="59" t="s">
        <v>247</v>
      </c>
      <c r="D20" s="105">
        <v>61</v>
      </c>
      <c r="E20" s="105">
        <v>65</v>
      </c>
      <c r="F20" s="143">
        <v>185</v>
      </c>
      <c r="G20" s="62">
        <v>35854</v>
      </c>
      <c r="H20" s="110">
        <f ca="1">ROUNDDOWN(YEARFRAC(G20,$G$29),1)</f>
        <v>22.7</v>
      </c>
      <c r="I20" s="59" t="s">
        <v>489</v>
      </c>
      <c r="J20" s="70">
        <v>1</v>
      </c>
      <c r="K20" s="70">
        <v>2020</v>
      </c>
      <c r="L20" s="3">
        <v>53</v>
      </c>
      <c r="M20" s="2" t="s">
        <v>2368</v>
      </c>
      <c r="N20" s="9"/>
      <c r="O20" s="187"/>
      <c r="P20" s="180">
        <v>898310</v>
      </c>
      <c r="S20" s="16"/>
      <c r="T20" s="16"/>
      <c r="U20" s="78"/>
      <c r="V20" s="59"/>
      <c r="W20" s="59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59"/>
      <c r="B21" s="3"/>
      <c r="C21" s="59"/>
      <c r="D21" s="59"/>
      <c r="E21" s="59"/>
      <c r="F21" s="143"/>
      <c r="G21" s="59"/>
      <c r="H21" s="59"/>
      <c r="I21" s="59"/>
      <c r="J21" s="59"/>
      <c r="K21" s="59"/>
      <c r="L21" s="59"/>
      <c r="M21" s="59"/>
      <c r="N21" s="59"/>
      <c r="O21" s="59"/>
      <c r="P21" s="11"/>
      <c r="Q21" s="16"/>
      <c r="R21" s="16"/>
      <c r="S21" s="16"/>
      <c r="T21" s="16"/>
      <c r="U21" s="59"/>
      <c r="V21" s="59"/>
      <c r="W21" s="59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A22" s="3">
        <v>28</v>
      </c>
      <c r="B22" s="3" t="s">
        <v>184</v>
      </c>
      <c r="C22" s="3" t="s">
        <v>234</v>
      </c>
      <c r="D22" s="105">
        <v>611</v>
      </c>
      <c r="E22" s="105">
        <v>77</v>
      </c>
      <c r="F22" s="106">
        <v>262</v>
      </c>
      <c r="G22" s="4">
        <v>31721</v>
      </c>
      <c r="H22" s="110">
        <f t="shared" ref="H22:H27" ca="1" si="2">ROUNDDOWN(YEARFRAC(G22,$G$29),1)</f>
        <v>34</v>
      </c>
      <c r="I22" s="3" t="s">
        <v>1562</v>
      </c>
      <c r="J22" s="3">
        <v>13</v>
      </c>
      <c r="K22" s="3">
        <v>2005</v>
      </c>
      <c r="L22" s="3">
        <v>28</v>
      </c>
      <c r="M22" s="3" t="s">
        <v>1459</v>
      </c>
      <c r="N22" s="3"/>
      <c r="O22" s="3"/>
      <c r="P22" s="14">
        <v>23175077</v>
      </c>
      <c r="Q22" s="237"/>
      <c r="R22" s="237"/>
      <c r="S22" s="237"/>
      <c r="T22" s="237"/>
      <c r="U22" s="237"/>
      <c r="V22" s="3"/>
      <c r="W22" s="5" t="s">
        <v>238</v>
      </c>
      <c r="X22" s="107">
        <v>5</v>
      </c>
      <c r="Y22" s="107">
        <v>38</v>
      </c>
      <c r="Z22" s="41">
        <f>15/38</f>
        <v>0.39473684210526316</v>
      </c>
      <c r="AA22" s="110">
        <v>109.5</v>
      </c>
      <c r="AB22" s="110">
        <v>114</v>
      </c>
      <c r="AC22" s="110">
        <f t="shared" ref="AC22:AC25" si="3">AA22-AB22</f>
        <v>-4.5</v>
      </c>
      <c r="AD22" s="110">
        <v>21.3</v>
      </c>
      <c r="AE22" s="110">
        <v>14.1</v>
      </c>
      <c r="AF22" s="41">
        <v>0.54500000000000004</v>
      </c>
      <c r="AG22" s="110">
        <v>15.7</v>
      </c>
      <c r="AH22" s="110">
        <v>0.7</v>
      </c>
      <c r="AI22" s="110">
        <v>0.7</v>
      </c>
      <c r="AJ22" s="41">
        <v>8.2000000000000003E-2</v>
      </c>
      <c r="AK22" s="110">
        <v>-2.7</v>
      </c>
      <c r="AL22" s="110">
        <v>0</v>
      </c>
      <c r="AM22" s="110">
        <v>-0.2</v>
      </c>
      <c r="AN22" s="110">
        <v>7.8</v>
      </c>
    </row>
    <row r="23" spans="1:40" x14ac:dyDescent="0.2">
      <c r="A23" s="3">
        <v>5</v>
      </c>
      <c r="B23" s="3" t="s">
        <v>186</v>
      </c>
      <c r="C23" s="3" t="s">
        <v>247</v>
      </c>
      <c r="D23" s="105">
        <v>60</v>
      </c>
      <c r="E23" s="105">
        <v>62</v>
      </c>
      <c r="F23" s="106">
        <v>175</v>
      </c>
      <c r="G23" s="4">
        <v>33433</v>
      </c>
      <c r="H23" s="110">
        <f t="shared" ca="1" si="2"/>
        <v>29.3</v>
      </c>
      <c r="I23" s="3" t="s">
        <v>344</v>
      </c>
      <c r="J23" s="3">
        <v>6</v>
      </c>
      <c r="K23" s="3">
        <v>2014</v>
      </c>
      <c r="L23" s="3">
        <v>24</v>
      </c>
      <c r="M23" s="3" t="s">
        <v>1807</v>
      </c>
      <c r="N23" s="3"/>
      <c r="O23" s="3"/>
      <c r="P23" s="14">
        <v>1707576</v>
      </c>
      <c r="Q23" s="3"/>
      <c r="R23" s="3"/>
      <c r="S23" s="3"/>
      <c r="T23" s="3"/>
      <c r="U23" s="3"/>
      <c r="V23" s="3"/>
      <c r="W23" s="5" t="s">
        <v>284</v>
      </c>
      <c r="X23" s="107">
        <v>1</v>
      </c>
      <c r="Y23" s="107">
        <v>15</v>
      </c>
      <c r="Z23" s="41">
        <f>7/15</f>
        <v>0.46666666666666667</v>
      </c>
      <c r="AA23" s="110">
        <v>112.5</v>
      </c>
      <c r="AB23" s="110">
        <v>112.3</v>
      </c>
      <c r="AC23" s="110">
        <f t="shared" si="3"/>
        <v>0.20000000000000284</v>
      </c>
      <c r="AD23" s="110">
        <v>25.2</v>
      </c>
      <c r="AE23" s="110">
        <v>15.7</v>
      </c>
      <c r="AF23" s="41">
        <v>0.58699999999999997</v>
      </c>
      <c r="AG23" s="110">
        <v>20.7</v>
      </c>
      <c r="AH23" s="110">
        <v>0.4</v>
      </c>
      <c r="AI23" s="110">
        <v>0.2</v>
      </c>
      <c r="AJ23" s="41">
        <v>8.2000000000000003E-2</v>
      </c>
      <c r="AK23" s="110">
        <v>0.2</v>
      </c>
      <c r="AL23" s="110">
        <v>-0.2</v>
      </c>
      <c r="AM23" s="110">
        <v>0.2</v>
      </c>
      <c r="AN23" s="110">
        <v>10.3</v>
      </c>
    </row>
    <row r="24" spans="1:40" x14ac:dyDescent="0.2">
      <c r="A24" s="3">
        <v>20</v>
      </c>
      <c r="B24" s="3" t="s">
        <v>188</v>
      </c>
      <c r="C24" s="3" t="s">
        <v>241</v>
      </c>
      <c r="D24" s="105">
        <v>63</v>
      </c>
      <c r="E24" s="105">
        <v>68</v>
      </c>
      <c r="F24" s="106">
        <v>195</v>
      </c>
      <c r="G24" s="4">
        <v>33939</v>
      </c>
      <c r="H24" s="110">
        <f t="shared" ca="1" si="2"/>
        <v>27.9</v>
      </c>
      <c r="I24" s="3" t="s">
        <v>1684</v>
      </c>
      <c r="J24" s="3">
        <v>4</v>
      </c>
      <c r="K24" s="3">
        <v>2016</v>
      </c>
      <c r="L24" s="3"/>
      <c r="M24" s="3" t="s">
        <v>1810</v>
      </c>
      <c r="N24" s="3"/>
      <c r="O24" s="3"/>
      <c r="P24" s="14">
        <v>1707576</v>
      </c>
      <c r="Q24" s="3"/>
      <c r="R24" s="3"/>
      <c r="S24" s="3"/>
      <c r="T24" s="3"/>
      <c r="U24" s="3"/>
      <c r="V24" s="3"/>
      <c r="W24" s="3" t="s">
        <v>1811</v>
      </c>
      <c r="X24" s="107">
        <v>2</v>
      </c>
      <c r="Y24" s="107">
        <v>29</v>
      </c>
      <c r="Z24" s="41">
        <f>13/29</f>
        <v>0.44827586206896552</v>
      </c>
      <c r="AA24" s="110">
        <v>101.7</v>
      </c>
      <c r="AB24" s="110">
        <v>116.1</v>
      </c>
      <c r="AC24" s="110">
        <f t="shared" si="3"/>
        <v>-14.399999999999991</v>
      </c>
      <c r="AD24" s="110">
        <v>14.9</v>
      </c>
      <c r="AE24" s="110">
        <v>11.3</v>
      </c>
      <c r="AF24" s="41">
        <v>0.47299999999999998</v>
      </c>
      <c r="AG24" s="110">
        <v>13.4</v>
      </c>
      <c r="AH24" s="110">
        <v>0.1</v>
      </c>
      <c r="AI24" s="110">
        <v>0.4</v>
      </c>
      <c r="AJ24" s="41">
        <v>4.9000000000000002E-2</v>
      </c>
      <c r="AK24" s="110">
        <v>-3.1</v>
      </c>
      <c r="AL24" s="110">
        <v>1.5</v>
      </c>
      <c r="AM24" s="110">
        <v>0</v>
      </c>
      <c r="AN24" s="110">
        <v>6.9</v>
      </c>
    </row>
    <row r="25" spans="1:40" x14ac:dyDescent="0.2">
      <c r="A25" s="3">
        <v>19</v>
      </c>
      <c r="B25" s="3" t="s">
        <v>1818</v>
      </c>
      <c r="C25" s="3" t="s">
        <v>234</v>
      </c>
      <c r="D25" s="105">
        <v>69</v>
      </c>
      <c r="E25" s="105"/>
      <c r="F25" s="106">
        <v>228</v>
      </c>
      <c r="G25" s="4">
        <v>34841</v>
      </c>
      <c r="H25" s="110">
        <f t="shared" ca="1" si="2"/>
        <v>25.5</v>
      </c>
      <c r="I25" s="3" t="s">
        <v>973</v>
      </c>
      <c r="J25" s="3">
        <v>2</v>
      </c>
      <c r="K25" s="3">
        <v>2018</v>
      </c>
      <c r="L25" s="3"/>
      <c r="M25" s="3" t="s">
        <v>1770</v>
      </c>
      <c r="N25" s="3"/>
      <c r="O25" s="3"/>
      <c r="P25" s="34"/>
      <c r="Q25" s="3"/>
      <c r="R25" s="3"/>
      <c r="S25" s="3"/>
      <c r="T25" s="3"/>
      <c r="U25" s="3"/>
      <c r="V25" s="3"/>
      <c r="W25" s="3" t="s">
        <v>1629</v>
      </c>
      <c r="X25" s="107">
        <v>4</v>
      </c>
      <c r="Y25" s="107">
        <v>11</v>
      </c>
      <c r="Z25" s="41">
        <f>6/11</f>
        <v>0.54545454545454541</v>
      </c>
      <c r="AA25" s="110">
        <v>98.9</v>
      </c>
      <c r="AB25" s="110">
        <v>116.8</v>
      </c>
      <c r="AC25" s="110">
        <f t="shared" si="3"/>
        <v>-17.899999999999991</v>
      </c>
      <c r="AD25" s="110">
        <v>12.3</v>
      </c>
      <c r="AE25" s="110">
        <v>14.4</v>
      </c>
      <c r="AF25" s="41">
        <v>0.64300000000000002</v>
      </c>
      <c r="AG25" s="110">
        <v>9.6</v>
      </c>
      <c r="AH25" s="110">
        <v>0.3</v>
      </c>
      <c r="AI25" s="110">
        <v>0.1</v>
      </c>
      <c r="AJ25" s="41">
        <v>0.11600000000000001</v>
      </c>
      <c r="AK25" s="110">
        <v>-0.5</v>
      </c>
      <c r="AL25" s="110">
        <v>-1.3</v>
      </c>
      <c r="AM25" s="110">
        <v>0</v>
      </c>
      <c r="AN25" s="110">
        <v>11</v>
      </c>
    </row>
    <row r="26" spans="1:40" x14ac:dyDescent="0.2">
      <c r="A26" s="3">
        <v>22</v>
      </c>
      <c r="B26" s="3" t="s">
        <v>1874</v>
      </c>
      <c r="C26" s="3" t="s">
        <v>241</v>
      </c>
      <c r="D26" s="105">
        <v>64</v>
      </c>
      <c r="E26" s="105"/>
      <c r="F26" s="106">
        <v>198</v>
      </c>
      <c r="G26" s="4">
        <v>33886</v>
      </c>
      <c r="H26" s="110">
        <f t="shared" ca="1" si="2"/>
        <v>28.1</v>
      </c>
      <c r="I26" s="3" t="s">
        <v>1229</v>
      </c>
      <c r="J26" s="3">
        <v>5</v>
      </c>
      <c r="K26" s="3">
        <v>2015</v>
      </c>
      <c r="L26" s="3">
        <v>19</v>
      </c>
      <c r="M26" s="3" t="s">
        <v>1936</v>
      </c>
      <c r="N26" s="3"/>
      <c r="O26" s="3"/>
      <c r="P26" s="14">
        <v>1707576</v>
      </c>
      <c r="Q26" s="16"/>
      <c r="R26" s="16"/>
      <c r="S26" s="3"/>
      <c r="T26" s="3"/>
      <c r="U26" s="3"/>
      <c r="V26" s="3"/>
      <c r="W26" s="5"/>
      <c r="X26" s="107"/>
      <c r="Y26" s="107"/>
      <c r="Z26" s="41"/>
      <c r="AA26" s="110"/>
      <c r="AB26" s="110"/>
      <c r="AC26" s="110"/>
      <c r="AD26" s="110"/>
      <c r="AE26" s="110"/>
      <c r="AF26" s="41"/>
      <c r="AG26" s="110"/>
      <c r="AH26" s="110"/>
      <c r="AI26" s="110"/>
      <c r="AJ26" s="41"/>
      <c r="AK26" s="110"/>
      <c r="AL26" s="119"/>
      <c r="AM26" s="119"/>
      <c r="AN26" s="119"/>
    </row>
    <row r="27" spans="1:40" x14ac:dyDescent="0.2">
      <c r="A27" s="3">
        <v>7</v>
      </c>
      <c r="B27" s="3" t="s">
        <v>1934</v>
      </c>
      <c r="C27" s="3" t="s">
        <v>234</v>
      </c>
      <c r="D27" s="105">
        <v>69</v>
      </c>
      <c r="E27" s="105"/>
      <c r="F27" s="106">
        <v>220</v>
      </c>
      <c r="G27" s="4">
        <v>34108</v>
      </c>
      <c r="H27" s="110">
        <f t="shared" ca="1" si="2"/>
        <v>27.5</v>
      </c>
      <c r="I27" s="3" t="s">
        <v>1860</v>
      </c>
      <c r="J27" s="3">
        <v>2</v>
      </c>
      <c r="K27" s="3">
        <v>2016</v>
      </c>
      <c r="L27" s="3"/>
      <c r="M27" s="3" t="s">
        <v>1935</v>
      </c>
      <c r="N27" s="3"/>
      <c r="O27" s="3"/>
      <c r="P27" s="14">
        <v>1707576</v>
      </c>
      <c r="Q27" s="16"/>
      <c r="R27" s="16"/>
      <c r="S27" s="3"/>
      <c r="T27" s="3"/>
      <c r="U27" s="3"/>
      <c r="V27" s="3"/>
      <c r="W27" s="5"/>
      <c r="X27" s="107"/>
      <c r="Y27" s="107"/>
      <c r="Z27" s="41"/>
      <c r="AA27" s="110"/>
      <c r="AB27" s="110"/>
      <c r="AC27" s="110"/>
      <c r="AD27" s="110"/>
      <c r="AE27" s="110"/>
      <c r="AF27" s="41"/>
      <c r="AG27" s="110"/>
      <c r="AH27" s="110"/>
      <c r="AI27" s="110"/>
      <c r="AJ27" s="41"/>
      <c r="AK27" s="110"/>
      <c r="AL27" s="119"/>
      <c r="AM27" s="119"/>
      <c r="AN27" s="119"/>
    </row>
    <row r="28" spans="1:40" x14ac:dyDescent="0.2">
      <c r="A28" s="3"/>
      <c r="B28" s="3"/>
      <c r="C28" s="3"/>
      <c r="D28" s="105"/>
      <c r="E28" s="105"/>
      <c r="F28" s="106"/>
      <c r="G28" s="4"/>
      <c r="H28" s="110"/>
      <c r="I28" s="3"/>
      <c r="J28" s="3"/>
      <c r="K28" s="3"/>
      <c r="L28" s="3"/>
      <c r="M28" s="3"/>
      <c r="N28" s="3"/>
      <c r="O28" s="3"/>
      <c r="P28" s="16"/>
      <c r="Q28" s="16"/>
      <c r="R28" s="16"/>
      <c r="S28" s="3"/>
      <c r="T28" s="3"/>
      <c r="U28" s="3"/>
      <c r="V28" s="3"/>
      <c r="W28" s="5"/>
      <c r="X28" s="107"/>
      <c r="Y28" s="107"/>
      <c r="Z28" s="41"/>
      <c r="AA28" s="110"/>
      <c r="AB28" s="110"/>
      <c r="AC28" s="110"/>
      <c r="AD28" s="110"/>
      <c r="AE28" s="110"/>
      <c r="AF28" s="41"/>
      <c r="AG28" s="110"/>
      <c r="AH28" s="110"/>
      <c r="AI28" s="110"/>
      <c r="AJ28" s="41"/>
      <c r="AK28" s="110"/>
      <c r="AL28" s="119"/>
      <c r="AM28" s="119"/>
      <c r="AN28" s="119"/>
    </row>
    <row r="29" spans="1:40" x14ac:dyDescent="0.2">
      <c r="A29" s="59"/>
      <c r="B29" s="3"/>
      <c r="C29" s="59"/>
      <c r="D29" s="59"/>
      <c r="E29" s="59"/>
      <c r="F29" s="59"/>
      <c r="G29" s="62">
        <f ca="1">TODAY()</f>
        <v>44162</v>
      </c>
      <c r="H29" s="63">
        <f ca="1">AVERAGE(H2:H17)</f>
        <v>25.71875</v>
      </c>
      <c r="I29" s="59"/>
      <c r="J29" s="63">
        <f>AVERAGE(J2:J17)</f>
        <v>4.8125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9"/>
      <c r="Y29" s="69"/>
      <c r="Z29" s="65"/>
      <c r="AA29" s="119"/>
      <c r="AB29" s="119"/>
      <c r="AC29" s="119"/>
      <c r="AD29" s="119"/>
      <c r="AE29" s="119"/>
      <c r="AF29" s="65"/>
      <c r="AG29" s="119"/>
      <c r="AH29" s="119"/>
      <c r="AI29" s="119"/>
      <c r="AJ29" s="65"/>
      <c r="AK29" s="119"/>
      <c r="AL29" s="119"/>
      <c r="AM29" s="119"/>
      <c r="AN29" s="119"/>
    </row>
    <row r="30" spans="1:40" x14ac:dyDescent="0.2">
      <c r="A30" s="59"/>
      <c r="B30" s="59"/>
      <c r="C30" s="59"/>
      <c r="D30" s="59"/>
      <c r="E30" s="59"/>
      <c r="F30" s="59"/>
      <c r="G30" s="59"/>
      <c r="H30" s="63">
        <f ca="1">MEDIAN(H2:H17)</f>
        <v>24.45</v>
      </c>
      <c r="I30" s="59"/>
      <c r="J30" s="69">
        <f>MEDIAN(J2:J17)</f>
        <v>3</v>
      </c>
      <c r="K30" s="59"/>
      <c r="L30" s="59"/>
      <c r="M30" s="59"/>
      <c r="N30" s="59"/>
      <c r="O30" s="59"/>
      <c r="P30" s="64">
        <f>SUM(P2:P16)-P15+350000</f>
        <v>129607042</v>
      </c>
      <c r="Q30" s="59"/>
      <c r="R30" s="59"/>
      <c r="S30" s="59"/>
      <c r="T30" s="59"/>
      <c r="U30" s="59"/>
      <c r="V30" s="59"/>
      <c r="W30" s="59"/>
      <c r="X30" s="69"/>
      <c r="Y30" s="69"/>
      <c r="Z30" s="65"/>
      <c r="AA30" s="59"/>
      <c r="AB30" s="59"/>
      <c r="AC30" s="59"/>
      <c r="AD30" s="59"/>
      <c r="AE30" s="59"/>
      <c r="AF30" s="65"/>
      <c r="AG30" s="59"/>
      <c r="AH30" s="59"/>
      <c r="AI30" s="59"/>
      <c r="AJ30" s="65"/>
      <c r="AK30" s="59"/>
      <c r="AL30" s="59"/>
      <c r="AM30" s="59"/>
      <c r="AN30" s="59"/>
    </row>
    <row r="31" spans="1:40" x14ac:dyDescent="0.2">
      <c r="B31" s="197" t="s">
        <v>1985</v>
      </c>
      <c r="D31" s="59"/>
      <c r="E31" s="59"/>
      <c r="H31" s="59"/>
      <c r="P31" s="121">
        <f>SUM(P2:P16)</f>
        <v>130775023</v>
      </c>
      <c r="X31" s="134"/>
      <c r="Y31" s="134"/>
      <c r="Z31" s="124"/>
      <c r="AF31" s="124"/>
    </row>
    <row r="32" spans="1:40" x14ac:dyDescent="0.2">
      <c r="B32" s="3" t="s">
        <v>1876</v>
      </c>
      <c r="C32" s="59">
        <v>14</v>
      </c>
      <c r="D32" s="59"/>
      <c r="E32" s="59"/>
      <c r="P32" s="59"/>
      <c r="X32" s="134"/>
      <c r="Y32" s="134"/>
      <c r="Z32" s="124"/>
    </row>
    <row r="33" spans="2:26" x14ac:dyDescent="0.2">
      <c r="B33" s="3" t="s">
        <v>2457</v>
      </c>
      <c r="C33" s="59">
        <v>2</v>
      </c>
      <c r="D33" s="59"/>
      <c r="E33" s="59"/>
      <c r="I33" s="197"/>
      <c r="O33" s="165" t="s">
        <v>292</v>
      </c>
      <c r="P33" s="22" t="e">
        <f>#REF!</f>
        <v>#REF!</v>
      </c>
      <c r="X33" s="134"/>
      <c r="Y33" s="134"/>
      <c r="Z33" s="124"/>
    </row>
    <row r="34" spans="2:26" x14ac:dyDescent="0.2">
      <c r="B34" s="3" t="s">
        <v>2539</v>
      </c>
      <c r="C34" s="59">
        <v>1</v>
      </c>
      <c r="D34" s="62"/>
      <c r="E34" s="59"/>
      <c r="I34" s="3"/>
      <c r="O34" s="166" t="s">
        <v>294</v>
      </c>
      <c r="P34" s="22" t="e">
        <f>#REF!</f>
        <v>#REF!</v>
      </c>
      <c r="X34" s="134"/>
      <c r="Y34" s="134"/>
      <c r="Z34" s="124"/>
    </row>
    <row r="35" spans="2:26" x14ac:dyDescent="0.2">
      <c r="B35" s="3" t="s">
        <v>495</v>
      </c>
      <c r="C35" s="60">
        <f>9258000-P6</f>
        <v>1958000</v>
      </c>
      <c r="D35" s="62" t="s">
        <v>99</v>
      </c>
      <c r="E35" s="59"/>
      <c r="I35" s="3"/>
      <c r="O35" s="165" t="s">
        <v>2560</v>
      </c>
      <c r="P35" s="16">
        <v>138928000</v>
      </c>
      <c r="X35" s="134"/>
      <c r="Y35" s="134"/>
      <c r="Z35" s="124"/>
    </row>
    <row r="36" spans="2:26" x14ac:dyDescent="0.2">
      <c r="B36" s="3" t="s">
        <v>514</v>
      </c>
      <c r="C36" s="60">
        <f>3623000</f>
        <v>3623000</v>
      </c>
      <c r="D36" s="62"/>
      <c r="E36" s="59"/>
      <c r="I36" s="3"/>
      <c r="O36" s="165"/>
      <c r="X36" s="134"/>
      <c r="Y36" s="134"/>
      <c r="Z36" s="124"/>
    </row>
    <row r="37" spans="2:26" x14ac:dyDescent="0.2">
      <c r="B37" s="24" t="s">
        <v>293</v>
      </c>
      <c r="C37" s="60">
        <v>0</v>
      </c>
      <c r="D37" s="62"/>
      <c r="E37" s="59"/>
      <c r="I37" s="3"/>
      <c r="X37" s="134"/>
      <c r="Y37" s="134"/>
      <c r="Z37" s="124"/>
    </row>
    <row r="38" spans="2:26" x14ac:dyDescent="0.2">
      <c r="B38" s="3" t="s">
        <v>295</v>
      </c>
      <c r="C38" s="60">
        <v>0</v>
      </c>
      <c r="D38" s="59"/>
      <c r="E38" s="59"/>
      <c r="I38" s="3"/>
      <c r="O38" s="165"/>
      <c r="X38" s="134"/>
      <c r="Y38" s="134"/>
    </row>
    <row r="39" spans="2:26" x14ac:dyDescent="0.2">
      <c r="I39" s="3"/>
      <c r="J39" s="60"/>
      <c r="X39" s="134"/>
      <c r="Y39" s="134"/>
    </row>
    <row r="40" spans="2:26" x14ac:dyDescent="0.2">
      <c r="B40" s="71" t="s">
        <v>1875</v>
      </c>
      <c r="X40" s="134"/>
      <c r="Y40" s="134"/>
    </row>
    <row r="41" spans="2:26" x14ac:dyDescent="0.2">
      <c r="B41" s="164" t="s">
        <v>296</v>
      </c>
      <c r="C41" s="176">
        <f>25/(25+47)</f>
        <v>0.34722222222222221</v>
      </c>
      <c r="D41" t="s">
        <v>521</v>
      </c>
    </row>
    <row r="42" spans="2:26" x14ac:dyDescent="0.2">
      <c r="B42" s="59" t="s">
        <v>298</v>
      </c>
      <c r="C42" s="119">
        <v>110.2</v>
      </c>
      <c r="D42" t="s">
        <v>1965</v>
      </c>
    </row>
    <row r="43" spans="2:26" x14ac:dyDescent="0.2">
      <c r="B43" s="59" t="s">
        <v>299</v>
      </c>
      <c r="C43" s="119">
        <v>114.7</v>
      </c>
      <c r="D43" t="s">
        <v>1966</v>
      </c>
    </row>
    <row r="44" spans="2:26" x14ac:dyDescent="0.2">
      <c r="B44" s="59" t="s">
        <v>300</v>
      </c>
      <c r="C44" s="119">
        <f>C42-C43</f>
        <v>-4.5</v>
      </c>
      <c r="D44" t="s">
        <v>1688</v>
      </c>
    </row>
    <row r="45" spans="2:26" x14ac:dyDescent="0.2">
      <c r="B45" s="59" t="s">
        <v>301</v>
      </c>
      <c r="C45" s="63">
        <v>103.38</v>
      </c>
      <c r="D45" t="s">
        <v>1964</v>
      </c>
    </row>
    <row r="47" spans="2:26" x14ac:dyDescent="0.2">
      <c r="B47" s="2" t="s">
        <v>302</v>
      </c>
    </row>
    <row r="48" spans="2:26" x14ac:dyDescent="0.2">
      <c r="B48" s="2" t="s">
        <v>1819</v>
      </c>
    </row>
    <row r="49" spans="2:10" x14ac:dyDescent="0.2">
      <c r="B49" s="2" t="s">
        <v>1820</v>
      </c>
    </row>
    <row r="50" spans="2:10" x14ac:dyDescent="0.2">
      <c r="B50" s="10"/>
    </row>
    <row r="51" spans="2:10" x14ac:dyDescent="0.2">
      <c r="B51" s="2" t="s">
        <v>310</v>
      </c>
    </row>
    <row r="52" spans="2:10" x14ac:dyDescent="0.2">
      <c r="B52" s="2" t="s">
        <v>1821</v>
      </c>
    </row>
    <row r="53" spans="2:10" x14ac:dyDescent="0.2">
      <c r="B53" s="2" t="s">
        <v>1689</v>
      </c>
    </row>
    <row r="54" spans="2:10" x14ac:dyDescent="0.2">
      <c r="B54" s="2" t="s">
        <v>1822</v>
      </c>
    </row>
    <row r="55" spans="2:10" x14ac:dyDescent="0.2">
      <c r="B55" s="2"/>
    </row>
    <row r="56" spans="2:10" x14ac:dyDescent="0.2">
      <c r="B56" s="149" t="s">
        <v>1989</v>
      </c>
    </row>
    <row r="57" spans="2:10" x14ac:dyDescent="0.2">
      <c r="B57" s="37" t="s">
        <v>314</v>
      </c>
      <c r="C57" s="59">
        <v>25</v>
      </c>
      <c r="D57" s="59">
        <v>47</v>
      </c>
      <c r="E57" t="s">
        <v>521</v>
      </c>
      <c r="G57" t="s">
        <v>1438</v>
      </c>
      <c r="J57" s="141" t="s">
        <v>316</v>
      </c>
    </row>
    <row r="58" spans="2:10" x14ac:dyDescent="0.2">
      <c r="B58" s="37" t="s">
        <v>317</v>
      </c>
      <c r="C58" s="59">
        <v>32</v>
      </c>
      <c r="D58" s="59">
        <v>50</v>
      </c>
      <c r="E58" t="s">
        <v>523</v>
      </c>
      <c r="G58" t="s">
        <v>1438</v>
      </c>
      <c r="I58" s="141"/>
      <c r="J58" s="141" t="s">
        <v>316</v>
      </c>
    </row>
    <row r="59" spans="2:10" x14ac:dyDescent="0.2">
      <c r="B59" s="37" t="s">
        <v>319</v>
      </c>
      <c r="C59" s="59">
        <v>43</v>
      </c>
      <c r="D59" s="59">
        <v>39</v>
      </c>
      <c r="E59" t="s">
        <v>332</v>
      </c>
      <c r="G59" t="s">
        <v>1438</v>
      </c>
      <c r="J59" t="s">
        <v>1246</v>
      </c>
    </row>
    <row r="60" spans="2:10" x14ac:dyDescent="0.2">
      <c r="B60" s="37" t="s">
        <v>322</v>
      </c>
      <c r="C60" s="59">
        <v>49</v>
      </c>
      <c r="D60" s="59">
        <v>33</v>
      </c>
      <c r="E60" t="s">
        <v>326</v>
      </c>
      <c r="G60" t="s">
        <v>1438</v>
      </c>
      <c r="J60" t="s">
        <v>1823</v>
      </c>
    </row>
    <row r="61" spans="2:10" x14ac:dyDescent="0.2">
      <c r="B61" s="37" t="s">
        <v>325</v>
      </c>
      <c r="C61" s="59">
        <v>41</v>
      </c>
      <c r="D61" s="59">
        <v>41</v>
      </c>
      <c r="E61" t="s">
        <v>520</v>
      </c>
      <c r="G61" t="s">
        <v>1824</v>
      </c>
      <c r="I61" s="141"/>
      <c r="J61" s="141" t="s">
        <v>316</v>
      </c>
    </row>
    <row r="62" spans="2:10" x14ac:dyDescent="0.2">
      <c r="B62" s="37" t="s">
        <v>328</v>
      </c>
      <c r="C62" s="59">
        <v>46</v>
      </c>
      <c r="D62" s="59">
        <v>36</v>
      </c>
      <c r="E62" t="s">
        <v>323</v>
      </c>
      <c r="G62" t="s">
        <v>1824</v>
      </c>
      <c r="J62" t="s">
        <v>1825</v>
      </c>
    </row>
    <row r="63" spans="2:10" x14ac:dyDescent="0.2">
      <c r="B63" s="37" t="s">
        <v>331</v>
      </c>
      <c r="C63" s="59">
        <v>44</v>
      </c>
      <c r="D63" s="59">
        <v>38</v>
      </c>
      <c r="E63" t="s">
        <v>323</v>
      </c>
      <c r="G63" t="s">
        <v>1824</v>
      </c>
      <c r="J63" t="s">
        <v>1826</v>
      </c>
    </row>
    <row r="64" spans="2:10" x14ac:dyDescent="0.2">
      <c r="B64" s="37" t="s">
        <v>334</v>
      </c>
      <c r="C64" s="59">
        <v>29</v>
      </c>
      <c r="D64" s="59">
        <v>53</v>
      </c>
      <c r="E64" t="s">
        <v>318</v>
      </c>
      <c r="G64" t="s">
        <v>1824</v>
      </c>
      <c r="I64" s="141"/>
      <c r="J64" s="141" t="s">
        <v>316</v>
      </c>
    </row>
    <row r="65" spans="2:10" x14ac:dyDescent="0.2">
      <c r="B65" s="37" t="s">
        <v>338</v>
      </c>
      <c r="C65" s="59">
        <v>20</v>
      </c>
      <c r="D65" s="59">
        <v>46</v>
      </c>
      <c r="E65" t="s">
        <v>315</v>
      </c>
      <c r="G65" t="s">
        <v>1827</v>
      </c>
      <c r="J65" s="141" t="s">
        <v>316</v>
      </c>
    </row>
    <row r="66" spans="2:10" x14ac:dyDescent="0.2">
      <c r="B66" s="37" t="s">
        <v>340</v>
      </c>
      <c r="C66" s="59">
        <v>23</v>
      </c>
      <c r="D66" s="59">
        <v>59</v>
      </c>
      <c r="E66" t="s">
        <v>586</v>
      </c>
      <c r="G66" t="s">
        <v>1294</v>
      </c>
      <c r="J66" s="141" t="s">
        <v>316</v>
      </c>
    </row>
    <row r="67" spans="2:10" x14ac:dyDescent="0.2">
      <c r="B67" t="s">
        <v>342</v>
      </c>
      <c r="C67" s="59">
        <f>SUM(C57:C66)</f>
        <v>352</v>
      </c>
      <c r="D67" s="59">
        <f>SUM(D57:D66)</f>
        <v>442</v>
      </c>
      <c r="E67" s="65">
        <f>C67/(C67+D67)</f>
        <v>0.44332493702770781</v>
      </c>
    </row>
    <row r="68" spans="2:10" x14ac:dyDescent="0.2">
      <c r="C68" s="59"/>
      <c r="D68" s="59"/>
    </row>
    <row r="69" spans="2:10" x14ac:dyDescent="0.2">
      <c r="C69" s="59"/>
      <c r="D69" s="59"/>
    </row>
    <row r="70" spans="2:10" x14ac:dyDescent="0.2">
      <c r="C70" s="59"/>
      <c r="D70" s="59"/>
    </row>
    <row r="71" spans="2:10" x14ac:dyDescent="0.2">
      <c r="C71" s="59"/>
      <c r="D71" s="59"/>
    </row>
    <row r="72" spans="2:10" x14ac:dyDescent="0.2">
      <c r="C72" s="59"/>
      <c r="D72" s="59"/>
    </row>
    <row r="73" spans="2:10" x14ac:dyDescent="0.2">
      <c r="C73" s="59"/>
      <c r="D73" s="59"/>
    </row>
    <row r="74" spans="2:10" x14ac:dyDescent="0.2">
      <c r="C74" s="59"/>
      <c r="D74" s="59"/>
    </row>
    <row r="75" spans="2:10" x14ac:dyDescent="0.2">
      <c r="C75" s="59"/>
      <c r="D75" s="59"/>
    </row>
    <row r="76" spans="2:10" x14ac:dyDescent="0.2">
      <c r="C76" s="59"/>
      <c r="D76" s="59"/>
    </row>
    <row r="77" spans="2:10" x14ac:dyDescent="0.2">
      <c r="C77" s="59"/>
      <c r="D77" s="59"/>
    </row>
    <row r="78" spans="2:10" x14ac:dyDescent="0.2">
      <c r="C78" s="59"/>
      <c r="D78" s="59"/>
    </row>
    <row r="79" spans="2:10" x14ac:dyDescent="0.2">
      <c r="C79" s="59"/>
      <c r="D79" s="59"/>
    </row>
    <row r="80" spans="2:10" x14ac:dyDescent="0.2">
      <c r="C80" s="59"/>
      <c r="D80" s="59"/>
    </row>
    <row r="81" spans="3:4" x14ac:dyDescent="0.2">
      <c r="C81" s="59"/>
      <c r="D81" s="59"/>
    </row>
    <row r="82" spans="3:4" x14ac:dyDescent="0.2">
      <c r="C82" s="59"/>
      <c r="D82" s="59"/>
    </row>
    <row r="83" spans="3:4" x14ac:dyDescent="0.2">
      <c r="C83" s="59"/>
      <c r="D83" s="59"/>
    </row>
    <row r="84" spans="3:4" x14ac:dyDescent="0.2">
      <c r="C84" s="59"/>
      <c r="D84" s="59"/>
    </row>
    <row r="85" spans="3:4" x14ac:dyDescent="0.2">
      <c r="C85" s="59"/>
      <c r="D85" s="59"/>
    </row>
    <row r="86" spans="3:4" x14ac:dyDescent="0.2">
      <c r="C86" s="59"/>
      <c r="D86" s="59"/>
    </row>
    <row r="87" spans="3:4" x14ac:dyDescent="0.2">
      <c r="C87" s="59"/>
      <c r="D87" s="59"/>
    </row>
    <row r="88" spans="3:4" x14ac:dyDescent="0.2">
      <c r="C88" s="59"/>
      <c r="D88" s="59"/>
    </row>
    <row r="89" spans="3:4" x14ac:dyDescent="0.2">
      <c r="C89" s="59"/>
      <c r="D89" s="59"/>
    </row>
    <row r="90" spans="3:4" x14ac:dyDescent="0.2">
      <c r="C90" s="59"/>
      <c r="D90" s="59"/>
    </row>
    <row r="91" spans="3:4" x14ac:dyDescent="0.2">
      <c r="C91" s="59"/>
      <c r="D91" s="59"/>
    </row>
    <row r="92" spans="3:4" x14ac:dyDescent="0.2">
      <c r="C92" s="59"/>
      <c r="D92" s="59"/>
    </row>
    <row r="93" spans="3:4" x14ac:dyDescent="0.2">
      <c r="C93" s="59"/>
      <c r="D93" s="59"/>
    </row>
    <row r="94" spans="3:4" x14ac:dyDescent="0.2">
      <c r="C94" s="59"/>
      <c r="D94" s="59"/>
    </row>
    <row r="95" spans="3:4" x14ac:dyDescent="0.2">
      <c r="C95" s="59"/>
      <c r="D95" s="59"/>
    </row>
    <row r="96" spans="3:4" x14ac:dyDescent="0.2">
      <c r="C96" s="59"/>
      <c r="D96" s="59"/>
    </row>
    <row r="97" spans="3:4" x14ac:dyDescent="0.2">
      <c r="C97" s="59"/>
      <c r="D97" s="59"/>
    </row>
    <row r="98" spans="3:4" x14ac:dyDescent="0.2">
      <c r="C98" s="59"/>
      <c r="D98" s="59"/>
    </row>
    <row r="99" spans="3:4" x14ac:dyDescent="0.2">
      <c r="C99" s="59"/>
      <c r="D99" s="59"/>
    </row>
    <row r="100" spans="3:4" x14ac:dyDescent="0.2">
      <c r="C100" s="59"/>
      <c r="D100" s="59"/>
    </row>
    <row r="101" spans="3:4" x14ac:dyDescent="0.2">
      <c r="C101" s="59"/>
      <c r="D101" s="59"/>
    </row>
    <row r="102" spans="3:4" x14ac:dyDescent="0.2">
      <c r="C102" s="59"/>
      <c r="D102" s="59"/>
    </row>
    <row r="103" spans="3:4" x14ac:dyDescent="0.2">
      <c r="C103" s="59"/>
      <c r="D103" s="59"/>
    </row>
    <row r="104" spans="3:4" x14ac:dyDescent="0.2">
      <c r="C104" s="59"/>
      <c r="D104" s="59"/>
    </row>
    <row r="105" spans="3:4" x14ac:dyDescent="0.2">
      <c r="C105" s="59"/>
      <c r="D105" s="59"/>
    </row>
    <row r="106" spans="3:4" x14ac:dyDescent="0.2">
      <c r="C106" s="59"/>
      <c r="D106" s="59"/>
    </row>
    <row r="107" spans="3:4" x14ac:dyDescent="0.2">
      <c r="C107" s="59"/>
      <c r="D107" s="59"/>
    </row>
    <row r="108" spans="3:4" x14ac:dyDescent="0.2">
      <c r="C108" s="59"/>
      <c r="D108" s="59"/>
    </row>
    <row r="109" spans="3:4" x14ac:dyDescent="0.2">
      <c r="C109" s="59"/>
      <c r="D109" s="59"/>
    </row>
    <row r="110" spans="3:4" x14ac:dyDescent="0.2">
      <c r="C110" s="59"/>
      <c r="D110" s="59"/>
    </row>
    <row r="111" spans="3:4" x14ac:dyDescent="0.2">
      <c r="C111" s="59"/>
      <c r="D111" s="59"/>
    </row>
    <row r="112" spans="3:4" x14ac:dyDescent="0.2">
      <c r="C112" s="59"/>
      <c r="D112" s="59"/>
    </row>
    <row r="113" spans="3:4" x14ac:dyDescent="0.2">
      <c r="C113" s="59"/>
      <c r="D113" s="59"/>
    </row>
    <row r="114" spans="3:4" x14ac:dyDescent="0.2">
      <c r="C114" s="59"/>
      <c r="D114" s="59"/>
    </row>
    <row r="115" spans="3:4" x14ac:dyDescent="0.2">
      <c r="C115" s="59"/>
      <c r="D115" s="59"/>
    </row>
    <row r="116" spans="3:4" x14ac:dyDescent="0.2">
      <c r="C116" s="59"/>
      <c r="D116" s="59"/>
    </row>
    <row r="117" spans="3:4" x14ac:dyDescent="0.2">
      <c r="C117" s="59"/>
      <c r="D117" s="59"/>
    </row>
    <row r="118" spans="3:4" x14ac:dyDescent="0.2">
      <c r="C118" s="59"/>
      <c r="D118" s="59"/>
    </row>
    <row r="119" spans="3:4" x14ac:dyDescent="0.2">
      <c r="C119" s="59"/>
      <c r="D119" s="59"/>
    </row>
    <row r="120" spans="3:4" x14ac:dyDescent="0.2">
      <c r="C120" s="59"/>
      <c r="D120" s="59"/>
    </row>
    <row r="121" spans="3:4" x14ac:dyDescent="0.2">
      <c r="C121" s="59"/>
      <c r="D121" s="59"/>
    </row>
    <row r="122" spans="3:4" x14ac:dyDescent="0.2">
      <c r="C122" s="59"/>
      <c r="D122" s="59"/>
    </row>
    <row r="123" spans="3:4" x14ac:dyDescent="0.2">
      <c r="C123" s="59"/>
      <c r="D123" s="59"/>
    </row>
    <row r="124" spans="3:4" x14ac:dyDescent="0.2">
      <c r="C124" s="59"/>
      <c r="D124" s="59"/>
    </row>
    <row r="125" spans="3:4" x14ac:dyDescent="0.2">
      <c r="C125" s="59"/>
      <c r="D125" s="59"/>
    </row>
    <row r="126" spans="3:4" x14ac:dyDescent="0.2">
      <c r="C126" s="59"/>
      <c r="D126" s="59"/>
    </row>
    <row r="127" spans="3:4" x14ac:dyDescent="0.2">
      <c r="C127" s="59"/>
      <c r="D127" s="59"/>
    </row>
    <row r="128" spans="3:4" x14ac:dyDescent="0.2">
      <c r="C128" s="59"/>
      <c r="D128" s="59"/>
    </row>
    <row r="129" spans="3:4" x14ac:dyDescent="0.2">
      <c r="C129" s="59"/>
      <c r="D129" s="59"/>
    </row>
    <row r="130" spans="3:4" x14ac:dyDescent="0.2">
      <c r="C130" s="59"/>
      <c r="D130" s="59"/>
    </row>
    <row r="131" spans="3:4" x14ac:dyDescent="0.2">
      <c r="C131" s="59"/>
      <c r="D131" s="59"/>
    </row>
    <row r="132" spans="3:4" x14ac:dyDescent="0.2">
      <c r="C132" s="59"/>
      <c r="D132" s="59"/>
    </row>
    <row r="133" spans="3:4" x14ac:dyDescent="0.2">
      <c r="C133" s="59"/>
      <c r="D133" s="59"/>
    </row>
  </sheetData>
  <hyperlinks>
    <hyperlink ref="B57" r:id="rId1" xr:uid="{D5464C8E-E0DC-5442-A649-36FB6484B9F0}"/>
    <hyperlink ref="B58" r:id="rId2" xr:uid="{6C567820-5929-8A45-A416-6DFFA0F1158C}"/>
    <hyperlink ref="B59" r:id="rId3" xr:uid="{C7BFBD92-8ED4-3B4F-8C46-3648E0BC8EF4}"/>
    <hyperlink ref="B60" r:id="rId4" xr:uid="{4161A9E1-9AE4-E442-80BE-E6A593553EF8}"/>
    <hyperlink ref="B61" r:id="rId5" xr:uid="{A4B4D6BA-CD7B-484D-8B0E-1DDBB93A7D90}"/>
    <hyperlink ref="B62" r:id="rId6" xr:uid="{1108664E-537D-3446-9047-152F474864D7}"/>
    <hyperlink ref="B63" r:id="rId7" xr:uid="{EF13C123-3D05-1141-A1DB-74D5812AD7BC}"/>
    <hyperlink ref="B64" r:id="rId8" xr:uid="{F121A979-13D6-8643-94C1-1F74910B089D}"/>
    <hyperlink ref="B65" r:id="rId9" xr:uid="{61A989E3-3D7D-F24D-BE0D-B37FB97E0257}"/>
    <hyperlink ref="B66" r:id="rId10" xr:uid="{204FD134-C794-CB40-8B9A-08FBA4EDBA31}"/>
  </hyperlinks>
  <pageMargins left="0.7" right="0.7" top="0.75" bottom="0.75" header="0.3" footer="0.3"/>
  <ignoredErrors>
    <ignoredError sqref="H14" formula="1"/>
    <ignoredError sqref="J31 J29:J30" formulaRange="1"/>
  </ignoredErrors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1A94-B620-FC41-A862-ACF68DBDA649}">
  <dimension ref="A1:AP61"/>
  <sheetViews>
    <sheetView zoomScaleNormal="100" workbookViewId="0"/>
  </sheetViews>
  <sheetFormatPr baseColWidth="10" defaultColWidth="10.83203125" defaultRowHeight="16" x14ac:dyDescent="0.2"/>
  <cols>
    <col min="1" max="1" width="5.1640625" style="59" customWidth="1"/>
    <col min="2" max="2" width="19" style="59" customWidth="1"/>
    <col min="3" max="3" width="10.6640625" style="59" customWidth="1"/>
    <col min="4" max="4" width="7.6640625" style="59" bestFit="1" customWidth="1"/>
    <col min="5" max="5" width="10.33203125" style="59" customWidth="1"/>
    <col min="6" max="6" width="8" style="59" customWidth="1"/>
    <col min="7" max="7" width="10.1640625" style="59" customWidth="1"/>
    <col min="8" max="8" width="6.1640625" style="59" customWidth="1"/>
    <col min="9" max="9" width="18.33203125" style="59" customWidth="1"/>
    <col min="10" max="10" width="10.83203125" style="59" customWidth="1"/>
    <col min="11" max="11" width="11.6640625" style="59" customWidth="1"/>
    <col min="12" max="12" width="4.83203125" style="59" customWidth="1"/>
    <col min="13" max="13" width="33.1640625" style="59" customWidth="1"/>
    <col min="14" max="14" width="14.6640625" style="59" customWidth="1"/>
    <col min="15" max="15" width="46" style="59" customWidth="1"/>
    <col min="16" max="16" width="13.83203125" style="59" customWidth="1"/>
    <col min="17" max="18" width="12.5" style="59" customWidth="1"/>
    <col min="19" max="19" width="12.1640625" style="59" customWidth="1"/>
    <col min="20" max="20" width="12" style="59" customWidth="1"/>
    <col min="21" max="21" width="9.83203125" style="59" bestFit="1" customWidth="1"/>
    <col min="22" max="22" width="19" style="59" customWidth="1"/>
    <col min="23" max="23" width="27.33203125" style="59" customWidth="1"/>
    <col min="24" max="24" width="10.83203125" style="59"/>
    <col min="25" max="25" width="3.83203125" style="59" customWidth="1"/>
    <col min="26" max="26" width="7.83203125" style="59" customWidth="1"/>
    <col min="27" max="27" width="5.83203125" style="59" customWidth="1"/>
    <col min="28" max="28" width="6" style="59" customWidth="1"/>
    <col min="29" max="29" width="7.5" style="59" customWidth="1"/>
    <col min="30" max="30" width="5.1640625" style="59" customWidth="1"/>
    <col min="31" max="31" width="4.33203125" style="59" customWidth="1"/>
    <col min="32" max="32" width="6.1640625" style="59" customWidth="1"/>
    <col min="33" max="33" width="7.6640625" style="59" customWidth="1"/>
    <col min="34" max="35" width="5.1640625" style="59" customWidth="1"/>
    <col min="36" max="36" width="6.5" style="59" customWidth="1"/>
    <col min="37" max="37" width="6.6640625" style="59" customWidth="1"/>
    <col min="38" max="38" width="6.1640625" style="59" customWidth="1"/>
    <col min="39" max="39" width="5.83203125" style="59" customWidth="1"/>
    <col min="40" max="40" width="5" style="59" customWidth="1"/>
    <col min="41" max="16384" width="10.83203125" style="59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2" x14ac:dyDescent="0.2">
      <c r="A2" s="107"/>
      <c r="B2" s="24" t="s">
        <v>7</v>
      </c>
      <c r="C2" s="3" t="s">
        <v>241</v>
      </c>
      <c r="D2" s="105">
        <v>67</v>
      </c>
      <c r="E2" s="105">
        <v>68</v>
      </c>
      <c r="F2" s="106">
        <v>225</v>
      </c>
      <c r="G2" s="4">
        <v>32955</v>
      </c>
      <c r="H2" s="110">
        <f t="shared" ref="H2:H15" ca="1" si="0">ROUNDDOWN(YEARFRAC($G$24,G2),1)</f>
        <v>30.6</v>
      </c>
      <c r="I2" s="3" t="s">
        <v>348</v>
      </c>
      <c r="J2" s="3">
        <v>11</v>
      </c>
      <c r="K2" s="109">
        <v>2010</v>
      </c>
      <c r="L2" s="108">
        <v>9</v>
      </c>
      <c r="M2" s="3" t="s">
        <v>2510</v>
      </c>
      <c r="N2" s="3" t="s">
        <v>279</v>
      </c>
      <c r="O2" s="3" t="s">
        <v>2511</v>
      </c>
      <c r="P2" s="11">
        <v>27906977</v>
      </c>
      <c r="Q2" s="11">
        <v>29302326</v>
      </c>
      <c r="R2" s="16">
        <v>30697675</v>
      </c>
      <c r="S2" s="16">
        <v>32093024</v>
      </c>
      <c r="T2" s="14">
        <f>S2*1.5</f>
        <v>48139536</v>
      </c>
      <c r="U2" s="3"/>
      <c r="V2" s="3"/>
      <c r="W2" s="3" t="s">
        <v>349</v>
      </c>
      <c r="X2" s="107">
        <v>3</v>
      </c>
      <c r="Y2" s="107">
        <v>45</v>
      </c>
      <c r="Z2" s="41">
        <f>29/45</f>
        <v>0.64444444444444449</v>
      </c>
      <c r="AA2" s="110">
        <v>113</v>
      </c>
      <c r="AB2" s="110">
        <v>104.9</v>
      </c>
      <c r="AC2" s="110">
        <f t="shared" ref="AC2" si="1">AA2-AB2</f>
        <v>8.0999999999999943</v>
      </c>
      <c r="AD2" s="110">
        <v>33.4</v>
      </c>
      <c r="AE2" s="110">
        <v>18.2</v>
      </c>
      <c r="AF2" s="41">
        <v>0.59299999999999997</v>
      </c>
      <c r="AG2" s="110">
        <v>20.9</v>
      </c>
      <c r="AH2" s="110">
        <v>3.1</v>
      </c>
      <c r="AI2" s="110">
        <v>1.9</v>
      </c>
      <c r="AJ2" s="41">
        <v>0.16</v>
      </c>
      <c r="AK2" s="110">
        <v>2.6</v>
      </c>
      <c r="AL2" s="110">
        <v>0.3</v>
      </c>
      <c r="AM2" s="110">
        <v>1.8</v>
      </c>
      <c r="AN2" s="110">
        <v>13.3</v>
      </c>
      <c r="AO2" s="3"/>
      <c r="AP2" s="3"/>
    </row>
    <row r="3" spans="1:42" x14ac:dyDescent="0.2">
      <c r="A3" s="3">
        <v>3</v>
      </c>
      <c r="B3" s="3" t="s">
        <v>473</v>
      </c>
      <c r="C3" s="3" t="s">
        <v>230</v>
      </c>
      <c r="D3" s="105">
        <v>61</v>
      </c>
      <c r="E3" s="105">
        <v>68</v>
      </c>
      <c r="F3" s="106">
        <v>190</v>
      </c>
      <c r="G3" s="4">
        <v>34410</v>
      </c>
      <c r="H3" s="110">
        <f t="shared" ca="1" si="0"/>
        <v>26.6</v>
      </c>
      <c r="I3" s="3" t="s">
        <v>474</v>
      </c>
      <c r="J3" s="3">
        <v>6</v>
      </c>
      <c r="K3" s="109">
        <v>2015</v>
      </c>
      <c r="L3" s="109">
        <v>16</v>
      </c>
      <c r="M3" s="3" t="s">
        <v>475</v>
      </c>
      <c r="N3" s="3" t="s">
        <v>346</v>
      </c>
      <c r="O3" s="3" t="s">
        <v>1919</v>
      </c>
      <c r="P3" s="11">
        <v>18900000</v>
      </c>
      <c r="Q3" s="11">
        <v>17905263</v>
      </c>
      <c r="R3" s="14">
        <f>Q3*1.5</f>
        <v>26857894.5</v>
      </c>
      <c r="S3" s="12"/>
      <c r="T3" s="12"/>
      <c r="W3" s="59" t="s">
        <v>476</v>
      </c>
      <c r="X3" s="69">
        <v>2</v>
      </c>
      <c r="Y3" s="69">
        <v>63</v>
      </c>
      <c r="Z3" s="65">
        <f>21/63</f>
        <v>0.33333333333333331</v>
      </c>
      <c r="AA3" s="119">
        <v>104.5</v>
      </c>
      <c r="AB3" s="119">
        <v>113.4</v>
      </c>
      <c r="AC3" s="119">
        <f t="shared" ref="AC3:AC13" si="2">AA3-AB3</f>
        <v>-8.9000000000000057</v>
      </c>
      <c r="AD3" s="119">
        <v>34.4</v>
      </c>
      <c r="AE3" s="119">
        <v>14.9</v>
      </c>
      <c r="AF3" s="65">
        <v>0.55300000000000005</v>
      </c>
      <c r="AG3" s="119">
        <v>23.7</v>
      </c>
      <c r="AH3" s="119">
        <v>1.9</v>
      </c>
      <c r="AI3" s="119">
        <v>1.1000000000000001</v>
      </c>
      <c r="AJ3" s="65">
        <v>6.7000000000000004E-2</v>
      </c>
      <c r="AK3" s="119">
        <v>0.8</v>
      </c>
      <c r="AL3" s="119">
        <v>-1.3</v>
      </c>
      <c r="AM3" s="119">
        <v>0.8</v>
      </c>
      <c r="AN3" s="119">
        <v>10.3</v>
      </c>
    </row>
    <row r="4" spans="1:42" x14ac:dyDescent="0.2">
      <c r="A4" s="3">
        <v>40</v>
      </c>
      <c r="B4" s="3" t="s">
        <v>480</v>
      </c>
      <c r="C4" s="3" t="s">
        <v>234</v>
      </c>
      <c r="D4" s="105">
        <v>70</v>
      </c>
      <c r="E4" s="105">
        <v>611</v>
      </c>
      <c r="F4" s="106">
        <v>240</v>
      </c>
      <c r="G4" s="4">
        <v>33882</v>
      </c>
      <c r="H4" s="110">
        <f t="shared" ca="1" si="0"/>
        <v>28.1</v>
      </c>
      <c r="I4" s="3" t="s">
        <v>362</v>
      </c>
      <c r="J4" s="3">
        <v>8</v>
      </c>
      <c r="K4" s="109">
        <v>2013</v>
      </c>
      <c r="L4" s="109">
        <v>4</v>
      </c>
      <c r="M4" s="3" t="s">
        <v>481</v>
      </c>
      <c r="N4" s="3" t="s">
        <v>1</v>
      </c>
      <c r="O4" s="3" t="s">
        <v>1920</v>
      </c>
      <c r="P4" s="11">
        <v>15415730</v>
      </c>
      <c r="Q4" s="14">
        <f>P4*1.5</f>
        <v>23123595</v>
      </c>
      <c r="R4" s="12"/>
      <c r="S4" s="12"/>
      <c r="T4" s="12"/>
      <c r="W4" s="96" t="s">
        <v>238</v>
      </c>
      <c r="X4" s="69">
        <v>5</v>
      </c>
      <c r="Y4" s="69">
        <v>58</v>
      </c>
      <c r="Z4" s="65">
        <f>18/58</f>
        <v>0.31034482758620691</v>
      </c>
      <c r="AA4" s="119">
        <v>105.3</v>
      </c>
      <c r="AB4" s="119">
        <v>113.6</v>
      </c>
      <c r="AC4" s="119">
        <f t="shared" si="2"/>
        <v>-8.2999999999999972</v>
      </c>
      <c r="AD4" s="119">
        <v>23.1</v>
      </c>
      <c r="AE4" s="119">
        <v>18.8</v>
      </c>
      <c r="AF4" s="65">
        <v>0.57599999999999996</v>
      </c>
      <c r="AG4" s="119">
        <v>20.8</v>
      </c>
      <c r="AH4" s="119">
        <v>2.4</v>
      </c>
      <c r="AI4" s="119">
        <v>1.2</v>
      </c>
      <c r="AJ4" s="65">
        <v>0.129</v>
      </c>
      <c r="AK4" s="119">
        <v>0.2</v>
      </c>
      <c r="AL4" s="119">
        <v>-0.8</v>
      </c>
      <c r="AM4" s="119">
        <v>0.5</v>
      </c>
      <c r="AN4" s="119">
        <v>11.4</v>
      </c>
    </row>
    <row r="5" spans="1:42" x14ac:dyDescent="0.2">
      <c r="A5" s="61">
        <v>2</v>
      </c>
      <c r="B5" s="3" t="s">
        <v>2238</v>
      </c>
      <c r="C5" s="59" t="s">
        <v>230</v>
      </c>
      <c r="D5" s="142">
        <v>67</v>
      </c>
      <c r="E5" s="142">
        <v>67</v>
      </c>
      <c r="F5" s="143">
        <v>181</v>
      </c>
      <c r="G5" s="62">
        <v>37125</v>
      </c>
      <c r="H5" s="110">
        <f t="shared" ca="1" si="0"/>
        <v>19.2</v>
      </c>
      <c r="I5" s="59" t="s">
        <v>2247</v>
      </c>
      <c r="J5" s="59">
        <v>1</v>
      </c>
      <c r="K5" s="78">
        <v>2020</v>
      </c>
      <c r="L5" s="109">
        <v>3</v>
      </c>
      <c r="M5" s="16" t="s">
        <v>2245</v>
      </c>
      <c r="N5" s="16" t="s">
        <v>244</v>
      </c>
      <c r="O5" s="16" t="s">
        <v>2246</v>
      </c>
      <c r="P5" s="11">
        <v>7839960</v>
      </c>
      <c r="Q5" s="11">
        <v>8231760</v>
      </c>
      <c r="R5" s="50">
        <v>8623920</v>
      </c>
      <c r="S5" s="50">
        <f>R5*1.264</f>
        <v>10900634.880000001</v>
      </c>
      <c r="T5" s="49">
        <f>S5*3</f>
        <v>32701904.640000001</v>
      </c>
      <c r="X5" s="69"/>
      <c r="Y5" s="69"/>
      <c r="Z5" s="65"/>
      <c r="AA5" s="119"/>
      <c r="AB5" s="119"/>
      <c r="AC5" s="119"/>
      <c r="AD5" s="119"/>
      <c r="AE5" s="119"/>
      <c r="AF5" s="65"/>
      <c r="AG5" s="119"/>
      <c r="AH5" s="119"/>
      <c r="AI5" s="119"/>
      <c r="AJ5" s="65"/>
      <c r="AK5" s="119"/>
      <c r="AL5" s="119"/>
      <c r="AM5" s="119"/>
      <c r="AN5" s="119"/>
    </row>
    <row r="6" spans="1:42" x14ac:dyDescent="0.2">
      <c r="A6" s="3">
        <v>1</v>
      </c>
      <c r="B6" s="3" t="s">
        <v>482</v>
      </c>
      <c r="C6" s="3" t="s">
        <v>252</v>
      </c>
      <c r="D6" s="105">
        <v>63</v>
      </c>
      <c r="E6" s="105">
        <v>64</v>
      </c>
      <c r="F6" s="106">
        <v>200</v>
      </c>
      <c r="G6" s="4">
        <v>35830</v>
      </c>
      <c r="H6" s="110">
        <f t="shared" ca="1" si="0"/>
        <v>22.8</v>
      </c>
      <c r="I6" s="3" t="s">
        <v>266</v>
      </c>
      <c r="J6" s="3">
        <v>4</v>
      </c>
      <c r="K6" s="109">
        <v>2017</v>
      </c>
      <c r="L6" s="109">
        <v>11</v>
      </c>
      <c r="M6" s="3" t="s">
        <v>483</v>
      </c>
      <c r="N6" s="3" t="s">
        <v>244</v>
      </c>
      <c r="O6" s="3" t="s">
        <v>1921</v>
      </c>
      <c r="P6" s="11">
        <v>5345687</v>
      </c>
      <c r="Q6" s="49">
        <v>16037061</v>
      </c>
      <c r="R6" s="12"/>
      <c r="S6" s="12"/>
      <c r="T6" s="12"/>
      <c r="W6" s="59" t="s">
        <v>484</v>
      </c>
      <c r="X6" s="69">
        <v>2</v>
      </c>
      <c r="Y6" s="69">
        <v>55</v>
      </c>
      <c r="Z6" s="65">
        <f>18/55</f>
        <v>0.32727272727272727</v>
      </c>
      <c r="AA6" s="119">
        <v>101.8</v>
      </c>
      <c r="AB6" s="119">
        <v>112.3</v>
      </c>
      <c r="AC6" s="119">
        <f t="shared" si="2"/>
        <v>-10.5</v>
      </c>
      <c r="AD6" s="119">
        <v>21.3</v>
      </c>
      <c r="AE6" s="119">
        <v>12.7</v>
      </c>
      <c r="AF6" s="65">
        <v>0.53</v>
      </c>
      <c r="AG6" s="119">
        <v>22.9</v>
      </c>
      <c r="AH6" s="119">
        <v>0.1</v>
      </c>
      <c r="AI6" s="119">
        <v>0.6</v>
      </c>
      <c r="AJ6" s="65">
        <v>2.8000000000000001E-2</v>
      </c>
      <c r="AK6" s="119">
        <v>-1</v>
      </c>
      <c r="AL6" s="119">
        <v>-1.3</v>
      </c>
      <c r="AM6" s="119">
        <v>-0.1</v>
      </c>
      <c r="AN6" s="119">
        <v>9.1</v>
      </c>
    </row>
    <row r="7" spans="1:42" x14ac:dyDescent="0.2">
      <c r="A7" s="3">
        <v>25</v>
      </c>
      <c r="B7" s="3" t="s">
        <v>485</v>
      </c>
      <c r="C7" s="3" t="s">
        <v>234</v>
      </c>
      <c r="D7" s="105">
        <v>67</v>
      </c>
      <c r="E7" s="105">
        <v>73</v>
      </c>
      <c r="F7" s="106">
        <v>230</v>
      </c>
      <c r="G7" s="4">
        <v>36030</v>
      </c>
      <c r="H7" s="110">
        <f t="shared" ca="1" si="0"/>
        <v>22.2</v>
      </c>
      <c r="I7" s="3" t="s">
        <v>266</v>
      </c>
      <c r="J7" s="3">
        <v>2</v>
      </c>
      <c r="K7" s="109">
        <v>2019</v>
      </c>
      <c r="L7" s="109">
        <v>12</v>
      </c>
      <c r="M7" s="3" t="s">
        <v>486</v>
      </c>
      <c r="N7" s="3" t="s">
        <v>244</v>
      </c>
      <c r="O7" s="3" t="s">
        <v>1922</v>
      </c>
      <c r="P7" s="11">
        <v>4023600</v>
      </c>
      <c r="Q7" s="50">
        <v>4215120</v>
      </c>
      <c r="R7" s="50">
        <v>5808435</v>
      </c>
      <c r="S7" s="49">
        <v>17425305</v>
      </c>
      <c r="T7" s="3"/>
      <c r="W7" s="59" t="s">
        <v>487</v>
      </c>
      <c r="X7" s="69">
        <v>4</v>
      </c>
      <c r="Y7" s="69">
        <v>58</v>
      </c>
      <c r="Z7" s="65">
        <f>22/58</f>
        <v>0.37931034482758619</v>
      </c>
      <c r="AA7" s="119">
        <v>103.9</v>
      </c>
      <c r="AB7" s="119">
        <v>110.1</v>
      </c>
      <c r="AC7" s="119">
        <f t="shared" si="2"/>
        <v>-6.1999999999999886</v>
      </c>
      <c r="AD7" s="119">
        <v>30.3</v>
      </c>
      <c r="AE7" s="119">
        <v>12.4</v>
      </c>
      <c r="AF7" s="65">
        <v>0.54700000000000004</v>
      </c>
      <c r="AG7" s="119">
        <v>18.600000000000001</v>
      </c>
      <c r="AH7" s="119">
        <v>0.5</v>
      </c>
      <c r="AI7" s="119">
        <v>1.4</v>
      </c>
      <c r="AJ7" s="65">
        <v>5.3999999999999999E-2</v>
      </c>
      <c r="AK7" s="119">
        <v>-1.7</v>
      </c>
      <c r="AL7" s="119">
        <v>0.1</v>
      </c>
      <c r="AM7" s="119">
        <v>0.2</v>
      </c>
      <c r="AN7" s="119">
        <v>8.3000000000000007</v>
      </c>
    </row>
    <row r="8" spans="1:42" x14ac:dyDescent="0.2">
      <c r="A8" s="3">
        <v>0</v>
      </c>
      <c r="B8" s="3" t="s">
        <v>488</v>
      </c>
      <c r="C8" s="3" t="s">
        <v>241</v>
      </c>
      <c r="D8" s="105">
        <v>66</v>
      </c>
      <c r="E8" s="105">
        <v>69</v>
      </c>
      <c r="F8" s="106">
        <v>225</v>
      </c>
      <c r="G8" s="4">
        <v>35875</v>
      </c>
      <c r="H8" s="110">
        <f t="shared" ca="1" si="0"/>
        <v>22.6</v>
      </c>
      <c r="I8" s="3" t="s">
        <v>489</v>
      </c>
      <c r="J8" s="3">
        <v>3</v>
      </c>
      <c r="K8" s="109">
        <v>2018</v>
      </c>
      <c r="L8" s="109">
        <v>12</v>
      </c>
      <c r="M8" s="3" t="s">
        <v>490</v>
      </c>
      <c r="N8" s="3" t="s">
        <v>244</v>
      </c>
      <c r="O8" s="3" t="s">
        <v>1923</v>
      </c>
      <c r="P8" s="11">
        <v>3934320</v>
      </c>
      <c r="Q8" s="50">
        <v>5421493</v>
      </c>
      <c r="R8" s="49">
        <v>16264479</v>
      </c>
      <c r="S8" s="12"/>
      <c r="T8" s="12"/>
      <c r="W8" s="59" t="s">
        <v>491</v>
      </c>
      <c r="X8" s="69">
        <v>3</v>
      </c>
      <c r="Y8" s="69">
        <v>65</v>
      </c>
      <c r="Z8" s="65">
        <f>23/65</f>
        <v>0.35384615384615387</v>
      </c>
      <c r="AA8" s="119">
        <v>104.4</v>
      </c>
      <c r="AB8" s="119">
        <v>114</v>
      </c>
      <c r="AC8" s="119">
        <f t="shared" si="2"/>
        <v>-9.5999999999999943</v>
      </c>
      <c r="AD8" s="119">
        <v>30.7</v>
      </c>
      <c r="AE8" s="119">
        <v>12.1</v>
      </c>
      <c r="AF8" s="65">
        <v>0.52</v>
      </c>
      <c r="AG8" s="119">
        <v>20</v>
      </c>
      <c r="AH8" s="119">
        <v>0.3</v>
      </c>
      <c r="AI8" s="119">
        <v>1.3</v>
      </c>
      <c r="AJ8" s="65">
        <v>3.7999999999999999E-2</v>
      </c>
      <c r="AK8" s="119">
        <v>-1.5</v>
      </c>
      <c r="AL8" s="119">
        <v>-1</v>
      </c>
      <c r="AM8" s="119">
        <v>-0.3</v>
      </c>
      <c r="AN8" s="119">
        <v>8.1999999999999993</v>
      </c>
    </row>
    <row r="9" spans="1:42" x14ac:dyDescent="0.2">
      <c r="A9" s="3">
        <v>4</v>
      </c>
      <c r="B9" s="3" t="s">
        <v>497</v>
      </c>
      <c r="C9" s="3" t="s">
        <v>247</v>
      </c>
      <c r="D9" s="105">
        <v>61</v>
      </c>
      <c r="E9" s="105">
        <v>66</v>
      </c>
      <c r="F9" s="106">
        <v>195</v>
      </c>
      <c r="G9" s="4">
        <v>34752</v>
      </c>
      <c r="H9" s="110">
        <f t="shared" ca="1" si="0"/>
        <v>25.7</v>
      </c>
      <c r="I9" s="3" t="s">
        <v>498</v>
      </c>
      <c r="J9" s="3">
        <v>3</v>
      </c>
      <c r="K9" s="109">
        <v>2018</v>
      </c>
      <c r="L9" s="109">
        <v>34</v>
      </c>
      <c r="M9" s="3" t="s">
        <v>499</v>
      </c>
      <c r="N9" s="3" t="s">
        <v>495</v>
      </c>
      <c r="O9" s="168" t="s">
        <v>500</v>
      </c>
      <c r="P9" s="16">
        <v>1663861</v>
      </c>
      <c r="Q9" s="49">
        <v>2122822</v>
      </c>
      <c r="R9" s="12"/>
      <c r="S9" s="12"/>
      <c r="T9" s="12"/>
      <c r="W9" s="96" t="s">
        <v>284</v>
      </c>
      <c r="X9" s="69">
        <v>1</v>
      </c>
      <c r="Y9" s="69">
        <v>63</v>
      </c>
      <c r="Z9" s="65">
        <f>23/63</f>
        <v>0.36507936507936506</v>
      </c>
      <c r="AA9" s="119">
        <v>107.4</v>
      </c>
      <c r="AB9" s="119">
        <v>111.8</v>
      </c>
      <c r="AC9" s="119">
        <f t="shared" si="2"/>
        <v>-4.3999999999999915</v>
      </c>
      <c r="AD9" s="119">
        <v>35.1</v>
      </c>
      <c r="AE9" s="119">
        <v>15.8</v>
      </c>
      <c r="AF9" s="65">
        <v>0.53700000000000003</v>
      </c>
      <c r="AG9" s="119">
        <v>24.8</v>
      </c>
      <c r="AH9" s="119">
        <v>2.5</v>
      </c>
      <c r="AI9" s="119">
        <v>0.9</v>
      </c>
      <c r="AJ9" s="65">
        <v>7.2999999999999995E-2</v>
      </c>
      <c r="AK9" s="119">
        <v>2.6</v>
      </c>
      <c r="AL9" s="119">
        <v>-2.1</v>
      </c>
      <c r="AM9" s="119">
        <v>1.4</v>
      </c>
      <c r="AN9" s="119">
        <v>10.9</v>
      </c>
    </row>
    <row r="10" spans="1:42" x14ac:dyDescent="0.2">
      <c r="A10" s="3">
        <v>8</v>
      </c>
      <c r="B10" s="3" t="s">
        <v>18</v>
      </c>
      <c r="C10" s="3" t="s">
        <v>234</v>
      </c>
      <c r="D10" s="105">
        <v>68</v>
      </c>
      <c r="E10" s="105">
        <v>77</v>
      </c>
      <c r="F10" s="106">
        <v>255</v>
      </c>
      <c r="G10" s="4">
        <v>33844</v>
      </c>
      <c r="H10" s="110">
        <f t="shared" ca="1" si="0"/>
        <v>28.2</v>
      </c>
      <c r="I10" s="3" t="s">
        <v>477</v>
      </c>
      <c r="J10" s="3">
        <v>10</v>
      </c>
      <c r="K10" s="109">
        <v>2011</v>
      </c>
      <c r="L10" s="109">
        <v>7</v>
      </c>
      <c r="M10" s="3" t="s">
        <v>478</v>
      </c>
      <c r="N10" s="3" t="s">
        <v>276</v>
      </c>
      <c r="O10" s="3" t="s">
        <v>2438</v>
      </c>
      <c r="P10" s="16">
        <v>1620564</v>
      </c>
      <c r="Q10" s="236"/>
      <c r="R10" s="12"/>
      <c r="S10" s="12"/>
      <c r="T10" s="12"/>
      <c r="W10" s="59" t="s">
        <v>479</v>
      </c>
      <c r="X10" s="69">
        <v>5</v>
      </c>
      <c r="Y10" s="69">
        <v>53</v>
      </c>
      <c r="Z10" s="65">
        <f>18/53</f>
        <v>0.33962264150943394</v>
      </c>
      <c r="AA10" s="119">
        <v>104.1</v>
      </c>
      <c r="AB10" s="119">
        <v>110.8</v>
      </c>
      <c r="AC10" s="119">
        <f t="shared" si="2"/>
        <v>-6.7000000000000028</v>
      </c>
      <c r="AD10" s="119">
        <v>19.399999999999999</v>
      </c>
      <c r="AE10" s="119">
        <v>16.100000000000001</v>
      </c>
      <c r="AF10" s="65">
        <v>0.56999999999999995</v>
      </c>
      <c r="AG10" s="119">
        <v>16.8</v>
      </c>
      <c r="AH10" s="119">
        <v>1.5</v>
      </c>
      <c r="AI10" s="119">
        <v>0.9</v>
      </c>
      <c r="AJ10" s="65">
        <v>0.113</v>
      </c>
      <c r="AK10" s="119">
        <v>-1.8</v>
      </c>
      <c r="AL10" s="119">
        <v>-0.7</v>
      </c>
      <c r="AM10" s="119">
        <v>-0.1</v>
      </c>
      <c r="AN10" s="119">
        <v>9.6999999999999993</v>
      </c>
    </row>
    <row r="11" spans="1:42" x14ac:dyDescent="0.2">
      <c r="A11" s="3">
        <v>11</v>
      </c>
      <c r="B11" s="3" t="s">
        <v>501</v>
      </c>
      <c r="C11" s="3" t="s">
        <v>252</v>
      </c>
      <c r="D11" s="105">
        <v>65</v>
      </c>
      <c r="E11" s="105">
        <v>610</v>
      </c>
      <c r="F11" s="106">
        <v>205</v>
      </c>
      <c r="G11" s="4">
        <v>34970</v>
      </c>
      <c r="H11" s="110">
        <f t="shared" ca="1" si="0"/>
        <v>25.1</v>
      </c>
      <c r="I11" s="3" t="s">
        <v>502</v>
      </c>
      <c r="J11" s="3">
        <v>2</v>
      </c>
      <c r="K11" s="109">
        <v>2019</v>
      </c>
      <c r="L11" s="109">
        <v>36</v>
      </c>
      <c r="M11" s="3" t="s">
        <v>503</v>
      </c>
      <c r="N11" s="3" t="s">
        <v>495</v>
      </c>
      <c r="O11" s="3" t="s">
        <v>750</v>
      </c>
      <c r="P11" s="11">
        <v>1517981</v>
      </c>
      <c r="Q11" s="30">
        <v>1782621</v>
      </c>
      <c r="R11" s="49">
        <v>2228276</v>
      </c>
      <c r="S11" s="12"/>
      <c r="T11" s="12"/>
      <c r="W11" s="59" t="s">
        <v>504</v>
      </c>
      <c r="X11" s="69">
        <v>3</v>
      </c>
      <c r="Y11" s="69">
        <v>48</v>
      </c>
      <c r="Z11" s="65">
        <f>16/48</f>
        <v>0.33333333333333331</v>
      </c>
      <c r="AA11" s="119">
        <v>104.5</v>
      </c>
      <c r="AB11" s="119">
        <v>107.7</v>
      </c>
      <c r="AC11" s="119">
        <f t="shared" si="2"/>
        <v>-3.2000000000000028</v>
      </c>
      <c r="AD11" s="119">
        <v>18.8</v>
      </c>
      <c r="AE11" s="119">
        <v>10.5</v>
      </c>
      <c r="AF11" s="65">
        <v>0.505</v>
      </c>
      <c r="AG11" s="119">
        <v>13.6</v>
      </c>
      <c r="AH11" s="119">
        <v>0.2</v>
      </c>
      <c r="AI11" s="119">
        <v>0.8</v>
      </c>
      <c r="AJ11" s="65">
        <v>5.1999999999999998E-2</v>
      </c>
      <c r="AK11" s="119">
        <v>-3.1</v>
      </c>
      <c r="AL11" s="119">
        <v>1</v>
      </c>
      <c r="AM11" s="119">
        <v>0</v>
      </c>
      <c r="AN11" s="119">
        <v>7.6</v>
      </c>
    </row>
    <row r="12" spans="1:42" x14ac:dyDescent="0.2">
      <c r="A12" s="3">
        <v>10</v>
      </c>
      <c r="B12" s="3" t="s">
        <v>21</v>
      </c>
      <c r="C12" s="3" t="s">
        <v>252</v>
      </c>
      <c r="D12" s="105">
        <v>65</v>
      </c>
      <c r="E12" s="105">
        <v>610</v>
      </c>
      <c r="F12" s="106">
        <v>205</v>
      </c>
      <c r="G12" s="4">
        <v>34970</v>
      </c>
      <c r="H12" s="110">
        <f t="shared" ca="1" si="0"/>
        <v>25.1</v>
      </c>
      <c r="I12" s="3" t="s">
        <v>502</v>
      </c>
      <c r="J12" s="3">
        <v>2</v>
      </c>
      <c r="K12" s="109">
        <v>2019</v>
      </c>
      <c r="L12" s="109"/>
      <c r="M12" s="3" t="s">
        <v>505</v>
      </c>
      <c r="N12" s="3" t="s">
        <v>495</v>
      </c>
      <c r="O12" s="159" t="s">
        <v>443</v>
      </c>
      <c r="P12" s="15">
        <v>1517981</v>
      </c>
      <c r="Q12" s="15">
        <v>1782621</v>
      </c>
      <c r="R12" s="49">
        <v>2228276</v>
      </c>
      <c r="S12" s="12"/>
      <c r="T12" s="12"/>
      <c r="W12" s="59" t="s">
        <v>506</v>
      </c>
      <c r="X12" s="69">
        <v>2</v>
      </c>
      <c r="Y12" s="69">
        <v>18</v>
      </c>
      <c r="Z12" s="65">
        <f>6/18</f>
        <v>0.33333333333333331</v>
      </c>
      <c r="AA12" s="119">
        <v>103.2</v>
      </c>
      <c r="AB12" s="119">
        <v>102.4</v>
      </c>
      <c r="AC12" s="119">
        <f t="shared" si="2"/>
        <v>0.79999999999999716</v>
      </c>
      <c r="AD12" s="119">
        <v>17.600000000000001</v>
      </c>
      <c r="AE12" s="119">
        <v>12</v>
      </c>
      <c r="AF12" s="65">
        <v>0.59499999999999997</v>
      </c>
      <c r="AG12" s="119">
        <v>15</v>
      </c>
      <c r="AH12" s="119">
        <v>0.3</v>
      </c>
      <c r="AI12" s="119">
        <v>0.2</v>
      </c>
      <c r="AJ12" s="65">
        <v>8.1000000000000003E-2</v>
      </c>
      <c r="AK12" s="119">
        <v>-1.6</v>
      </c>
      <c r="AL12" s="119">
        <v>0.5</v>
      </c>
      <c r="AM12" s="119">
        <v>0.1</v>
      </c>
      <c r="AN12" s="119">
        <v>7.7</v>
      </c>
    </row>
    <row r="13" spans="1:42" x14ac:dyDescent="0.2">
      <c r="A13" s="3">
        <v>6</v>
      </c>
      <c r="B13" s="3" t="s">
        <v>22</v>
      </c>
      <c r="C13" s="3" t="s">
        <v>252</v>
      </c>
      <c r="D13" s="105">
        <v>610</v>
      </c>
      <c r="E13" s="105">
        <v>71</v>
      </c>
      <c r="F13" s="106">
        <v>205</v>
      </c>
      <c r="G13" s="4">
        <v>35826</v>
      </c>
      <c r="H13" s="110">
        <f t="shared" ca="1" si="0"/>
        <v>22.8</v>
      </c>
      <c r="I13" s="3" t="s">
        <v>507</v>
      </c>
      <c r="J13" s="3">
        <v>2</v>
      </c>
      <c r="K13" s="109">
        <v>2019</v>
      </c>
      <c r="L13" s="109">
        <v>52</v>
      </c>
      <c r="M13" s="3" t="s">
        <v>508</v>
      </c>
      <c r="N13" s="3" t="s">
        <v>495</v>
      </c>
      <c r="O13" s="159" t="s">
        <v>384</v>
      </c>
      <c r="P13" s="15">
        <v>1517981</v>
      </c>
      <c r="Q13" s="15">
        <v>1782621</v>
      </c>
      <c r="R13" s="48">
        <v>1930681</v>
      </c>
      <c r="S13" s="14">
        <v>2046307</v>
      </c>
      <c r="T13" s="3"/>
      <c r="W13" s="59" t="s">
        <v>509</v>
      </c>
      <c r="X13" s="69">
        <v>4</v>
      </c>
      <c r="Y13" s="69">
        <v>16</v>
      </c>
      <c r="Z13" s="65">
        <f>7/16</f>
        <v>0.4375</v>
      </c>
      <c r="AA13" s="119">
        <v>105.3</v>
      </c>
      <c r="AB13" s="119">
        <v>108.8</v>
      </c>
      <c r="AC13" s="119">
        <f t="shared" si="2"/>
        <v>-3.5</v>
      </c>
      <c r="AD13" s="119">
        <v>18.3</v>
      </c>
      <c r="AE13" s="119">
        <v>10.7</v>
      </c>
      <c r="AF13" s="65">
        <v>0.57399999999999995</v>
      </c>
      <c r="AG13" s="119">
        <v>13.3</v>
      </c>
      <c r="AH13" s="119">
        <v>0.2</v>
      </c>
      <c r="AI13" s="119">
        <v>0.2</v>
      </c>
      <c r="AJ13" s="65">
        <v>7.8E-2</v>
      </c>
      <c r="AK13" s="119">
        <v>-3.3</v>
      </c>
      <c r="AL13" s="119">
        <v>0</v>
      </c>
      <c r="AM13" s="119">
        <v>-0.1</v>
      </c>
      <c r="AN13" s="119">
        <v>7.5</v>
      </c>
    </row>
    <row r="14" spans="1:42" x14ac:dyDescent="0.2">
      <c r="A14" s="3">
        <v>26</v>
      </c>
      <c r="B14" s="3" t="s">
        <v>513</v>
      </c>
      <c r="C14" s="3" t="s">
        <v>234</v>
      </c>
      <c r="D14" s="105">
        <v>69</v>
      </c>
      <c r="E14" s="105">
        <v>75</v>
      </c>
      <c r="F14" s="106">
        <v>225</v>
      </c>
      <c r="G14" s="4">
        <v>35500</v>
      </c>
      <c r="H14" s="110">
        <f t="shared" ca="1" si="0"/>
        <v>23.7</v>
      </c>
      <c r="I14" s="3" t="s">
        <v>474</v>
      </c>
      <c r="J14" s="3">
        <v>3</v>
      </c>
      <c r="K14" s="109">
        <v>2018</v>
      </c>
      <c r="L14" s="109">
        <v>56</v>
      </c>
      <c r="M14" s="3" t="s">
        <v>452</v>
      </c>
      <c r="N14" s="3" t="s">
        <v>288</v>
      </c>
      <c r="O14" s="3" t="s">
        <v>2552</v>
      </c>
      <c r="P14" s="54" t="s">
        <v>288</v>
      </c>
      <c r="Q14" s="52"/>
      <c r="R14" s="12"/>
      <c r="S14" s="12"/>
      <c r="T14" s="12"/>
      <c r="X14" s="69"/>
      <c r="Y14" s="69"/>
      <c r="Z14" s="65"/>
      <c r="AA14" s="119"/>
      <c r="AB14" s="119"/>
      <c r="AC14" s="119"/>
      <c r="AD14" s="119"/>
      <c r="AE14" s="119"/>
      <c r="AF14" s="65"/>
      <c r="AG14" s="119"/>
      <c r="AH14" s="119"/>
      <c r="AI14" s="119"/>
      <c r="AJ14" s="65"/>
      <c r="AK14" s="119"/>
      <c r="AL14" s="119"/>
      <c r="AM14" s="119"/>
      <c r="AN14" s="119"/>
    </row>
    <row r="15" spans="1:42" x14ac:dyDescent="0.2">
      <c r="A15" s="3"/>
      <c r="B15" s="3" t="s">
        <v>2398</v>
      </c>
      <c r="C15" s="3" t="s">
        <v>2280</v>
      </c>
      <c r="D15" s="105">
        <v>65</v>
      </c>
      <c r="E15" s="105"/>
      <c r="F15" s="106">
        <v>200</v>
      </c>
      <c r="G15" s="4">
        <v>36037</v>
      </c>
      <c r="H15" s="110">
        <f t="shared" ca="1" si="0"/>
        <v>22.2</v>
      </c>
      <c r="I15" s="3" t="s">
        <v>2399</v>
      </c>
      <c r="J15" s="3">
        <v>1</v>
      </c>
      <c r="K15" s="109">
        <v>2020</v>
      </c>
      <c r="L15" s="109"/>
      <c r="M15" s="3" t="s">
        <v>2436</v>
      </c>
      <c r="N15" s="3" t="s">
        <v>288</v>
      </c>
      <c r="O15" s="3" t="s">
        <v>2516</v>
      </c>
      <c r="P15" s="54" t="s">
        <v>288</v>
      </c>
      <c r="Q15" s="52"/>
      <c r="R15" s="12"/>
      <c r="S15" s="12"/>
      <c r="T15" s="12"/>
      <c r="X15" s="69"/>
      <c r="Y15" s="69"/>
      <c r="Z15" s="65"/>
      <c r="AA15" s="119"/>
      <c r="AB15" s="119"/>
      <c r="AC15" s="119"/>
      <c r="AD15" s="119"/>
      <c r="AE15" s="119"/>
      <c r="AF15" s="65"/>
      <c r="AG15" s="119"/>
      <c r="AH15" s="119"/>
      <c r="AI15" s="119"/>
      <c r="AJ15" s="65"/>
      <c r="AK15" s="119"/>
      <c r="AL15" s="119"/>
      <c r="AM15" s="119"/>
      <c r="AN15" s="119"/>
    </row>
    <row r="16" spans="1:42" x14ac:dyDescent="0.2">
      <c r="A16" s="3"/>
      <c r="B16" s="3" t="s">
        <v>290</v>
      </c>
      <c r="C16" s="3"/>
      <c r="D16" s="105"/>
      <c r="E16" s="105"/>
      <c r="F16" s="106"/>
      <c r="G16" s="4"/>
      <c r="H16" s="110"/>
      <c r="I16" s="3"/>
      <c r="J16" s="3"/>
      <c r="K16" s="109"/>
      <c r="L16" s="109"/>
      <c r="M16" s="3"/>
      <c r="N16" s="3"/>
      <c r="O16" s="159"/>
      <c r="P16" s="57">
        <f>9043478</f>
        <v>9043478</v>
      </c>
      <c r="Q16" s="57">
        <f>9043478</f>
        <v>9043478</v>
      </c>
      <c r="R16" s="57">
        <f>9043478</f>
        <v>9043478</v>
      </c>
      <c r="S16" s="12"/>
      <c r="T16" s="12"/>
      <c r="X16" s="69"/>
      <c r="Y16" s="69"/>
      <c r="Z16" s="65"/>
      <c r="AA16" s="119"/>
      <c r="AB16" s="119"/>
      <c r="AC16" s="119"/>
      <c r="AD16" s="119"/>
      <c r="AE16" s="119"/>
      <c r="AF16" s="65"/>
      <c r="AG16" s="119"/>
      <c r="AH16" s="119"/>
      <c r="AI16" s="119"/>
      <c r="AJ16" s="65"/>
      <c r="AK16" s="119"/>
      <c r="AL16" s="119"/>
      <c r="AM16" s="119"/>
      <c r="AN16" s="119"/>
    </row>
    <row r="17" spans="1:40" x14ac:dyDescent="0.2">
      <c r="B17" s="3" t="s">
        <v>2325</v>
      </c>
      <c r="C17" s="59" t="s">
        <v>234</v>
      </c>
      <c r="D17" s="142">
        <v>610</v>
      </c>
      <c r="E17" s="142">
        <v>70</v>
      </c>
      <c r="F17" s="143">
        <v>270</v>
      </c>
      <c r="G17" s="62">
        <v>36947</v>
      </c>
      <c r="H17" s="110">
        <f ca="1">ROUNDDOWN(YEARFRAC($G$24,G17),1)</f>
        <v>19.7</v>
      </c>
      <c r="I17" s="59" t="s">
        <v>253</v>
      </c>
      <c r="J17" s="59">
        <v>1</v>
      </c>
      <c r="K17" s="78">
        <v>2020</v>
      </c>
      <c r="L17" s="109">
        <v>32</v>
      </c>
      <c r="M17" s="78" t="s">
        <v>2326</v>
      </c>
      <c r="N17" s="78"/>
      <c r="O17" s="118"/>
      <c r="P17" s="180">
        <v>898310</v>
      </c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 t="s">
        <v>2345</v>
      </c>
      <c r="C18" s="3" t="s">
        <v>234</v>
      </c>
      <c r="D18" s="105">
        <v>611</v>
      </c>
      <c r="E18" s="105">
        <v>74</v>
      </c>
      <c r="F18" s="106">
        <v>247</v>
      </c>
      <c r="G18" s="4">
        <v>35763</v>
      </c>
      <c r="H18" s="119">
        <f ca="1">ROUNDDOWN(YEARFRAC($G$24,G18),1)</f>
        <v>22.9</v>
      </c>
      <c r="I18" t="s">
        <v>266</v>
      </c>
      <c r="J18" s="3">
        <v>1</v>
      </c>
      <c r="K18" s="107">
        <v>2020</v>
      </c>
      <c r="L18" s="107">
        <v>42</v>
      </c>
      <c r="M18" s="2" t="s">
        <v>2346</v>
      </c>
      <c r="N18" s="2"/>
      <c r="O18"/>
      <c r="P18" s="180">
        <v>898310</v>
      </c>
      <c r="Q18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B19" s="3" t="s">
        <v>2374</v>
      </c>
      <c r="C19" s="59" t="s">
        <v>2280</v>
      </c>
      <c r="D19" s="142">
        <v>63</v>
      </c>
      <c r="E19" s="142">
        <v>65</v>
      </c>
      <c r="F19" s="143">
        <v>190</v>
      </c>
      <c r="G19" s="62">
        <v>35469</v>
      </c>
      <c r="H19" s="119">
        <f ca="1">ROUNDDOWN(YEARFRAC($G$24,G19),1)</f>
        <v>23.8</v>
      </c>
      <c r="I19" s="59" t="s">
        <v>2387</v>
      </c>
      <c r="J19" s="59">
        <v>1</v>
      </c>
      <c r="K19" s="78">
        <v>2020</v>
      </c>
      <c r="L19" s="107">
        <v>56</v>
      </c>
      <c r="M19" s="78" t="s">
        <v>2375</v>
      </c>
      <c r="N19" s="78"/>
      <c r="O19" s="78"/>
      <c r="P19" s="180">
        <v>898310</v>
      </c>
      <c r="S19" s="237"/>
      <c r="T19" s="237"/>
      <c r="U19" s="237"/>
      <c r="V19" s="237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B20" s="3"/>
      <c r="D20" s="142"/>
      <c r="E20" s="142"/>
      <c r="F20" s="143"/>
      <c r="G20" s="62"/>
      <c r="H20" s="119"/>
      <c r="K20" s="78"/>
      <c r="L20" s="107"/>
      <c r="M20" s="78"/>
      <c r="N20" s="78"/>
      <c r="O20" s="78"/>
      <c r="P20" s="180"/>
      <c r="Q20" s="64"/>
      <c r="S20" s="237"/>
      <c r="T20" s="237"/>
      <c r="U20" s="237"/>
      <c r="V20" s="237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3">
        <v>5</v>
      </c>
      <c r="B21" s="3" t="s">
        <v>17</v>
      </c>
      <c r="C21" s="3" t="s">
        <v>252</v>
      </c>
      <c r="D21" s="105">
        <v>69</v>
      </c>
      <c r="E21" s="105">
        <v>74</v>
      </c>
      <c r="F21" s="106">
        <v>230</v>
      </c>
      <c r="G21" s="4">
        <v>32491</v>
      </c>
      <c r="H21" s="110">
        <f ca="1">ROUNDDOWN(YEARFRAC($G$24,G21),1)</f>
        <v>31.9</v>
      </c>
      <c r="I21" s="3" t="s">
        <v>470</v>
      </c>
      <c r="J21" s="3">
        <v>13</v>
      </c>
      <c r="K21" s="109">
        <v>2008</v>
      </c>
      <c r="L21" s="109">
        <v>25</v>
      </c>
      <c r="M21" s="3" t="s">
        <v>471</v>
      </c>
      <c r="N21" s="3"/>
      <c r="O21" s="3"/>
      <c r="P21" s="14"/>
      <c r="Q21" s="16"/>
      <c r="R21" s="12"/>
      <c r="S21" s="12"/>
      <c r="T21" s="12"/>
      <c r="W21" s="59" t="s">
        <v>472</v>
      </c>
      <c r="X21" s="69">
        <v>3</v>
      </c>
      <c r="Y21" s="69">
        <v>22</v>
      </c>
      <c r="Z21" s="65">
        <f>6/22</f>
        <v>0.27272727272727271</v>
      </c>
      <c r="AA21" s="119">
        <v>108.6</v>
      </c>
      <c r="AB21" s="119">
        <v>111.9</v>
      </c>
      <c r="AC21" s="119">
        <f t="shared" ref="AC21" si="3">AA21-AB21</f>
        <v>-3.3000000000000114</v>
      </c>
      <c r="AD21" s="119">
        <v>23</v>
      </c>
      <c r="AE21" s="119">
        <v>9.1999999999999993</v>
      </c>
      <c r="AF21" s="65">
        <v>0.46300000000000002</v>
      </c>
      <c r="AG21" s="119">
        <v>9.4</v>
      </c>
      <c r="AH21" s="119">
        <v>0.2</v>
      </c>
      <c r="AI21" s="119">
        <v>0.4</v>
      </c>
      <c r="AJ21" s="65">
        <v>5.5E-2</v>
      </c>
      <c r="AK21" s="119">
        <v>-2.7</v>
      </c>
      <c r="AL21" s="119">
        <v>0.9</v>
      </c>
      <c r="AM21" s="119">
        <v>0</v>
      </c>
      <c r="AN21" s="119">
        <v>6.8</v>
      </c>
    </row>
    <row r="22" spans="1:40" x14ac:dyDescent="0.2">
      <c r="A22" s="3">
        <v>23</v>
      </c>
      <c r="B22" s="3" t="s">
        <v>510</v>
      </c>
      <c r="C22" s="3" t="s">
        <v>252</v>
      </c>
      <c r="D22" s="105">
        <v>65</v>
      </c>
      <c r="E22" s="105">
        <v>66</v>
      </c>
      <c r="F22" s="106">
        <v>180</v>
      </c>
      <c r="G22" s="4">
        <v>35615</v>
      </c>
      <c r="H22" s="110">
        <f ca="1">ROUNDDOWN(YEARFRAC($G$24,G22),1)</f>
        <v>23.3</v>
      </c>
      <c r="I22" s="3" t="s">
        <v>511</v>
      </c>
      <c r="J22" s="3">
        <v>4</v>
      </c>
      <c r="K22" s="109">
        <v>2017</v>
      </c>
      <c r="L22" s="115"/>
      <c r="M22" s="3" t="s">
        <v>512</v>
      </c>
      <c r="N22" s="3"/>
      <c r="O22" s="3"/>
      <c r="P22" s="49">
        <v>1445697</v>
      </c>
      <c r="Q22" s="12"/>
      <c r="R22" s="12"/>
      <c r="S22" s="12"/>
      <c r="T22" s="12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A23" s="3"/>
      <c r="B23" s="3"/>
      <c r="C23" s="3"/>
      <c r="D23" s="105"/>
      <c r="E23" s="105"/>
      <c r="F23" s="106"/>
      <c r="G23" s="4"/>
      <c r="H23" s="110"/>
      <c r="I23" s="3"/>
      <c r="J23" s="3"/>
      <c r="K23" s="109"/>
      <c r="L23" s="109"/>
      <c r="M23" s="3"/>
      <c r="N23" s="3"/>
      <c r="O23" s="3"/>
      <c r="P23" s="16"/>
      <c r="Q23" s="12"/>
      <c r="R23" s="12"/>
      <c r="S23" s="12"/>
      <c r="T23" s="12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E24" s="62"/>
      <c r="F24" s="63"/>
      <c r="G24" s="62">
        <f ca="1">TODAY()</f>
        <v>44162</v>
      </c>
      <c r="H24" s="63">
        <f ca="1">AVERAGE(H2:H13)</f>
        <v>24.916666666666668</v>
      </c>
      <c r="J24" s="130">
        <f>AVERAGE(J2:J13)</f>
        <v>4.5</v>
      </c>
      <c r="K24" s="118"/>
      <c r="L24" s="117"/>
      <c r="M24" s="78"/>
      <c r="N24" s="3"/>
      <c r="O24" s="22"/>
      <c r="P24" s="60"/>
      <c r="X24" s="69"/>
      <c r="Y24" s="69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0" x14ac:dyDescent="0.2">
      <c r="E25" s="62"/>
      <c r="F25" s="63"/>
      <c r="G25" s="62"/>
      <c r="H25" s="63">
        <f ca="1">MEDIAN(H2:H13)</f>
        <v>25.1</v>
      </c>
      <c r="J25" s="130">
        <f>MEDIAN(J2:J13)</f>
        <v>3</v>
      </c>
      <c r="K25" s="118"/>
      <c r="L25" s="117"/>
      <c r="M25" s="78"/>
      <c r="N25" s="3"/>
      <c r="O25" s="22"/>
      <c r="P25" s="60"/>
      <c r="X25" s="69"/>
      <c r="Y25" s="69"/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B26" s="71" t="s">
        <v>1985</v>
      </c>
      <c r="J26" s="3"/>
      <c r="K26" s="78"/>
      <c r="L26" s="117"/>
      <c r="M26" s="78"/>
      <c r="N26" s="78"/>
      <c r="O26" s="118"/>
      <c r="P26" s="60">
        <f>SUM(P2:P16)-P12-P13</f>
        <v>97212158</v>
      </c>
      <c r="R26" s="60"/>
      <c r="X26" s="69"/>
      <c r="Y26" s="69"/>
      <c r="Z26" s="65"/>
      <c r="AA26" s="119"/>
      <c r="AB26" s="119"/>
      <c r="AC26" s="119"/>
      <c r="AD26" s="119"/>
      <c r="AE26" s="119"/>
      <c r="AF26" s="65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B27" s="59" t="s">
        <v>1876</v>
      </c>
      <c r="C27" s="59">
        <v>10</v>
      </c>
      <c r="J27" s="3"/>
      <c r="K27" s="78"/>
      <c r="L27" s="117"/>
      <c r="M27" s="78"/>
      <c r="N27" s="78"/>
      <c r="O27" s="78"/>
      <c r="P27" s="120">
        <f>SUM(P2:P16)</f>
        <v>100248120</v>
      </c>
      <c r="AA27" s="119"/>
      <c r="AB27" s="119"/>
      <c r="AC27" s="119"/>
      <c r="AD27" s="119"/>
      <c r="AE27" s="119"/>
      <c r="AF27" s="65"/>
      <c r="AG27" s="119"/>
      <c r="AH27" s="119"/>
      <c r="AI27" s="119"/>
      <c r="AJ27" s="65"/>
      <c r="AK27" s="119"/>
      <c r="AL27" s="119"/>
      <c r="AM27" s="119"/>
      <c r="AN27" s="119"/>
    </row>
    <row r="28" spans="1:40" x14ac:dyDescent="0.2">
      <c r="B28" s="3" t="s">
        <v>2457</v>
      </c>
      <c r="C28" s="59">
        <v>2</v>
      </c>
      <c r="J28" s="3"/>
      <c r="K28" s="78"/>
      <c r="L28" s="78"/>
      <c r="M28" s="78"/>
      <c r="N28" s="78"/>
      <c r="O28" s="78"/>
      <c r="P28" s="120"/>
      <c r="AA28" s="119"/>
      <c r="AB28" s="119"/>
      <c r="AC28" s="119"/>
      <c r="AD28" s="119"/>
      <c r="AE28" s="119"/>
      <c r="AF28" s="65"/>
      <c r="AG28" s="119"/>
      <c r="AH28" s="119"/>
      <c r="AI28" s="119"/>
      <c r="AJ28" s="65"/>
      <c r="AK28" s="119"/>
      <c r="AL28" s="119"/>
      <c r="AM28" s="119"/>
      <c r="AN28" s="119"/>
    </row>
    <row r="29" spans="1:40" x14ac:dyDescent="0.2">
      <c r="B29" s="59" t="s">
        <v>2539</v>
      </c>
      <c r="C29" s="59">
        <v>2</v>
      </c>
      <c r="J29" s="3"/>
      <c r="K29" s="78"/>
      <c r="L29" s="78"/>
      <c r="M29" s="78"/>
      <c r="N29" s="78"/>
      <c r="O29" s="3" t="s">
        <v>292</v>
      </c>
      <c r="P29" s="22" t="e">
        <f>#REF!</f>
        <v>#REF!</v>
      </c>
      <c r="AA29" s="119"/>
      <c r="AB29" s="119"/>
      <c r="AC29" s="119"/>
      <c r="AD29" s="119"/>
      <c r="AE29" s="119"/>
      <c r="AF29" s="65"/>
      <c r="AG29" s="119"/>
      <c r="AH29" s="119"/>
      <c r="AI29" s="119"/>
      <c r="AJ29" s="65"/>
      <c r="AK29" s="119"/>
      <c r="AL29" s="119"/>
      <c r="AM29" s="119"/>
      <c r="AN29" s="119"/>
    </row>
    <row r="30" spans="1:40" x14ac:dyDescent="0.2">
      <c r="B30" s="59" t="s">
        <v>291</v>
      </c>
      <c r="C30" s="60">
        <f>4767000</f>
        <v>4767000</v>
      </c>
      <c r="J30" s="3"/>
      <c r="K30" s="78"/>
      <c r="L30" s="78"/>
      <c r="M30" s="78"/>
      <c r="N30" s="78"/>
      <c r="O30" s="22" t="s">
        <v>294</v>
      </c>
      <c r="P30" s="22" t="e">
        <f>#REF!</f>
        <v>#REF!</v>
      </c>
      <c r="AA30" s="119"/>
      <c r="AB30" s="119"/>
      <c r="AC30" s="119"/>
      <c r="AD30" s="119"/>
      <c r="AE30" s="119"/>
      <c r="AF30" s="65"/>
      <c r="AG30" s="119"/>
      <c r="AH30" s="119"/>
      <c r="AI30" s="119"/>
      <c r="AJ30" s="65"/>
      <c r="AK30" s="119"/>
      <c r="AL30" s="119"/>
      <c r="AM30" s="119"/>
      <c r="AN30" s="119"/>
    </row>
    <row r="31" spans="1:40" x14ac:dyDescent="0.2">
      <c r="B31" s="59" t="s">
        <v>293</v>
      </c>
      <c r="C31" s="60">
        <v>0</v>
      </c>
      <c r="J31" s="3"/>
      <c r="K31" s="57"/>
      <c r="L31" s="78"/>
      <c r="M31" s="78"/>
      <c r="N31" s="78"/>
      <c r="O31" s="22"/>
      <c r="P31" s="22"/>
      <c r="AA31" s="119"/>
      <c r="AB31" s="119"/>
      <c r="AC31" s="119"/>
      <c r="AD31" s="119"/>
      <c r="AE31" s="119"/>
      <c r="AF31" s="65"/>
      <c r="AG31" s="119"/>
      <c r="AH31" s="119"/>
      <c r="AI31" s="119"/>
      <c r="AJ31" s="65"/>
      <c r="AK31" s="119"/>
      <c r="AL31" s="119"/>
      <c r="AM31" s="119"/>
      <c r="AN31" s="119"/>
    </row>
    <row r="32" spans="1:40" x14ac:dyDescent="0.2">
      <c r="B32" s="59" t="s">
        <v>295</v>
      </c>
      <c r="C32" s="60">
        <v>0</v>
      </c>
      <c r="J32" s="3"/>
      <c r="K32" s="57"/>
      <c r="L32" s="78"/>
      <c r="M32" s="78"/>
      <c r="N32" s="78"/>
      <c r="O32" s="22"/>
      <c r="P32" s="22"/>
      <c r="AA32" s="119"/>
      <c r="AB32" s="119"/>
      <c r="AC32" s="119"/>
      <c r="AD32" s="119"/>
      <c r="AE32" s="119"/>
      <c r="AF32" s="65"/>
      <c r="AG32" s="119"/>
      <c r="AH32" s="119"/>
      <c r="AI32" s="119"/>
      <c r="AJ32" s="65"/>
      <c r="AK32" s="119"/>
      <c r="AL32" s="119"/>
      <c r="AM32" s="119"/>
      <c r="AN32" s="119"/>
    </row>
    <row r="33" spans="2:40" x14ac:dyDescent="0.2">
      <c r="C33" s="60"/>
      <c r="K33" s="57"/>
      <c r="L33" s="78"/>
      <c r="M33" s="78"/>
      <c r="N33" s="22"/>
      <c r="O33" s="22"/>
      <c r="P33" s="60"/>
      <c r="S33" s="3"/>
      <c r="AJ33" s="65"/>
      <c r="AK33" s="119"/>
      <c r="AL33" s="119"/>
      <c r="AM33" s="119"/>
      <c r="AN33" s="119"/>
    </row>
    <row r="34" spans="2:40" x14ac:dyDescent="0.2">
      <c r="B34" s="71" t="s">
        <v>1875</v>
      </c>
      <c r="L34" s="78"/>
      <c r="M34" s="78"/>
      <c r="N34" s="22"/>
      <c r="O34" s="22"/>
      <c r="P34" s="60"/>
      <c r="S34" s="3"/>
      <c r="AJ34" s="65"/>
      <c r="AK34" s="119"/>
      <c r="AL34" s="119"/>
      <c r="AM34" s="119"/>
      <c r="AN34" s="119"/>
    </row>
    <row r="35" spans="2:40" x14ac:dyDescent="0.2">
      <c r="B35" s="3" t="s">
        <v>296</v>
      </c>
      <c r="C35" s="41">
        <f>23/65</f>
        <v>0.35384615384615387</v>
      </c>
      <c r="D35" s="59" t="s">
        <v>520</v>
      </c>
      <c r="N35" s="3"/>
      <c r="O35" s="22"/>
      <c r="P35" s="60"/>
      <c r="S35" s="3"/>
    </row>
    <row r="36" spans="2:40" x14ac:dyDescent="0.2">
      <c r="B36" s="3" t="s">
        <v>298</v>
      </c>
      <c r="C36" s="110">
        <v>105.9</v>
      </c>
      <c r="D36" s="3" t="s">
        <v>1952</v>
      </c>
      <c r="O36" s="3"/>
      <c r="S36" s="3"/>
    </row>
    <row r="37" spans="2:40" x14ac:dyDescent="0.2">
      <c r="B37" s="3" t="s">
        <v>299</v>
      </c>
      <c r="C37" s="110">
        <v>112.8</v>
      </c>
      <c r="D37" s="3" t="s">
        <v>1688</v>
      </c>
    </row>
    <row r="38" spans="2:40" x14ac:dyDescent="0.2">
      <c r="B38" s="3" t="s">
        <v>300</v>
      </c>
      <c r="C38" s="110">
        <v>-7</v>
      </c>
      <c r="D38" s="3" t="s">
        <v>1957</v>
      </c>
    </row>
    <row r="39" spans="2:40" x14ac:dyDescent="0.2">
      <c r="B39" s="3" t="s">
        <v>301</v>
      </c>
      <c r="C39" s="36">
        <v>96.24</v>
      </c>
      <c r="D39" s="3" t="s">
        <v>1994</v>
      </c>
    </row>
    <row r="41" spans="2:40" x14ac:dyDescent="0.2">
      <c r="B41" s="3" t="s">
        <v>302</v>
      </c>
    </row>
    <row r="42" spans="2:40" x14ac:dyDescent="0.2">
      <c r="B42" s="3" t="s">
        <v>516</v>
      </c>
    </row>
    <row r="43" spans="2:40" x14ac:dyDescent="0.2">
      <c r="B43" s="3" t="s">
        <v>517</v>
      </c>
    </row>
    <row r="44" spans="2:40" x14ac:dyDescent="0.2">
      <c r="B44" s="12"/>
    </row>
    <row r="45" spans="2:40" x14ac:dyDescent="0.2">
      <c r="B45" s="3" t="s">
        <v>310</v>
      </c>
    </row>
    <row r="46" spans="2:40" x14ac:dyDescent="0.2">
      <c r="B46" s="3" t="s">
        <v>518</v>
      </c>
    </row>
    <row r="47" spans="2:40" x14ac:dyDescent="0.2">
      <c r="B47" s="3" t="s">
        <v>519</v>
      </c>
    </row>
    <row r="48" spans="2:40" x14ac:dyDescent="0.2">
      <c r="B48" s="3"/>
    </row>
    <row r="49" spans="2:10" x14ac:dyDescent="0.2">
      <c r="B49" s="5" t="s">
        <v>1989</v>
      </c>
    </row>
    <row r="50" spans="2:10" x14ac:dyDescent="0.2">
      <c r="B50" s="39" t="s">
        <v>314</v>
      </c>
      <c r="C50" s="3">
        <v>23</v>
      </c>
      <c r="D50" s="3">
        <v>42</v>
      </c>
      <c r="E50" s="3" t="s">
        <v>520</v>
      </c>
      <c r="F50" s="3"/>
      <c r="G50" s="3" t="s">
        <v>515</v>
      </c>
      <c r="H50" s="3"/>
      <c r="I50" s="145"/>
      <c r="J50" s="145" t="s">
        <v>316</v>
      </c>
    </row>
    <row r="51" spans="2:10" x14ac:dyDescent="0.2">
      <c r="B51" s="40" t="s">
        <v>317</v>
      </c>
      <c r="C51" s="3">
        <v>39</v>
      </c>
      <c r="D51" s="3">
        <v>43</v>
      </c>
      <c r="E51" s="3" t="s">
        <v>521</v>
      </c>
      <c r="F51" s="3"/>
      <c r="G51" s="3" t="s">
        <v>515</v>
      </c>
      <c r="H51" s="12"/>
      <c r="I51" s="145"/>
      <c r="J51" s="145" t="s">
        <v>316</v>
      </c>
    </row>
    <row r="52" spans="2:10" x14ac:dyDescent="0.2">
      <c r="B52" s="40" t="s">
        <v>319</v>
      </c>
      <c r="C52" s="3">
        <v>36</v>
      </c>
      <c r="D52" s="3">
        <v>46</v>
      </c>
      <c r="E52" s="3" t="s">
        <v>520</v>
      </c>
      <c r="F52" s="3"/>
      <c r="G52" s="3" t="s">
        <v>522</v>
      </c>
      <c r="H52" s="12"/>
      <c r="I52" s="145"/>
      <c r="J52" s="145" t="s">
        <v>316</v>
      </c>
    </row>
    <row r="53" spans="2:10" x14ac:dyDescent="0.2">
      <c r="B53" s="40" t="s">
        <v>322</v>
      </c>
      <c r="C53" s="3">
        <v>36</v>
      </c>
      <c r="D53" s="3">
        <v>46</v>
      </c>
      <c r="E53" s="3" t="s">
        <v>523</v>
      </c>
      <c r="F53" s="3"/>
      <c r="G53" s="3" t="s">
        <v>522</v>
      </c>
      <c r="H53" s="12"/>
      <c r="I53" s="145"/>
      <c r="J53" s="145" t="s">
        <v>316</v>
      </c>
    </row>
    <row r="54" spans="2:10" x14ac:dyDescent="0.2">
      <c r="B54" s="40" t="s">
        <v>325</v>
      </c>
      <c r="C54" s="3">
        <v>48</v>
      </c>
      <c r="D54" s="3">
        <v>34</v>
      </c>
      <c r="E54" s="3" t="s">
        <v>335</v>
      </c>
      <c r="F54" s="3"/>
      <c r="G54" s="3" t="s">
        <v>522</v>
      </c>
      <c r="H54" s="3"/>
      <c r="I54" s="3"/>
      <c r="J54" s="3" t="s">
        <v>524</v>
      </c>
    </row>
    <row r="55" spans="2:10" x14ac:dyDescent="0.2">
      <c r="B55" s="40" t="s">
        <v>328</v>
      </c>
      <c r="C55" s="3">
        <v>33</v>
      </c>
      <c r="D55" s="3">
        <v>49</v>
      </c>
      <c r="E55" s="3" t="s">
        <v>523</v>
      </c>
      <c r="F55" s="3"/>
      <c r="G55" s="3" t="s">
        <v>522</v>
      </c>
      <c r="H55" s="12"/>
      <c r="I55" s="12"/>
      <c r="J55" s="170" t="s">
        <v>316</v>
      </c>
    </row>
    <row r="56" spans="2:10" x14ac:dyDescent="0.2">
      <c r="B56" s="40" t="s">
        <v>331</v>
      </c>
      <c r="C56" s="3">
        <v>43</v>
      </c>
      <c r="D56" s="3">
        <v>39</v>
      </c>
      <c r="E56" s="3" t="s">
        <v>400</v>
      </c>
      <c r="F56" s="3"/>
      <c r="G56" s="3" t="s">
        <v>522</v>
      </c>
      <c r="H56" s="3"/>
      <c r="I56" s="3"/>
      <c r="J56" s="3" t="s">
        <v>525</v>
      </c>
    </row>
    <row r="57" spans="2:10" x14ac:dyDescent="0.2">
      <c r="B57" s="40" t="s">
        <v>334</v>
      </c>
      <c r="C57" s="3">
        <v>21</v>
      </c>
      <c r="D57" s="3">
        <v>61</v>
      </c>
      <c r="E57" s="3" t="s">
        <v>315</v>
      </c>
      <c r="F57" s="3"/>
      <c r="G57" s="3" t="s">
        <v>526</v>
      </c>
      <c r="H57" s="12"/>
      <c r="J57" s="145" t="s">
        <v>316</v>
      </c>
    </row>
    <row r="58" spans="2:10" x14ac:dyDescent="0.2">
      <c r="B58" s="40" t="s">
        <v>338</v>
      </c>
      <c r="C58" s="3">
        <v>7</v>
      </c>
      <c r="D58" s="3">
        <v>59</v>
      </c>
      <c r="E58" s="3" t="s">
        <v>320</v>
      </c>
      <c r="F58" s="3"/>
      <c r="G58" s="3" t="s">
        <v>527</v>
      </c>
      <c r="H58" s="12"/>
      <c r="J58" s="145" t="s">
        <v>316</v>
      </c>
    </row>
    <row r="59" spans="2:10" x14ac:dyDescent="0.2">
      <c r="B59" s="40" t="s">
        <v>340</v>
      </c>
      <c r="C59" s="3">
        <v>34</v>
      </c>
      <c r="D59" s="3">
        <v>48</v>
      </c>
      <c r="E59" s="3" t="s">
        <v>520</v>
      </c>
      <c r="F59" s="3"/>
      <c r="G59" s="3" t="s">
        <v>528</v>
      </c>
      <c r="H59" s="12"/>
      <c r="J59" s="145" t="s">
        <v>316</v>
      </c>
    </row>
    <row r="60" spans="2:10" x14ac:dyDescent="0.2">
      <c r="B60" s="59" t="s">
        <v>342</v>
      </c>
      <c r="C60" s="59">
        <f>SUM(C50:C59)</f>
        <v>320</v>
      </c>
      <c r="D60" s="59">
        <f>SUM(D50:D59)</f>
        <v>467</v>
      </c>
      <c r="E60" s="65">
        <f>C60/(C60+D60)</f>
        <v>0.40660736975857686</v>
      </c>
    </row>
    <row r="61" spans="2:10" x14ac:dyDescent="0.2">
      <c r="E61" s="65"/>
    </row>
  </sheetData>
  <pageMargins left="0.7" right="0.7" top="0.75" bottom="0.75" header="0.3" footer="0.3"/>
  <ignoredErrors>
    <ignoredError sqref="J24:J25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5905-1CAA-B64A-AFB3-6A491F33722A}">
  <dimension ref="A1:AR63"/>
  <sheetViews>
    <sheetView zoomScaleNormal="100" workbookViewId="0"/>
  </sheetViews>
  <sheetFormatPr baseColWidth="10" defaultColWidth="11" defaultRowHeight="16" x14ac:dyDescent="0.2"/>
  <cols>
    <col min="1" max="1" width="4.83203125" customWidth="1"/>
    <col min="2" max="2" width="18.6640625" customWidth="1"/>
    <col min="3" max="3" width="11.33203125" customWidth="1"/>
    <col min="4" max="4" width="7.83203125" customWidth="1"/>
    <col min="5" max="5" width="10.83203125" customWidth="1"/>
    <col min="6" max="6" width="8.1640625" customWidth="1"/>
    <col min="7" max="7" width="9.6640625" customWidth="1"/>
    <col min="8" max="8" width="6.33203125" customWidth="1"/>
    <col min="9" max="9" width="21.5" customWidth="1"/>
    <col min="10" max="10" width="11.1640625" customWidth="1"/>
    <col min="11" max="11" width="10.83203125" customWidth="1"/>
    <col min="12" max="12" width="4.83203125" customWidth="1"/>
    <col min="13" max="13" width="33.83203125" customWidth="1"/>
    <col min="14" max="14" width="16.83203125" customWidth="1"/>
    <col min="15" max="15" width="64.83203125" customWidth="1"/>
    <col min="16" max="16" width="13.6640625" customWidth="1"/>
    <col min="17" max="17" width="12.6640625" customWidth="1"/>
    <col min="18" max="19" width="12.83203125" customWidth="1"/>
    <col min="20" max="20" width="12.5" customWidth="1"/>
    <col min="21" max="21" width="10.33203125" customWidth="1"/>
    <col min="22" max="22" width="85.33203125" customWidth="1"/>
    <col min="23" max="23" width="21.83203125" customWidth="1"/>
    <col min="25" max="25" width="3.83203125" customWidth="1"/>
    <col min="26" max="26" width="8.1640625" customWidth="1"/>
    <col min="27" max="27" width="5.83203125" customWidth="1"/>
    <col min="28" max="28" width="6.1640625" customWidth="1"/>
    <col min="29" max="29" width="7.1640625" customWidth="1"/>
    <col min="30" max="30" width="5.83203125" customWidth="1"/>
    <col min="31" max="31" width="4.83203125" customWidth="1"/>
    <col min="32" max="32" width="6.33203125" customWidth="1"/>
    <col min="33" max="33" width="7.6640625" customWidth="1"/>
    <col min="34" max="34" width="5.33203125" customWidth="1"/>
    <col min="35" max="35" width="5.5" customWidth="1"/>
    <col min="36" max="36" width="7" customWidth="1"/>
    <col min="37" max="37" width="6.1640625" customWidth="1"/>
    <col min="38" max="38" width="5.83203125" customWidth="1"/>
    <col min="39" max="39" width="5.5" customWidth="1"/>
    <col min="40" max="40" width="4.6640625" customWidth="1"/>
  </cols>
  <sheetData>
    <row r="1" spans="1:44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59"/>
      <c r="AQ1" s="59"/>
      <c r="AR1" s="59"/>
    </row>
    <row r="2" spans="1:44" x14ac:dyDescent="0.2">
      <c r="A2" s="3">
        <v>22</v>
      </c>
      <c r="B2" s="3" t="s">
        <v>23</v>
      </c>
      <c r="C2" s="3" t="s">
        <v>241</v>
      </c>
      <c r="D2" s="105">
        <v>68</v>
      </c>
      <c r="E2" s="105">
        <v>71</v>
      </c>
      <c r="F2" s="106">
        <v>198</v>
      </c>
      <c r="G2" s="4">
        <v>34123</v>
      </c>
      <c r="H2" s="110">
        <f t="shared" ref="H2:H20" ca="1" si="0">ROUNDDOWN(YEARFRAC($G$27,G2),1)</f>
        <v>27.4</v>
      </c>
      <c r="I2" s="3" t="s">
        <v>529</v>
      </c>
      <c r="J2" s="3">
        <v>8</v>
      </c>
      <c r="K2" s="109">
        <v>2013</v>
      </c>
      <c r="L2" s="109">
        <v>3</v>
      </c>
      <c r="M2" s="3" t="s">
        <v>530</v>
      </c>
      <c r="N2" s="3" t="s">
        <v>531</v>
      </c>
      <c r="O2" s="3" t="s">
        <v>2168</v>
      </c>
      <c r="P2" s="57">
        <v>28489239</v>
      </c>
      <c r="Q2" s="44">
        <v>37500000</v>
      </c>
      <c r="R2" s="22"/>
      <c r="S2" s="22"/>
      <c r="T2" s="22"/>
      <c r="V2" t="s">
        <v>1834</v>
      </c>
      <c r="W2" s="122" t="s">
        <v>532</v>
      </c>
      <c r="X2" s="69">
        <v>3</v>
      </c>
      <c r="Y2" s="69">
        <v>14</v>
      </c>
      <c r="Z2" s="65">
        <f>5/14</f>
        <v>0.35714285714285715</v>
      </c>
      <c r="AA2" s="119">
        <v>110.2</v>
      </c>
      <c r="AB2" s="119">
        <v>107</v>
      </c>
      <c r="AC2" s="119">
        <f t="shared" ref="AC2:AC19" si="1">AA2-AB2</f>
        <v>3.2000000000000028</v>
      </c>
      <c r="AD2" s="119">
        <v>23.6</v>
      </c>
      <c r="AE2" s="119">
        <v>15.8</v>
      </c>
      <c r="AF2" s="65">
        <v>0.55000000000000004</v>
      </c>
      <c r="AG2" s="119">
        <v>21</v>
      </c>
      <c r="AH2" s="119">
        <v>0.4</v>
      </c>
      <c r="AI2" s="119">
        <v>0.4</v>
      </c>
      <c r="AJ2" s="65">
        <v>0.112</v>
      </c>
      <c r="AK2" s="119">
        <v>0.9</v>
      </c>
      <c r="AL2" s="119">
        <v>0.2</v>
      </c>
      <c r="AM2" s="119">
        <v>0.3</v>
      </c>
      <c r="AN2" s="119">
        <v>9.5</v>
      </c>
    </row>
    <row r="3" spans="1:44" x14ac:dyDescent="0.2">
      <c r="A3" s="3">
        <v>8</v>
      </c>
      <c r="B3" s="3" t="s">
        <v>533</v>
      </c>
      <c r="C3" s="3" t="s">
        <v>252</v>
      </c>
      <c r="D3" s="105">
        <v>66</v>
      </c>
      <c r="E3" s="105">
        <v>68</v>
      </c>
      <c r="F3" s="106">
        <v>200</v>
      </c>
      <c r="G3" s="4">
        <v>34768</v>
      </c>
      <c r="H3" s="110">
        <f t="shared" ca="1" si="0"/>
        <v>25.7</v>
      </c>
      <c r="I3" s="3" t="s">
        <v>534</v>
      </c>
      <c r="J3" s="3">
        <v>7</v>
      </c>
      <c r="K3" s="109">
        <v>2014</v>
      </c>
      <c r="L3" s="109">
        <v>13</v>
      </c>
      <c r="M3" s="3" t="s">
        <v>535</v>
      </c>
      <c r="N3" s="3" t="s">
        <v>279</v>
      </c>
      <c r="O3" s="3" t="s">
        <v>1924</v>
      </c>
      <c r="P3" s="22">
        <v>19500000</v>
      </c>
      <c r="Q3" s="22">
        <v>19500000</v>
      </c>
      <c r="R3" s="51">
        <f>Q3*1.5</f>
        <v>29250000</v>
      </c>
      <c r="S3" s="22"/>
      <c r="T3" s="22"/>
      <c r="W3" s="59" t="s">
        <v>536</v>
      </c>
      <c r="X3" s="69">
        <v>3</v>
      </c>
      <c r="Y3" s="69">
        <v>60</v>
      </c>
      <c r="Z3" s="65">
        <f>20/60</f>
        <v>0.33333333333333331</v>
      </c>
      <c r="AA3" s="119">
        <v>106.8</v>
      </c>
      <c r="AB3" s="119">
        <v>111.2</v>
      </c>
      <c r="AC3" s="119">
        <f t="shared" si="1"/>
        <v>-4.4000000000000057</v>
      </c>
      <c r="AD3" s="119">
        <v>34.799999999999997</v>
      </c>
      <c r="AE3" s="119">
        <v>19.5</v>
      </c>
      <c r="AF3" s="65">
        <v>0.56799999999999995</v>
      </c>
      <c r="AG3" s="119">
        <v>31.7</v>
      </c>
      <c r="AH3" s="119">
        <v>1.8</v>
      </c>
      <c r="AI3" s="119">
        <v>2.2000000000000002</v>
      </c>
      <c r="AJ3" s="65">
        <v>9.1999999999999998E-2</v>
      </c>
      <c r="AK3" s="119">
        <v>3.3</v>
      </c>
      <c r="AL3" s="119">
        <v>-0.8</v>
      </c>
      <c r="AM3" s="119">
        <v>2.4</v>
      </c>
      <c r="AN3" s="119">
        <v>13</v>
      </c>
    </row>
    <row r="4" spans="1:44" x14ac:dyDescent="0.2">
      <c r="A4" s="3">
        <v>21</v>
      </c>
      <c r="B4" s="3" t="s">
        <v>196</v>
      </c>
      <c r="C4" s="3" t="s">
        <v>234</v>
      </c>
      <c r="D4" s="105">
        <v>68</v>
      </c>
      <c r="E4" s="105">
        <v>70</v>
      </c>
      <c r="F4" s="106">
        <v>235</v>
      </c>
      <c r="G4" s="4">
        <v>32315</v>
      </c>
      <c r="H4" s="110">
        <f t="shared" ca="1" si="0"/>
        <v>32.4</v>
      </c>
      <c r="I4" s="3" t="s">
        <v>537</v>
      </c>
      <c r="J4" s="3">
        <v>14</v>
      </c>
      <c r="K4" s="109">
        <v>2007</v>
      </c>
      <c r="L4" s="109">
        <v>12</v>
      </c>
      <c r="M4" s="3" t="s">
        <v>415</v>
      </c>
      <c r="N4" s="3" t="s">
        <v>279</v>
      </c>
      <c r="O4" s="3" t="s">
        <v>1925</v>
      </c>
      <c r="P4" s="11">
        <v>13545000</v>
      </c>
      <c r="Q4" s="15">
        <v>14190000</v>
      </c>
      <c r="R4" s="14">
        <f>Q4*1.5</f>
        <v>21285000</v>
      </c>
      <c r="S4" s="12"/>
      <c r="T4" s="22"/>
      <c r="V4" s="3" t="s">
        <v>1835</v>
      </c>
      <c r="W4" s="59" t="s">
        <v>538</v>
      </c>
      <c r="X4" s="69">
        <v>4</v>
      </c>
      <c r="Y4" s="69">
        <v>64</v>
      </c>
      <c r="Z4" s="65">
        <f>22/64</f>
        <v>0.34375</v>
      </c>
      <c r="AA4" s="119">
        <v>101.9</v>
      </c>
      <c r="AB4" s="119">
        <v>108.1</v>
      </c>
      <c r="AC4" s="119">
        <f t="shared" si="1"/>
        <v>-6.1999999999999886</v>
      </c>
      <c r="AD4" s="119">
        <v>24.9</v>
      </c>
      <c r="AE4" s="119">
        <v>13.3</v>
      </c>
      <c r="AF4" s="65">
        <v>0.52100000000000002</v>
      </c>
      <c r="AG4" s="119">
        <v>19.7</v>
      </c>
      <c r="AH4" s="119">
        <v>-0.2</v>
      </c>
      <c r="AI4" s="119">
        <v>2.1</v>
      </c>
      <c r="AJ4" s="65">
        <v>5.8000000000000003E-2</v>
      </c>
      <c r="AK4" s="119">
        <v>-1.4</v>
      </c>
      <c r="AL4" s="119">
        <v>0.2</v>
      </c>
      <c r="AM4" s="119">
        <v>0.4</v>
      </c>
      <c r="AN4" s="119">
        <v>8.9</v>
      </c>
    </row>
    <row r="5" spans="1:44" x14ac:dyDescent="0.2">
      <c r="A5" s="3">
        <v>31</v>
      </c>
      <c r="B5" s="3" t="s">
        <v>539</v>
      </c>
      <c r="C5" s="3" t="s">
        <v>230</v>
      </c>
      <c r="D5" s="105">
        <v>67</v>
      </c>
      <c r="E5" s="105">
        <v>67</v>
      </c>
      <c r="F5" s="106">
        <v>210</v>
      </c>
      <c r="G5" s="4">
        <v>33541</v>
      </c>
      <c r="H5" s="110">
        <f t="shared" ca="1" si="0"/>
        <v>29</v>
      </c>
      <c r="I5" s="3" t="s">
        <v>434</v>
      </c>
      <c r="J5" s="3">
        <v>5</v>
      </c>
      <c r="K5" s="109">
        <v>2012</v>
      </c>
      <c r="L5" s="109">
        <v>32</v>
      </c>
      <c r="M5" s="3" t="s">
        <v>540</v>
      </c>
      <c r="N5" s="3" t="s">
        <v>346</v>
      </c>
      <c r="O5" s="3" t="s">
        <v>1926</v>
      </c>
      <c r="P5" s="11">
        <v>10000000</v>
      </c>
      <c r="Q5" s="15">
        <v>10000000</v>
      </c>
      <c r="R5" s="14">
        <f>Q5*1.9</f>
        <v>19000000</v>
      </c>
      <c r="S5" s="12"/>
      <c r="T5" s="22"/>
      <c r="W5" s="59" t="s">
        <v>541</v>
      </c>
      <c r="X5" s="69">
        <v>1</v>
      </c>
      <c r="Y5" s="69">
        <v>65</v>
      </c>
      <c r="Z5" s="65">
        <f>22/65</f>
        <v>0.33846153846153848</v>
      </c>
      <c r="AA5" s="119">
        <v>107.3</v>
      </c>
      <c r="AB5" s="119">
        <v>108.8</v>
      </c>
      <c r="AC5" s="119">
        <f t="shared" si="1"/>
        <v>-1.5</v>
      </c>
      <c r="AD5" s="119">
        <v>28.9</v>
      </c>
      <c r="AE5" s="119">
        <v>13.5</v>
      </c>
      <c r="AF5" s="65">
        <v>0.53300000000000003</v>
      </c>
      <c r="AG5" s="119">
        <v>16.7</v>
      </c>
      <c r="AH5" s="119">
        <v>1.8</v>
      </c>
      <c r="AI5" s="119">
        <v>1.7</v>
      </c>
      <c r="AJ5" s="65">
        <v>0.09</v>
      </c>
      <c r="AK5" s="119">
        <v>-1</v>
      </c>
      <c r="AL5" s="119">
        <v>-0.2</v>
      </c>
      <c r="AM5" s="119">
        <v>0.4</v>
      </c>
      <c r="AN5" s="119">
        <v>9.4</v>
      </c>
    </row>
    <row r="6" spans="1:44" x14ac:dyDescent="0.2">
      <c r="A6" s="3">
        <v>6</v>
      </c>
      <c r="B6" s="3" t="s">
        <v>542</v>
      </c>
      <c r="C6" s="3" t="s">
        <v>234</v>
      </c>
      <c r="D6" s="105">
        <v>610</v>
      </c>
      <c r="E6" s="105">
        <v>70</v>
      </c>
      <c r="F6" s="106">
        <v>270</v>
      </c>
      <c r="G6" s="4">
        <v>33792</v>
      </c>
      <c r="H6" s="110">
        <f t="shared" ca="1" si="0"/>
        <v>28.3</v>
      </c>
      <c r="I6" s="3" t="s">
        <v>543</v>
      </c>
      <c r="J6" s="3">
        <v>6</v>
      </c>
      <c r="K6" s="109">
        <v>2014</v>
      </c>
      <c r="L6" s="109"/>
      <c r="M6" s="3" t="s">
        <v>544</v>
      </c>
      <c r="N6" s="3" t="s">
        <v>279</v>
      </c>
      <c r="O6" s="3" t="s">
        <v>1927</v>
      </c>
      <c r="P6" s="11">
        <v>7529020</v>
      </c>
      <c r="Q6" s="14">
        <f>P6*1.9</f>
        <v>14305138</v>
      </c>
      <c r="R6" s="12"/>
      <c r="S6" s="12"/>
      <c r="T6" s="22"/>
      <c r="W6" s="59" t="s">
        <v>545</v>
      </c>
      <c r="X6" s="69">
        <v>5</v>
      </c>
      <c r="Y6" s="69">
        <v>22</v>
      </c>
      <c r="Z6" s="65">
        <f>6/22</f>
        <v>0.27272727272727271</v>
      </c>
      <c r="AA6" s="119">
        <v>111.1</v>
      </c>
      <c r="AB6" s="119">
        <v>118.89</v>
      </c>
      <c r="AC6" s="119">
        <f t="shared" si="1"/>
        <v>-7.7900000000000063</v>
      </c>
      <c r="AD6" s="119">
        <v>17.5</v>
      </c>
      <c r="AE6" s="119">
        <v>12.8</v>
      </c>
      <c r="AF6" s="65">
        <v>0.67100000000000004</v>
      </c>
      <c r="AG6" s="119">
        <v>9.1</v>
      </c>
      <c r="AH6" s="119">
        <v>0.7</v>
      </c>
      <c r="AI6" s="119">
        <v>0.3</v>
      </c>
      <c r="AJ6" s="65">
        <v>0.126</v>
      </c>
      <c r="AK6" s="119">
        <v>-1.4</v>
      </c>
      <c r="AL6" s="119">
        <v>-1.6</v>
      </c>
      <c r="AM6" s="119">
        <v>-0.1</v>
      </c>
      <c r="AN6" s="119">
        <v>6.7</v>
      </c>
    </row>
    <row r="7" spans="1:44" x14ac:dyDescent="0.2">
      <c r="A7" s="6">
        <v>9</v>
      </c>
      <c r="B7" s="2" t="s">
        <v>2249</v>
      </c>
      <c r="C7" s="3" t="s">
        <v>241</v>
      </c>
      <c r="D7" s="105">
        <v>68</v>
      </c>
      <c r="E7" s="105">
        <v>611</v>
      </c>
      <c r="F7" s="106">
        <v>225</v>
      </c>
      <c r="G7" s="4">
        <v>37129</v>
      </c>
      <c r="H7" s="110">
        <f t="shared" ca="1" si="0"/>
        <v>19.2</v>
      </c>
      <c r="I7" s="3" t="s">
        <v>494</v>
      </c>
      <c r="J7" s="3">
        <v>1</v>
      </c>
      <c r="K7" s="54">
        <v>2020</v>
      </c>
      <c r="L7" s="109">
        <v>4</v>
      </c>
      <c r="M7" s="16" t="s">
        <v>2248</v>
      </c>
      <c r="N7" s="16" t="s">
        <v>244</v>
      </c>
      <c r="O7" s="16" t="s">
        <v>2250</v>
      </c>
      <c r="P7" s="11">
        <v>7068360</v>
      </c>
      <c r="Q7" s="11">
        <v>7422000</v>
      </c>
      <c r="R7" s="31">
        <v>7775400</v>
      </c>
      <c r="S7" s="31">
        <f>R7*1.265</f>
        <v>9835881</v>
      </c>
      <c r="T7" s="32">
        <f>S7*3</f>
        <v>29507643</v>
      </c>
      <c r="W7" s="59"/>
      <c r="X7" s="69"/>
      <c r="Y7" s="69"/>
      <c r="Z7" s="65"/>
      <c r="AA7" s="119"/>
      <c r="AB7" s="119"/>
      <c r="AC7" s="119"/>
      <c r="AD7" s="119"/>
      <c r="AE7" s="119"/>
      <c r="AF7" s="65"/>
      <c r="AG7" s="119"/>
      <c r="AH7" s="119"/>
      <c r="AI7" s="119"/>
      <c r="AJ7" s="65"/>
      <c r="AK7" s="119"/>
      <c r="AL7" s="119"/>
      <c r="AM7" s="119"/>
      <c r="AN7" s="119"/>
    </row>
    <row r="8" spans="1:44" ht="17" x14ac:dyDescent="0.2">
      <c r="A8" s="3">
        <v>24</v>
      </c>
      <c r="B8" s="3" t="s">
        <v>551</v>
      </c>
      <c r="C8" s="3" t="s">
        <v>234</v>
      </c>
      <c r="D8" s="105">
        <v>70</v>
      </c>
      <c r="E8" s="105">
        <v>611</v>
      </c>
      <c r="F8" s="106">
        <v>240</v>
      </c>
      <c r="G8" s="4">
        <v>35572</v>
      </c>
      <c r="H8" s="110">
        <f t="shared" ca="1" si="0"/>
        <v>23.5</v>
      </c>
      <c r="I8" s="3" t="s">
        <v>511</v>
      </c>
      <c r="J8" s="3">
        <v>4</v>
      </c>
      <c r="K8" s="109">
        <v>2017</v>
      </c>
      <c r="L8" s="109">
        <v>7</v>
      </c>
      <c r="M8" s="3" t="s">
        <v>552</v>
      </c>
      <c r="N8" s="3" t="s">
        <v>244</v>
      </c>
      <c r="O8" s="11" t="s">
        <v>1928</v>
      </c>
      <c r="P8" s="11">
        <v>6731508</v>
      </c>
      <c r="Q8" s="49">
        <f>P8*3</f>
        <v>20194524</v>
      </c>
      <c r="R8" s="35"/>
      <c r="S8" s="12"/>
      <c r="T8" s="22"/>
      <c r="W8" s="59" t="s">
        <v>553</v>
      </c>
      <c r="X8" s="69">
        <v>4</v>
      </c>
      <c r="Y8" s="69">
        <v>50</v>
      </c>
      <c r="Z8" s="65">
        <f>18/50</f>
        <v>0.36</v>
      </c>
      <c r="AA8" s="119">
        <v>105.3</v>
      </c>
      <c r="AB8" s="119">
        <v>107.3</v>
      </c>
      <c r="AC8" s="119">
        <f t="shared" si="1"/>
        <v>-2</v>
      </c>
      <c r="AD8" s="119">
        <v>29.8</v>
      </c>
      <c r="AE8" s="119">
        <v>14.3</v>
      </c>
      <c r="AF8" s="65">
        <v>0.56000000000000005</v>
      </c>
      <c r="AG8" s="119">
        <v>21.1</v>
      </c>
      <c r="AH8" s="119">
        <v>1.1000000000000001</v>
      </c>
      <c r="AI8" s="119">
        <v>1.6</v>
      </c>
      <c r="AJ8" s="65">
        <v>8.4000000000000005E-2</v>
      </c>
      <c r="AK8" s="119">
        <v>0.2</v>
      </c>
      <c r="AL8" s="119">
        <v>-0.8</v>
      </c>
      <c r="AM8" s="119">
        <v>0.5</v>
      </c>
      <c r="AN8" s="119">
        <v>10.3</v>
      </c>
    </row>
    <row r="9" spans="1:44" x14ac:dyDescent="0.2">
      <c r="A9" s="3">
        <v>0</v>
      </c>
      <c r="B9" s="3" t="s">
        <v>548</v>
      </c>
      <c r="C9" s="3" t="s">
        <v>230</v>
      </c>
      <c r="D9" s="105">
        <v>64</v>
      </c>
      <c r="E9" s="105">
        <v>65</v>
      </c>
      <c r="F9" s="106">
        <v>195</v>
      </c>
      <c r="G9" s="4">
        <v>36562</v>
      </c>
      <c r="H9" s="110">
        <f t="shared" ca="1" si="0"/>
        <v>20.8</v>
      </c>
      <c r="I9" s="3" t="s">
        <v>275</v>
      </c>
      <c r="J9" s="3">
        <v>2</v>
      </c>
      <c r="K9" s="109">
        <v>2019</v>
      </c>
      <c r="L9" s="109">
        <v>7</v>
      </c>
      <c r="M9" s="3" t="s">
        <v>549</v>
      </c>
      <c r="N9" s="3" t="s">
        <v>244</v>
      </c>
      <c r="O9" s="3" t="s">
        <v>1929</v>
      </c>
      <c r="P9" s="11">
        <v>5572680</v>
      </c>
      <c r="Q9" s="50">
        <v>5837760</v>
      </c>
      <c r="R9" s="50">
        <v>7413955</v>
      </c>
      <c r="S9" s="49">
        <f>R9*3</f>
        <v>22241865</v>
      </c>
      <c r="T9" s="22"/>
      <c r="W9" s="59" t="s">
        <v>550</v>
      </c>
      <c r="X9" s="69">
        <v>2</v>
      </c>
      <c r="Y9" s="69">
        <v>65</v>
      </c>
      <c r="Z9" s="65">
        <f>22/65</f>
        <v>0.33846153846153848</v>
      </c>
      <c r="AA9" s="119">
        <v>104.4</v>
      </c>
      <c r="AB9" s="119">
        <v>108.8</v>
      </c>
      <c r="AC9" s="119">
        <f t="shared" si="1"/>
        <v>-4.3999999999999915</v>
      </c>
      <c r="AD9" s="119">
        <v>25.8</v>
      </c>
      <c r="AE9" s="119">
        <v>11.9</v>
      </c>
      <c r="AF9" s="65">
        <v>0.50600000000000001</v>
      </c>
      <c r="AG9" s="119">
        <v>24.4</v>
      </c>
      <c r="AH9" s="119">
        <v>-0.4</v>
      </c>
      <c r="AI9" s="119">
        <v>1.4</v>
      </c>
      <c r="AJ9" s="65">
        <v>2.5999999999999999E-2</v>
      </c>
      <c r="AK9" s="119">
        <v>-1.2</v>
      </c>
      <c r="AL9" s="119">
        <v>-1.6</v>
      </c>
      <c r="AM9" s="119">
        <v>-0.3</v>
      </c>
      <c r="AN9" s="119">
        <v>8.6999999999999993</v>
      </c>
    </row>
    <row r="10" spans="1:44" ht="17" x14ac:dyDescent="0.2">
      <c r="A10" s="3">
        <v>34</v>
      </c>
      <c r="B10" s="3" t="s">
        <v>554</v>
      </c>
      <c r="C10" s="3" t="s">
        <v>234</v>
      </c>
      <c r="D10" s="105">
        <v>69</v>
      </c>
      <c r="E10" s="105">
        <v>75</v>
      </c>
      <c r="F10" s="106">
        <v>270</v>
      </c>
      <c r="G10" s="4">
        <v>36266</v>
      </c>
      <c r="H10" s="110">
        <f t="shared" ca="1" si="0"/>
        <v>21.6</v>
      </c>
      <c r="I10" s="3" t="s">
        <v>253</v>
      </c>
      <c r="J10" s="3">
        <v>3</v>
      </c>
      <c r="K10" s="109">
        <v>2018</v>
      </c>
      <c r="L10" s="109">
        <v>7</v>
      </c>
      <c r="M10" s="3" t="s">
        <v>555</v>
      </c>
      <c r="N10" s="3" t="s">
        <v>244</v>
      </c>
      <c r="O10" s="3" t="s">
        <v>1930</v>
      </c>
      <c r="P10" s="11">
        <v>5448840</v>
      </c>
      <c r="Q10" s="50">
        <v>6920027</v>
      </c>
      <c r="R10" s="49">
        <f>Q10*3</f>
        <v>20760081</v>
      </c>
      <c r="S10" s="35"/>
      <c r="T10" s="22"/>
      <c r="W10" s="96" t="s">
        <v>238</v>
      </c>
      <c r="X10" s="69">
        <v>5</v>
      </c>
      <c r="Y10" s="69">
        <v>43</v>
      </c>
      <c r="Z10" s="65">
        <f>15/43</f>
        <v>0.34883720930232559</v>
      </c>
      <c r="AA10" s="119">
        <v>104.8</v>
      </c>
      <c r="AB10" s="119">
        <v>105.3</v>
      </c>
      <c r="AC10" s="119">
        <f t="shared" si="1"/>
        <v>-0.5</v>
      </c>
      <c r="AD10" s="119">
        <v>29.2</v>
      </c>
      <c r="AE10" s="119">
        <v>15.5</v>
      </c>
      <c r="AF10" s="65">
        <v>0.59</v>
      </c>
      <c r="AG10" s="119">
        <v>16.399999999999999</v>
      </c>
      <c r="AH10" s="119">
        <v>1.7</v>
      </c>
      <c r="AI10" s="119">
        <v>1.6</v>
      </c>
      <c r="AJ10" s="65">
        <v>0.127</v>
      </c>
      <c r="AK10" s="119">
        <v>-2.1</v>
      </c>
      <c r="AL10" s="119">
        <v>-0.3</v>
      </c>
      <c r="AM10" s="119">
        <v>-0.1</v>
      </c>
      <c r="AN10" s="119">
        <v>10.3</v>
      </c>
    </row>
    <row r="11" spans="1:44" x14ac:dyDescent="0.2">
      <c r="A11" s="3">
        <v>17</v>
      </c>
      <c r="B11" s="3" t="s">
        <v>14</v>
      </c>
      <c r="C11" s="3" t="s">
        <v>252</v>
      </c>
      <c r="D11" s="105">
        <v>65</v>
      </c>
      <c r="E11" s="105"/>
      <c r="F11" s="106">
        <v>195</v>
      </c>
      <c r="G11" s="4">
        <v>31540</v>
      </c>
      <c r="H11" s="110">
        <f t="shared" ca="1" si="0"/>
        <v>34.5</v>
      </c>
      <c r="I11" s="3" t="s">
        <v>389</v>
      </c>
      <c r="J11" s="3">
        <v>11</v>
      </c>
      <c r="K11" s="109">
        <v>2009</v>
      </c>
      <c r="L11" s="109"/>
      <c r="M11" s="3" t="s">
        <v>2436</v>
      </c>
      <c r="N11" s="3" t="s">
        <v>495</v>
      </c>
      <c r="O11" s="3" t="s">
        <v>2474</v>
      </c>
      <c r="P11" s="57">
        <v>5000000</v>
      </c>
      <c r="Q11" s="51">
        <f>P11*1.2</f>
        <v>6000000</v>
      </c>
      <c r="R11" s="212"/>
      <c r="S11" s="212"/>
      <c r="T11" s="213"/>
      <c r="U11" s="22"/>
      <c r="V11" s="3"/>
      <c r="W11" s="3" t="s">
        <v>419</v>
      </c>
      <c r="X11" s="107">
        <v>1</v>
      </c>
      <c r="Y11" s="107">
        <v>55</v>
      </c>
      <c r="Z11" s="41">
        <f>26/55</f>
        <v>0.47272727272727272</v>
      </c>
      <c r="AA11" s="110">
        <v>104.2</v>
      </c>
      <c r="AB11" s="110">
        <v>105.7</v>
      </c>
      <c r="AC11" s="110">
        <f t="shared" si="1"/>
        <v>-1.5</v>
      </c>
      <c r="AD11" s="110">
        <v>28.1</v>
      </c>
      <c r="AE11" s="110">
        <v>10.3</v>
      </c>
      <c r="AF11" s="41">
        <v>0.50700000000000001</v>
      </c>
      <c r="AG11" s="110">
        <v>16.600000000000001</v>
      </c>
      <c r="AH11" s="110">
        <v>0.5</v>
      </c>
      <c r="AI11" s="110">
        <v>1.6</v>
      </c>
      <c r="AJ11" s="41">
        <v>6.5000000000000002E-2</v>
      </c>
      <c r="AK11" s="110">
        <v>1.5</v>
      </c>
      <c r="AL11" s="110">
        <v>0.4</v>
      </c>
      <c r="AM11" s="110">
        <v>0.4</v>
      </c>
      <c r="AN11" s="110">
        <v>7.6</v>
      </c>
      <c r="AO11" s="3"/>
    </row>
    <row r="12" spans="1:44" ht="17" x14ac:dyDescent="0.2">
      <c r="A12" s="3">
        <v>45</v>
      </c>
      <c r="B12" s="3" t="s">
        <v>25</v>
      </c>
      <c r="C12" s="3" t="s">
        <v>252</v>
      </c>
      <c r="D12" s="105">
        <v>64</v>
      </c>
      <c r="E12" s="105">
        <v>610</v>
      </c>
      <c r="F12" s="106">
        <v>220</v>
      </c>
      <c r="G12" s="4">
        <v>34289</v>
      </c>
      <c r="H12" s="110">
        <f t="shared" ca="1" si="0"/>
        <v>27</v>
      </c>
      <c r="I12" s="3" t="s">
        <v>489</v>
      </c>
      <c r="J12" s="3">
        <v>5</v>
      </c>
      <c r="K12" s="109">
        <v>2016</v>
      </c>
      <c r="L12" s="109">
        <v>14</v>
      </c>
      <c r="M12" s="3" t="s">
        <v>556</v>
      </c>
      <c r="N12" s="3" t="s">
        <v>2490</v>
      </c>
      <c r="O12" s="3" t="s">
        <v>2474</v>
      </c>
      <c r="P12" s="16">
        <v>4698198</v>
      </c>
      <c r="Q12" s="242"/>
      <c r="R12" s="12"/>
      <c r="S12" s="12"/>
      <c r="T12" s="22"/>
      <c r="W12" s="59" t="s">
        <v>557</v>
      </c>
      <c r="X12" s="69">
        <v>3</v>
      </c>
      <c r="Y12" s="69">
        <v>36</v>
      </c>
      <c r="Z12" s="65">
        <f>12/36</f>
        <v>0.33333333333333331</v>
      </c>
      <c r="AA12" s="119">
        <v>99.7</v>
      </c>
      <c r="AB12" s="119">
        <v>104.7</v>
      </c>
      <c r="AC12" s="119">
        <f t="shared" si="1"/>
        <v>-5</v>
      </c>
      <c r="AD12" s="119">
        <v>13.6</v>
      </c>
      <c r="AE12" s="119">
        <v>13</v>
      </c>
      <c r="AF12" s="65">
        <v>0.51100000000000001</v>
      </c>
      <c r="AG12" s="119">
        <v>23.3</v>
      </c>
      <c r="AH12" s="119">
        <v>-0.1</v>
      </c>
      <c r="AI12" s="119">
        <v>0.6</v>
      </c>
      <c r="AJ12" s="65">
        <v>4.8000000000000001E-2</v>
      </c>
      <c r="AK12" s="119">
        <v>-0.7</v>
      </c>
      <c r="AL12" s="119">
        <v>0.2</v>
      </c>
      <c r="AM12" s="119">
        <v>0.2</v>
      </c>
      <c r="AN12" s="119">
        <v>9.4</v>
      </c>
      <c r="AO12" s="3"/>
    </row>
    <row r="13" spans="1:44" x14ac:dyDescent="0.2">
      <c r="A13" s="3">
        <v>51</v>
      </c>
      <c r="B13" s="3" t="s">
        <v>558</v>
      </c>
      <c r="C13" s="3" t="s">
        <v>252</v>
      </c>
      <c r="D13" s="105">
        <v>63</v>
      </c>
      <c r="E13" s="105">
        <v>63</v>
      </c>
      <c r="F13" s="106">
        <v>195</v>
      </c>
      <c r="G13" s="4">
        <v>34419</v>
      </c>
      <c r="H13" s="110">
        <f t="shared" ca="1" si="0"/>
        <v>26.6</v>
      </c>
      <c r="I13" s="3" t="s">
        <v>559</v>
      </c>
      <c r="J13" s="3">
        <v>4</v>
      </c>
      <c r="K13" s="109">
        <v>2016</v>
      </c>
      <c r="L13" s="109"/>
      <c r="M13" s="3" t="s">
        <v>560</v>
      </c>
      <c r="N13" s="3" t="s">
        <v>279</v>
      </c>
      <c r="O13" s="3" t="s">
        <v>1931</v>
      </c>
      <c r="P13" s="11">
        <v>3000000</v>
      </c>
      <c r="Q13" s="48">
        <v>3000000</v>
      </c>
      <c r="R13" s="14">
        <f>Q13*1.9</f>
        <v>5700000</v>
      </c>
      <c r="S13" s="12"/>
      <c r="T13" s="22"/>
      <c r="V13" s="7"/>
      <c r="W13" s="96" t="s">
        <v>284</v>
      </c>
      <c r="X13" s="69">
        <v>1</v>
      </c>
      <c r="Y13" s="69">
        <v>58</v>
      </c>
      <c r="Z13" s="65">
        <f>21/58</f>
        <v>0.36206896551724138</v>
      </c>
      <c r="AA13" s="119">
        <v>101.5</v>
      </c>
      <c r="AB13" s="119">
        <v>105.4</v>
      </c>
      <c r="AC13" s="119">
        <f t="shared" si="1"/>
        <v>-3.9000000000000057</v>
      </c>
      <c r="AD13" s="119">
        <v>16</v>
      </c>
      <c r="AE13" s="119">
        <v>9</v>
      </c>
      <c r="AF13" s="65">
        <v>0.55100000000000005</v>
      </c>
      <c r="AG13" s="119">
        <v>12.5</v>
      </c>
      <c r="AH13" s="119">
        <v>0.7</v>
      </c>
      <c r="AI13" s="119">
        <v>0.7</v>
      </c>
      <c r="AJ13" s="65">
        <v>7.0000000000000007E-2</v>
      </c>
      <c r="AK13" s="119">
        <v>-2.7</v>
      </c>
      <c r="AL13" s="119">
        <v>-0.1</v>
      </c>
      <c r="AM13" s="119">
        <v>-0.2</v>
      </c>
      <c r="AN13" s="119">
        <v>6.1</v>
      </c>
    </row>
    <row r="14" spans="1:44" ht="17" x14ac:dyDescent="0.2">
      <c r="A14" s="3">
        <v>15</v>
      </c>
      <c r="B14" s="3" t="s">
        <v>561</v>
      </c>
      <c r="C14" s="3" t="s">
        <v>241</v>
      </c>
      <c r="D14" s="105">
        <v>67</v>
      </c>
      <c r="E14" s="105">
        <v>71</v>
      </c>
      <c r="F14" s="106">
        <v>210</v>
      </c>
      <c r="G14" s="4">
        <v>35181</v>
      </c>
      <c r="H14" s="110">
        <f t="shared" ca="1" si="0"/>
        <v>24.5</v>
      </c>
      <c r="I14" s="3" t="s">
        <v>562</v>
      </c>
      <c r="J14" s="3">
        <v>3</v>
      </c>
      <c r="K14" s="109">
        <v>2018</v>
      </c>
      <c r="L14" s="109">
        <v>22</v>
      </c>
      <c r="M14" s="3" t="s">
        <v>563</v>
      </c>
      <c r="N14" s="3" t="s">
        <v>244</v>
      </c>
      <c r="O14" s="3" t="s">
        <v>1932</v>
      </c>
      <c r="P14" s="11">
        <v>2443440</v>
      </c>
      <c r="Q14" s="50">
        <v>4019459</v>
      </c>
      <c r="R14" s="49">
        <f>Q14*3</f>
        <v>12058377</v>
      </c>
      <c r="S14" s="35"/>
      <c r="T14" s="22"/>
      <c r="W14" s="59" t="s">
        <v>564</v>
      </c>
      <c r="X14" s="69">
        <v>3</v>
      </c>
      <c r="Y14" s="69">
        <v>28</v>
      </c>
      <c r="Z14" s="65">
        <f>8/28</f>
        <v>0.2857142857142857</v>
      </c>
      <c r="AA14" s="119">
        <v>97</v>
      </c>
      <c r="AB14" s="119">
        <v>108.9</v>
      </c>
      <c r="AC14" s="119">
        <f t="shared" si="1"/>
        <v>-11.900000000000006</v>
      </c>
      <c r="AD14" s="119">
        <v>18.8</v>
      </c>
      <c r="AE14" s="119">
        <v>12.4</v>
      </c>
      <c r="AF14" s="65">
        <v>0.52100000000000002</v>
      </c>
      <c r="AG14" s="119">
        <v>19.100000000000001</v>
      </c>
      <c r="AH14" s="119">
        <v>0</v>
      </c>
      <c r="AI14" s="119">
        <v>0.7</v>
      </c>
      <c r="AJ14" s="65">
        <v>0.06</v>
      </c>
      <c r="AK14" s="119">
        <v>-2.7</v>
      </c>
      <c r="AL14" s="119">
        <v>0.1</v>
      </c>
      <c r="AM14" s="119">
        <v>-0.1</v>
      </c>
      <c r="AN14" s="119">
        <v>8.6</v>
      </c>
    </row>
    <row r="15" spans="1:44" x14ac:dyDescent="0.2">
      <c r="A15" s="3">
        <v>2</v>
      </c>
      <c r="B15" s="3" t="s">
        <v>565</v>
      </c>
      <c r="C15" s="3" t="s">
        <v>234</v>
      </c>
      <c r="D15" s="105">
        <v>72</v>
      </c>
      <c r="E15" s="105">
        <v>72</v>
      </c>
      <c r="F15" s="106">
        <v>250</v>
      </c>
      <c r="G15" s="4">
        <v>34895</v>
      </c>
      <c r="H15" s="110">
        <f t="shared" ca="1" si="0"/>
        <v>25.3</v>
      </c>
      <c r="I15" s="3" t="s">
        <v>566</v>
      </c>
      <c r="J15" s="3">
        <v>4</v>
      </c>
      <c r="K15" s="109">
        <v>2017</v>
      </c>
      <c r="L15" s="109"/>
      <c r="M15" s="3" t="s">
        <v>567</v>
      </c>
      <c r="N15" s="3" t="s">
        <v>291</v>
      </c>
      <c r="O15" s="3" t="s">
        <v>1933</v>
      </c>
      <c r="P15" s="11">
        <v>2250000</v>
      </c>
      <c r="Q15" s="14">
        <f>P15*1.3</f>
        <v>2925000</v>
      </c>
      <c r="R15" s="12"/>
      <c r="S15" s="12"/>
      <c r="T15" s="22"/>
      <c r="W15" s="96" t="s">
        <v>238</v>
      </c>
      <c r="X15" s="69">
        <v>5</v>
      </c>
      <c r="Y15" s="69">
        <v>36</v>
      </c>
      <c r="Z15" s="65">
        <f>11/36</f>
        <v>0.30555555555555558</v>
      </c>
      <c r="AA15" s="119">
        <v>103.4</v>
      </c>
      <c r="AB15" s="119">
        <v>107</v>
      </c>
      <c r="AC15" s="119">
        <f t="shared" si="1"/>
        <v>-3.5999999999999943</v>
      </c>
      <c r="AD15" s="119">
        <v>15.5</v>
      </c>
      <c r="AE15" s="119">
        <v>12.7</v>
      </c>
      <c r="AF15" s="65">
        <v>0.53900000000000003</v>
      </c>
      <c r="AG15" s="119">
        <v>16.3</v>
      </c>
      <c r="AH15" s="119">
        <v>0.5</v>
      </c>
      <c r="AI15" s="119">
        <v>0.5</v>
      </c>
      <c r="AJ15" s="65">
        <v>9.0999999999999998E-2</v>
      </c>
      <c r="AK15" s="119">
        <v>-0.9</v>
      </c>
      <c r="AL15" s="119">
        <v>-0.2</v>
      </c>
      <c r="AM15" s="119">
        <v>0.1</v>
      </c>
      <c r="AN15" s="119">
        <v>7.3</v>
      </c>
    </row>
    <row r="16" spans="1:44" ht="17" x14ac:dyDescent="0.2">
      <c r="A16" s="3"/>
      <c r="B16" s="3" t="s">
        <v>41</v>
      </c>
      <c r="C16" s="3" t="s">
        <v>234</v>
      </c>
      <c r="D16" s="105">
        <v>610</v>
      </c>
      <c r="E16" s="105">
        <v>74</v>
      </c>
      <c r="F16" s="106">
        <v>257</v>
      </c>
      <c r="G16" s="4">
        <v>34935</v>
      </c>
      <c r="H16" s="110">
        <f ca="1">ROUNDDOWN(YEARFRAC($G$27,G16),1)</f>
        <v>25.2</v>
      </c>
      <c r="I16" s="3" t="s">
        <v>362</v>
      </c>
      <c r="J16" s="3">
        <v>7</v>
      </c>
      <c r="K16" s="109">
        <v>2014</v>
      </c>
      <c r="L16" s="109">
        <v>9</v>
      </c>
      <c r="M16" s="3" t="s">
        <v>2572</v>
      </c>
      <c r="N16" s="3" t="s">
        <v>2403</v>
      </c>
      <c r="O16" s="3" t="s">
        <v>2533</v>
      </c>
      <c r="P16" s="15">
        <v>1620564</v>
      </c>
      <c r="Q16" s="242"/>
      <c r="R16" s="12"/>
      <c r="S16" s="12"/>
      <c r="T16" s="12"/>
      <c r="U16" s="12"/>
      <c r="V16" s="3"/>
      <c r="W16" s="136" t="s">
        <v>746</v>
      </c>
      <c r="X16" s="69">
        <v>5</v>
      </c>
      <c r="Y16" s="69">
        <v>29</v>
      </c>
      <c r="Z16" s="65">
        <f>10/29</f>
        <v>0.34482758620689657</v>
      </c>
      <c r="AA16" s="119">
        <v>97.4</v>
      </c>
      <c r="AB16" s="119">
        <v>102.1</v>
      </c>
      <c r="AC16" s="119">
        <f t="shared" si="1"/>
        <v>-4.6999999999999886</v>
      </c>
      <c r="AD16" s="119">
        <v>12</v>
      </c>
      <c r="AE16" s="119">
        <v>15.3</v>
      </c>
      <c r="AF16" s="65">
        <v>0.60499999999999998</v>
      </c>
      <c r="AG16" s="119">
        <v>13.9</v>
      </c>
      <c r="AH16" s="119">
        <v>0.5</v>
      </c>
      <c r="AI16" s="119">
        <v>0.3</v>
      </c>
      <c r="AJ16" s="65">
        <v>0.123</v>
      </c>
      <c r="AK16" s="119">
        <v>-1.4</v>
      </c>
      <c r="AL16" s="119">
        <v>0.4</v>
      </c>
      <c r="AM16" s="119">
        <v>0.1</v>
      </c>
      <c r="AN16" s="119">
        <v>12.7</v>
      </c>
    </row>
    <row r="17" spans="1:40" x14ac:dyDescent="0.2">
      <c r="A17" s="3">
        <v>12</v>
      </c>
      <c r="B17" s="3" t="s">
        <v>571</v>
      </c>
      <c r="C17" s="3" t="s">
        <v>234</v>
      </c>
      <c r="D17" s="105">
        <v>610</v>
      </c>
      <c r="E17" s="105">
        <v>73</v>
      </c>
      <c r="F17" s="106">
        <v>234</v>
      </c>
      <c r="G17" s="4">
        <v>36069</v>
      </c>
      <c r="H17" s="110">
        <f t="shared" ca="1" si="0"/>
        <v>22.1</v>
      </c>
      <c r="I17" s="3" t="s">
        <v>572</v>
      </c>
      <c r="J17" s="3">
        <v>2</v>
      </c>
      <c r="K17" s="109">
        <v>2019</v>
      </c>
      <c r="L17" s="109">
        <v>38</v>
      </c>
      <c r="M17" s="3" t="s">
        <v>573</v>
      </c>
      <c r="N17" s="3" t="s">
        <v>279</v>
      </c>
      <c r="O17" s="3" t="s">
        <v>1897</v>
      </c>
      <c r="P17" s="11">
        <v>1517981</v>
      </c>
      <c r="Q17" s="30">
        <v>1782621</v>
      </c>
      <c r="R17" s="48">
        <v>1930681</v>
      </c>
      <c r="S17" s="14">
        <v>2046307</v>
      </c>
      <c r="T17" s="22"/>
      <c r="W17" s="59" t="s">
        <v>574</v>
      </c>
      <c r="X17" s="69">
        <v>5</v>
      </c>
      <c r="Y17" s="69">
        <v>43</v>
      </c>
      <c r="Z17" s="65">
        <f>15/43</f>
        <v>0.34883720930232559</v>
      </c>
      <c r="AA17" s="119">
        <v>102.6</v>
      </c>
      <c r="AB17" s="119">
        <v>104.5</v>
      </c>
      <c r="AC17" s="119">
        <f t="shared" si="1"/>
        <v>-1.9000000000000057</v>
      </c>
      <c r="AD17" s="119">
        <v>14.2</v>
      </c>
      <c r="AE17" s="119">
        <v>16.2</v>
      </c>
      <c r="AF17" s="65">
        <v>0.68600000000000005</v>
      </c>
      <c r="AG17" s="119">
        <v>13.3</v>
      </c>
      <c r="AH17" s="119">
        <v>1.1000000000000001</v>
      </c>
      <c r="AI17" s="119">
        <v>0.8</v>
      </c>
      <c r="AJ17" s="65">
        <v>0.14599999999999999</v>
      </c>
      <c r="AK17" s="119">
        <v>-2.8</v>
      </c>
      <c r="AL17" s="119">
        <v>1.5</v>
      </c>
      <c r="AM17" s="119">
        <v>0.1</v>
      </c>
      <c r="AN17" s="119">
        <v>7.6</v>
      </c>
    </row>
    <row r="18" spans="1:40" x14ac:dyDescent="0.2">
      <c r="A18" s="3"/>
      <c r="B18" s="3" t="s">
        <v>2739</v>
      </c>
      <c r="C18" s="3"/>
      <c r="D18" s="105">
        <v>65</v>
      </c>
      <c r="E18" s="105"/>
      <c r="F18" s="106">
        <v>205</v>
      </c>
      <c r="G18" s="4">
        <v>35773</v>
      </c>
      <c r="H18" s="110">
        <f t="shared" ca="1" si="0"/>
        <v>22.9</v>
      </c>
      <c r="I18" s="3" t="s">
        <v>973</v>
      </c>
      <c r="J18" s="3">
        <v>2</v>
      </c>
      <c r="K18" s="109">
        <v>2019</v>
      </c>
      <c r="L18" s="109"/>
      <c r="M18" s="3" t="s">
        <v>2436</v>
      </c>
      <c r="N18" s="3" t="s">
        <v>2403</v>
      </c>
      <c r="O18" s="3" t="s">
        <v>2533</v>
      </c>
      <c r="P18" s="15">
        <v>1445697</v>
      </c>
      <c r="Q18" s="52"/>
      <c r="R18" s="12"/>
      <c r="S18" s="3"/>
      <c r="T18" s="22"/>
      <c r="W18" s="59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>
        <v>20</v>
      </c>
      <c r="B19" s="3" t="s">
        <v>575</v>
      </c>
      <c r="C19" s="3" t="s">
        <v>241</v>
      </c>
      <c r="D19" s="105">
        <v>65</v>
      </c>
      <c r="E19" s="105">
        <v>610</v>
      </c>
      <c r="F19" s="106">
        <v>190</v>
      </c>
      <c r="G19" s="4">
        <v>35994</v>
      </c>
      <c r="H19" s="110">
        <f t="shared" ca="1" si="0"/>
        <v>22.3</v>
      </c>
      <c r="I19" s="3" t="s">
        <v>576</v>
      </c>
      <c r="J19" s="3">
        <v>2</v>
      </c>
      <c r="K19" s="109">
        <v>2019</v>
      </c>
      <c r="L19" s="109"/>
      <c r="M19" s="3" t="s">
        <v>577</v>
      </c>
      <c r="N19" s="3" t="s">
        <v>288</v>
      </c>
      <c r="O19" s="3" t="s">
        <v>2516</v>
      </c>
      <c r="P19" s="57" t="s">
        <v>288</v>
      </c>
      <c r="Q19" s="52"/>
      <c r="R19" s="12"/>
      <c r="S19" s="3"/>
      <c r="T19" s="22"/>
      <c r="W19" s="59" t="s">
        <v>578</v>
      </c>
      <c r="X19" s="69">
        <v>3</v>
      </c>
      <c r="Y19" s="69">
        <v>11</v>
      </c>
      <c r="Z19" s="65">
        <f>3/11</f>
        <v>0.27272727272727271</v>
      </c>
      <c r="AA19" s="119">
        <v>121.4</v>
      </c>
      <c r="AB19" s="119">
        <v>104.4</v>
      </c>
      <c r="AC19" s="119">
        <f t="shared" si="1"/>
        <v>17</v>
      </c>
      <c r="AD19" s="119">
        <v>10.199999999999999</v>
      </c>
      <c r="AE19" s="119">
        <v>8.1999999999999993</v>
      </c>
      <c r="AF19" s="65">
        <v>0.53800000000000003</v>
      </c>
      <c r="AG19" s="119">
        <v>12.1</v>
      </c>
      <c r="AH19" s="119">
        <v>0.1</v>
      </c>
      <c r="AI19" s="119">
        <v>0.1</v>
      </c>
      <c r="AJ19" s="65">
        <v>7.2999999999999995E-2</v>
      </c>
      <c r="AK19" s="119">
        <v>-3.1</v>
      </c>
      <c r="AL19" s="119">
        <v>-1</v>
      </c>
      <c r="AM19" s="119">
        <v>-0.1</v>
      </c>
      <c r="AN19" s="119">
        <v>2.2999999999999998</v>
      </c>
    </row>
    <row r="20" spans="1:40" x14ac:dyDescent="0.2">
      <c r="B20" s="3" t="s">
        <v>2390</v>
      </c>
      <c r="C20" s="3" t="s">
        <v>2280</v>
      </c>
      <c r="D20" s="105">
        <v>62</v>
      </c>
      <c r="E20" s="105">
        <v>63</v>
      </c>
      <c r="F20" s="106">
        <v>185</v>
      </c>
      <c r="G20" s="62">
        <v>36374</v>
      </c>
      <c r="H20" s="110">
        <f t="shared" ca="1" si="0"/>
        <v>21.3</v>
      </c>
      <c r="I20" s="3" t="s">
        <v>498</v>
      </c>
      <c r="J20" s="3">
        <v>1</v>
      </c>
      <c r="K20" s="54">
        <v>2020</v>
      </c>
      <c r="L20" s="109"/>
      <c r="M20" s="117" t="s">
        <v>2436</v>
      </c>
      <c r="N20" s="3" t="s">
        <v>288</v>
      </c>
      <c r="O20" s="22" t="s">
        <v>2516</v>
      </c>
      <c r="P20" s="175" t="s">
        <v>288</v>
      </c>
      <c r="Q20" s="243"/>
      <c r="R20" s="60"/>
      <c r="S20" s="60"/>
      <c r="T20" s="60"/>
      <c r="W20" s="59"/>
      <c r="X20" s="69"/>
      <c r="Y20" s="69"/>
      <c r="Z20" s="65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3"/>
      <c r="B21" s="3" t="s">
        <v>290</v>
      </c>
      <c r="C21" s="3"/>
      <c r="D21" s="105"/>
      <c r="E21" s="105"/>
      <c r="F21" s="106"/>
      <c r="G21" s="4"/>
      <c r="H21" s="110"/>
      <c r="I21" s="3"/>
      <c r="J21" s="3"/>
      <c r="K21" s="109"/>
      <c r="L21" s="109"/>
      <c r="M21" s="3"/>
      <c r="N21" s="3"/>
      <c r="O21" s="3"/>
      <c r="P21" s="16"/>
      <c r="Q21" s="19"/>
      <c r="R21" s="16"/>
      <c r="S21" s="16"/>
      <c r="T21" s="22"/>
      <c r="W21" s="59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B22" s="2" t="s">
        <v>2349</v>
      </c>
      <c r="C22" s="3" t="s">
        <v>234</v>
      </c>
      <c r="D22" s="105">
        <v>611</v>
      </c>
      <c r="F22" s="106">
        <v>215</v>
      </c>
      <c r="G22" s="62">
        <v>36448</v>
      </c>
      <c r="H22" s="110">
        <f ca="1">ROUNDDOWN(YEARFRAC($G$27,G22),1)</f>
        <v>21.1</v>
      </c>
      <c r="I22" s="3" t="s">
        <v>2388</v>
      </c>
      <c r="J22" s="3">
        <v>1</v>
      </c>
      <c r="K22" s="54">
        <v>2020</v>
      </c>
      <c r="L22" s="109">
        <v>44</v>
      </c>
      <c r="M22" s="117" t="s">
        <v>2350</v>
      </c>
      <c r="N22" s="3"/>
      <c r="O22" s="22"/>
      <c r="P22" s="175" t="s">
        <v>2491</v>
      </c>
      <c r="Q22" s="175"/>
      <c r="R22" s="60"/>
      <c r="S22" s="60"/>
      <c r="T22" s="60"/>
      <c r="W22" s="59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23"/>
      <c r="AN22" s="123"/>
    </row>
    <row r="23" spans="1:40" x14ac:dyDescent="0.2">
      <c r="B23" s="3"/>
      <c r="C23" s="59"/>
      <c r="H23" s="110"/>
      <c r="J23" s="129"/>
      <c r="K23" s="117"/>
      <c r="L23" s="117"/>
      <c r="M23" s="75"/>
      <c r="N23" s="3"/>
      <c r="O23" s="22"/>
      <c r="P23" s="60"/>
      <c r="AA23" s="123"/>
      <c r="AB23" s="123"/>
      <c r="AC23" s="123"/>
      <c r="AD23" s="123"/>
      <c r="AE23" s="123"/>
      <c r="AF23" s="124"/>
      <c r="AG23" s="123"/>
      <c r="AH23" s="123"/>
      <c r="AI23" s="123"/>
      <c r="AJ23" s="124"/>
      <c r="AK23" s="123"/>
      <c r="AL23" s="123"/>
      <c r="AM23" s="123"/>
      <c r="AN23" s="123"/>
    </row>
    <row r="24" spans="1:40" x14ac:dyDescent="0.2">
      <c r="A24" s="3">
        <v>3</v>
      </c>
      <c r="B24" s="3" t="s">
        <v>26</v>
      </c>
      <c r="C24" s="3" t="s">
        <v>252</v>
      </c>
      <c r="D24" s="105">
        <v>67</v>
      </c>
      <c r="E24" s="105"/>
      <c r="F24" s="106">
        <v>190</v>
      </c>
      <c r="G24" s="4">
        <v>34248</v>
      </c>
      <c r="H24" s="110">
        <f ca="1">ROUNDDOWN(YEARFRAC($G$27,G24),1)</f>
        <v>27.1</v>
      </c>
      <c r="I24" s="3" t="s">
        <v>568</v>
      </c>
      <c r="J24" s="3">
        <v>4</v>
      </c>
      <c r="K24" s="109">
        <v>2016</v>
      </c>
      <c r="L24" s="109"/>
      <c r="M24" s="3" t="s">
        <v>569</v>
      </c>
      <c r="N24" s="3"/>
      <c r="O24" s="3"/>
      <c r="P24" s="14">
        <v>2025705</v>
      </c>
      <c r="Q24" s="12"/>
      <c r="R24" s="12"/>
      <c r="S24" s="12"/>
      <c r="T24" s="22"/>
      <c r="W24" s="59" t="s">
        <v>570</v>
      </c>
      <c r="X24" s="69">
        <v>3</v>
      </c>
      <c r="Y24" s="69">
        <v>43</v>
      </c>
      <c r="Z24" s="65">
        <f>14/43</f>
        <v>0.32558139534883723</v>
      </c>
      <c r="AA24" s="119">
        <v>106.5</v>
      </c>
      <c r="AB24" s="119">
        <v>99.7</v>
      </c>
      <c r="AC24" s="119">
        <f t="shared" ref="AC24:AC25" si="2">AA24-AB24</f>
        <v>6.7999999999999972</v>
      </c>
      <c r="AD24" s="119">
        <v>11.3</v>
      </c>
      <c r="AE24" s="119">
        <v>17.8</v>
      </c>
      <c r="AF24" s="65">
        <v>0.55900000000000005</v>
      </c>
      <c r="AG24" s="119">
        <v>18.100000000000001</v>
      </c>
      <c r="AH24" s="119">
        <v>0.8</v>
      </c>
      <c r="AI24" s="119">
        <v>0.8</v>
      </c>
      <c r="AJ24" s="65">
        <v>0.153</v>
      </c>
      <c r="AK24" s="119">
        <v>0.4</v>
      </c>
      <c r="AL24" s="119">
        <v>2.4</v>
      </c>
      <c r="AM24" s="119">
        <v>0.6</v>
      </c>
      <c r="AN24" s="119">
        <v>11.4</v>
      </c>
    </row>
    <row r="25" spans="1:40" x14ac:dyDescent="0.2">
      <c r="A25" s="3">
        <v>28</v>
      </c>
      <c r="B25" s="3" t="s">
        <v>579</v>
      </c>
      <c r="C25" s="3" t="s">
        <v>241</v>
      </c>
      <c r="D25" s="105">
        <v>65</v>
      </c>
      <c r="E25" s="105">
        <v>69</v>
      </c>
      <c r="F25" s="106">
        <v>215</v>
      </c>
      <c r="G25" s="4">
        <v>35152</v>
      </c>
      <c r="H25" s="110">
        <f ca="1">ROUNDDOWN(YEARFRAC($G$27,G25),1)</f>
        <v>24.6</v>
      </c>
      <c r="I25" s="3" t="s">
        <v>437</v>
      </c>
      <c r="J25" s="3">
        <v>2</v>
      </c>
      <c r="K25" s="109">
        <v>2019</v>
      </c>
      <c r="L25" s="109"/>
      <c r="M25" s="3" t="s">
        <v>580</v>
      </c>
      <c r="N25" s="3"/>
      <c r="O25" s="3"/>
      <c r="P25" s="68">
        <v>1445697</v>
      </c>
      <c r="Q25" s="12"/>
      <c r="R25" s="12"/>
      <c r="S25" s="12"/>
      <c r="T25" s="22"/>
      <c r="W25" s="96" t="s">
        <v>581</v>
      </c>
      <c r="X25" s="69">
        <v>2</v>
      </c>
      <c r="Y25" s="69">
        <v>2</v>
      </c>
      <c r="Z25" s="65">
        <f>0/2</f>
        <v>0</v>
      </c>
      <c r="AA25" s="119">
        <v>193.3</v>
      </c>
      <c r="AB25" s="119">
        <v>87.5</v>
      </c>
      <c r="AC25" s="119">
        <f t="shared" si="2"/>
        <v>105.80000000000001</v>
      </c>
      <c r="AD25" s="119">
        <v>3.1</v>
      </c>
      <c r="AE25" s="119">
        <v>30.7</v>
      </c>
      <c r="AF25" s="65">
        <v>0.72699999999999998</v>
      </c>
      <c r="AG25" s="119">
        <v>24.4</v>
      </c>
      <c r="AH25" s="119">
        <v>0</v>
      </c>
      <c r="AI25" s="119">
        <v>0</v>
      </c>
      <c r="AJ25" s="65">
        <v>0.317</v>
      </c>
      <c r="AK25" s="119">
        <v>5.4</v>
      </c>
      <c r="AL25" s="119">
        <v>-1</v>
      </c>
      <c r="AM25" s="119">
        <v>0</v>
      </c>
      <c r="AN25" s="119">
        <v>12.3</v>
      </c>
    </row>
    <row r="26" spans="1:40" x14ac:dyDescent="0.2">
      <c r="B26" s="3"/>
      <c r="C26" s="59"/>
      <c r="H26" s="63"/>
      <c r="J26" s="129"/>
      <c r="K26" s="117"/>
      <c r="L26" s="117"/>
      <c r="M26" s="75"/>
      <c r="N26" s="3"/>
      <c r="O26" s="22"/>
      <c r="P26" s="60"/>
      <c r="AA26" s="123"/>
      <c r="AB26" s="123"/>
      <c r="AC26" s="123"/>
      <c r="AD26" s="123"/>
      <c r="AE26" s="123"/>
      <c r="AF26" s="124"/>
      <c r="AG26" s="123"/>
      <c r="AH26" s="123"/>
      <c r="AI26" s="123"/>
      <c r="AJ26" s="124"/>
      <c r="AK26" s="123"/>
      <c r="AL26" s="123"/>
      <c r="AM26" s="123"/>
      <c r="AN26" s="123"/>
    </row>
    <row r="27" spans="1:40" x14ac:dyDescent="0.2">
      <c r="B27" s="3"/>
      <c r="C27" s="59"/>
      <c r="G27" s="62">
        <f ca="1">TODAY()</f>
        <v>44162</v>
      </c>
      <c r="H27" s="63">
        <f ca="1">AVERAGE(H2:H17)</f>
        <v>25.818750000000001</v>
      </c>
      <c r="J27" s="63">
        <f>AVERAGE(J2:J17)</f>
        <v>5.375</v>
      </c>
      <c r="K27" s="117"/>
      <c r="L27" s="117"/>
      <c r="M27" s="75"/>
      <c r="N27" s="3"/>
      <c r="O27" s="22"/>
      <c r="P27" s="60"/>
      <c r="AA27" s="123"/>
      <c r="AB27" s="123"/>
      <c r="AC27" s="123"/>
      <c r="AD27" s="123"/>
      <c r="AE27" s="123"/>
      <c r="AF27" s="124"/>
      <c r="AG27" s="123"/>
      <c r="AH27" s="123"/>
      <c r="AI27" s="123"/>
      <c r="AJ27" s="124"/>
      <c r="AK27" s="123"/>
      <c r="AL27" s="123"/>
      <c r="AM27" s="123"/>
      <c r="AN27" s="123"/>
    </row>
    <row r="28" spans="1:40" x14ac:dyDescent="0.2">
      <c r="B28" s="3"/>
      <c r="C28" s="59"/>
      <c r="H28" s="63">
        <f ca="1">MEDIAN(H2:H17)</f>
        <v>25.5</v>
      </c>
      <c r="J28" s="129">
        <f>MEDIAN(J2:J17)</f>
        <v>4.5</v>
      </c>
      <c r="K28" s="117"/>
      <c r="L28" s="117"/>
      <c r="M28" s="75"/>
      <c r="N28" s="3"/>
      <c r="O28" s="22"/>
      <c r="P28" s="60">
        <f>SUM(P2:P20)-P16-P18</f>
        <v>122794266</v>
      </c>
      <c r="AA28" s="123"/>
      <c r="AB28" s="123"/>
      <c r="AC28" s="123"/>
      <c r="AD28" s="123"/>
      <c r="AE28" s="123"/>
      <c r="AF28" s="124"/>
      <c r="AG28" s="123"/>
      <c r="AH28" s="123"/>
      <c r="AI28" s="123"/>
      <c r="AJ28" s="124"/>
      <c r="AK28" s="123"/>
      <c r="AL28" s="123"/>
      <c r="AM28" s="123"/>
      <c r="AN28" s="123"/>
    </row>
    <row r="29" spans="1:40" x14ac:dyDescent="0.2">
      <c r="B29" s="5" t="s">
        <v>1985</v>
      </c>
      <c r="C29" s="59"/>
      <c r="H29" s="63"/>
      <c r="J29" s="129"/>
      <c r="K29" s="117"/>
      <c r="L29" s="117"/>
      <c r="M29" s="75"/>
      <c r="N29" s="3"/>
      <c r="O29" s="22"/>
      <c r="P29" s="120">
        <f>SUM(P2:P20)</f>
        <v>125860527</v>
      </c>
      <c r="AA29" s="123"/>
      <c r="AB29" s="123"/>
      <c r="AC29" s="123"/>
      <c r="AD29" s="123"/>
      <c r="AE29" s="123"/>
      <c r="AF29" s="124"/>
      <c r="AG29" s="123"/>
      <c r="AH29" s="123"/>
      <c r="AI29" s="123"/>
      <c r="AJ29" s="124"/>
      <c r="AK29" s="123"/>
      <c r="AL29" s="123"/>
      <c r="AM29" s="123"/>
      <c r="AN29" s="123"/>
    </row>
    <row r="30" spans="1:40" x14ac:dyDescent="0.2">
      <c r="B30" s="3" t="s">
        <v>1876</v>
      </c>
      <c r="C30" s="59">
        <v>15</v>
      </c>
      <c r="J30" s="3"/>
      <c r="K30" s="75"/>
      <c r="L30" s="117"/>
      <c r="M30" s="75"/>
      <c r="N30" s="75"/>
      <c r="O30" s="75"/>
      <c r="P30" s="120"/>
      <c r="AF30" s="124"/>
      <c r="AG30" s="123"/>
      <c r="AH30" s="123"/>
      <c r="AI30" s="123"/>
      <c r="AJ30" s="124"/>
      <c r="AK30" s="123"/>
      <c r="AL30" s="123"/>
      <c r="AM30" s="123"/>
      <c r="AN30" s="123"/>
    </row>
    <row r="31" spans="1:40" x14ac:dyDescent="0.2">
      <c r="B31" s="3" t="s">
        <v>2457</v>
      </c>
      <c r="C31" s="59">
        <v>2</v>
      </c>
      <c r="J31" s="4"/>
      <c r="K31" s="3"/>
      <c r="L31" s="19"/>
      <c r="M31" s="75"/>
      <c r="N31" s="75"/>
      <c r="O31" s="3" t="s">
        <v>292</v>
      </c>
      <c r="P31" s="22" t="e">
        <f>#REF!</f>
        <v>#REF!</v>
      </c>
      <c r="R31" s="183"/>
      <c r="AF31" s="124"/>
      <c r="AG31" s="123"/>
      <c r="AH31" s="123"/>
      <c r="AI31" s="123"/>
      <c r="AJ31" s="124"/>
      <c r="AK31" s="123"/>
      <c r="AL31" s="123"/>
      <c r="AM31" s="123"/>
      <c r="AN31" s="123"/>
    </row>
    <row r="32" spans="1:40" x14ac:dyDescent="0.2">
      <c r="B32" s="3" t="s">
        <v>2539</v>
      </c>
      <c r="C32" s="59">
        <v>2</v>
      </c>
      <c r="J32" s="4"/>
      <c r="K32" s="3"/>
      <c r="L32" s="19"/>
      <c r="M32" s="75"/>
      <c r="N32" s="75"/>
      <c r="O32" s="22" t="s">
        <v>294</v>
      </c>
      <c r="P32" s="22" t="e">
        <f>#REF!</f>
        <v>#REF!</v>
      </c>
      <c r="R32" s="183"/>
      <c r="AF32" s="124"/>
      <c r="AG32" s="123"/>
      <c r="AH32" s="123"/>
      <c r="AI32" s="123"/>
      <c r="AJ32" s="124"/>
      <c r="AK32" s="123"/>
      <c r="AL32" s="123"/>
      <c r="AM32" s="123"/>
      <c r="AN32" s="123"/>
    </row>
    <row r="33" spans="2:40" x14ac:dyDescent="0.2">
      <c r="B33" s="3" t="s">
        <v>495</v>
      </c>
      <c r="C33" s="60">
        <f>9258000-P11</f>
        <v>4258000</v>
      </c>
      <c r="D33" t="s">
        <v>14</v>
      </c>
      <c r="J33" s="4"/>
      <c r="K33" s="3"/>
      <c r="L33" s="19"/>
      <c r="M33" s="75"/>
      <c r="N33" s="75"/>
      <c r="O33" s="22"/>
      <c r="P33" s="22"/>
      <c r="R33" s="183"/>
      <c r="AF33" s="124"/>
      <c r="AG33" s="123"/>
      <c r="AH33" s="123"/>
      <c r="AI33" s="123"/>
      <c r="AJ33" s="124"/>
      <c r="AK33" s="123"/>
      <c r="AL33" s="123"/>
      <c r="AM33" s="123"/>
      <c r="AN33" s="123"/>
    </row>
    <row r="34" spans="2:40" ht="17" x14ac:dyDescent="0.2">
      <c r="B34" s="3" t="s">
        <v>514</v>
      </c>
      <c r="C34" s="60">
        <f>3623000</f>
        <v>3623000</v>
      </c>
      <c r="H34" s="3"/>
      <c r="J34" s="3"/>
      <c r="K34" s="75"/>
      <c r="L34" s="113"/>
      <c r="M34" s="75"/>
      <c r="N34" s="75"/>
      <c r="O34" s="3"/>
      <c r="P34" s="22"/>
      <c r="AG34" s="123"/>
      <c r="AH34" s="123"/>
      <c r="AI34" s="123"/>
      <c r="AJ34" s="124"/>
      <c r="AK34" s="123"/>
      <c r="AL34" s="123"/>
      <c r="AM34" s="123"/>
      <c r="AN34" s="123"/>
    </row>
    <row r="35" spans="2:40" x14ac:dyDescent="0.2">
      <c r="B35" s="24" t="s">
        <v>293</v>
      </c>
      <c r="C35" s="67">
        <v>0</v>
      </c>
      <c r="J35" s="3"/>
      <c r="K35" s="57"/>
      <c r="L35" s="75"/>
      <c r="M35" s="75"/>
      <c r="N35" s="75"/>
      <c r="O35" s="3"/>
      <c r="P35" s="22"/>
      <c r="AG35" s="123"/>
      <c r="AH35" s="123"/>
      <c r="AI35" s="123"/>
      <c r="AK35" s="123"/>
      <c r="AL35" s="123"/>
      <c r="AM35" s="123"/>
      <c r="AN35" s="123"/>
    </row>
    <row r="36" spans="2:40" x14ac:dyDescent="0.2">
      <c r="B36" s="3" t="s">
        <v>295</v>
      </c>
      <c r="C36" s="67">
        <v>0</v>
      </c>
      <c r="J36" s="3"/>
      <c r="K36" s="57"/>
      <c r="L36" s="75"/>
      <c r="M36" s="75"/>
      <c r="N36" s="75"/>
      <c r="O36" s="3"/>
      <c r="P36" s="22"/>
      <c r="AG36" s="123"/>
      <c r="AH36" s="123"/>
      <c r="AI36" s="123"/>
      <c r="AK36" s="123"/>
      <c r="AL36" s="123"/>
      <c r="AM36" s="123"/>
      <c r="AN36" s="123"/>
    </row>
    <row r="37" spans="2:40" x14ac:dyDescent="0.2">
      <c r="B37" s="3"/>
      <c r="C37" s="67"/>
      <c r="J37" s="3"/>
      <c r="K37" s="57"/>
      <c r="L37" s="75"/>
      <c r="M37" s="75"/>
      <c r="N37" s="75"/>
      <c r="O37" s="22"/>
      <c r="P37" s="22"/>
    </row>
    <row r="38" spans="2:40" x14ac:dyDescent="0.2">
      <c r="B38" s="5" t="s">
        <v>1875</v>
      </c>
      <c r="C38" s="67"/>
      <c r="J38" s="3"/>
      <c r="K38" s="57"/>
      <c r="L38" s="75"/>
      <c r="M38" s="75"/>
      <c r="N38" s="75"/>
      <c r="O38" s="22"/>
      <c r="P38" s="22"/>
    </row>
    <row r="39" spans="2:40" x14ac:dyDescent="0.2">
      <c r="B39" s="3" t="s">
        <v>296</v>
      </c>
      <c r="C39" s="41">
        <f>22/65</f>
        <v>0.33846153846153848</v>
      </c>
      <c r="D39" s="3" t="s">
        <v>1995</v>
      </c>
      <c r="E39" s="3"/>
      <c r="J39" s="3"/>
      <c r="K39" s="57"/>
      <c r="L39" s="75"/>
      <c r="M39" s="75"/>
      <c r="N39" s="75"/>
      <c r="O39" s="3"/>
    </row>
    <row r="40" spans="2:40" x14ac:dyDescent="0.2">
      <c r="B40" s="3" t="s">
        <v>298</v>
      </c>
      <c r="C40" s="110">
        <v>105.8</v>
      </c>
      <c r="D40" s="3" t="s">
        <v>1966</v>
      </c>
      <c r="E40" s="3"/>
    </row>
    <row r="41" spans="2:40" x14ac:dyDescent="0.2">
      <c r="B41" s="3" t="s">
        <v>299</v>
      </c>
      <c r="C41" s="110">
        <v>108.9</v>
      </c>
      <c r="D41" s="3" t="s">
        <v>1996</v>
      </c>
      <c r="E41" s="3"/>
    </row>
    <row r="42" spans="2:40" x14ac:dyDescent="0.2">
      <c r="B42" s="3" t="s">
        <v>300</v>
      </c>
      <c r="C42" s="110">
        <f>C40-C41</f>
        <v>-3.1000000000000085</v>
      </c>
      <c r="D42" s="3" t="s">
        <v>1991</v>
      </c>
      <c r="E42" s="3"/>
    </row>
    <row r="43" spans="2:40" x14ac:dyDescent="0.2">
      <c r="B43" s="3" t="s">
        <v>301</v>
      </c>
      <c r="C43" s="36">
        <v>100.46</v>
      </c>
      <c r="D43" s="3" t="s">
        <v>1965</v>
      </c>
      <c r="E43" s="3"/>
    </row>
    <row r="44" spans="2:40" x14ac:dyDescent="0.2">
      <c r="B44" s="3"/>
      <c r="C44" s="3"/>
      <c r="D44" s="3"/>
      <c r="E44" s="3"/>
    </row>
    <row r="45" spans="2:40" x14ac:dyDescent="0.2">
      <c r="B45" s="2" t="s">
        <v>302</v>
      </c>
      <c r="C45" s="3"/>
      <c r="D45" s="3"/>
      <c r="E45" s="3"/>
    </row>
    <row r="46" spans="2:40" x14ac:dyDescent="0.2">
      <c r="B46" s="2" t="s">
        <v>583</v>
      </c>
      <c r="C46" s="3"/>
      <c r="D46" s="3"/>
      <c r="E46" s="3"/>
    </row>
    <row r="47" spans="2:40" x14ac:dyDescent="0.2">
      <c r="B47" s="2" t="s">
        <v>584</v>
      </c>
      <c r="C47" s="3"/>
      <c r="D47" s="3"/>
      <c r="E47" s="3"/>
    </row>
    <row r="48" spans="2:40" x14ac:dyDescent="0.2">
      <c r="B48" s="10"/>
      <c r="C48" s="3"/>
      <c r="D48" s="3"/>
      <c r="E48" s="3"/>
    </row>
    <row r="49" spans="2:10" x14ac:dyDescent="0.2">
      <c r="B49" s="2" t="s">
        <v>310</v>
      </c>
      <c r="C49" s="3"/>
      <c r="D49" s="3"/>
      <c r="E49" s="3"/>
    </row>
    <row r="50" spans="2:10" x14ac:dyDescent="0.2">
      <c r="B50" s="2" t="s">
        <v>585</v>
      </c>
      <c r="C50" s="3"/>
      <c r="D50" s="3"/>
      <c r="E50" s="3"/>
    </row>
    <row r="51" spans="2:10" x14ac:dyDescent="0.2">
      <c r="B51" s="2"/>
      <c r="C51" s="3"/>
      <c r="D51" s="3"/>
      <c r="E51" s="3"/>
    </row>
    <row r="52" spans="2:10" x14ac:dyDescent="0.2">
      <c r="B52" s="194" t="s">
        <v>1989</v>
      </c>
      <c r="C52" s="3"/>
      <c r="D52" s="3"/>
      <c r="E52" s="3"/>
    </row>
    <row r="53" spans="2:10" x14ac:dyDescent="0.2">
      <c r="B53" s="39" t="s">
        <v>314</v>
      </c>
      <c r="C53" s="3">
        <v>22</v>
      </c>
      <c r="D53" s="3">
        <v>43</v>
      </c>
      <c r="E53" s="3" t="s">
        <v>523</v>
      </c>
      <c r="G53" s="3" t="s">
        <v>582</v>
      </c>
      <c r="H53" s="12"/>
      <c r="J53" s="141" t="s">
        <v>316</v>
      </c>
    </row>
    <row r="54" spans="2:10" x14ac:dyDescent="0.2">
      <c r="B54" s="37" t="s">
        <v>317</v>
      </c>
      <c r="C54" s="3">
        <v>22</v>
      </c>
      <c r="D54" s="3">
        <v>60</v>
      </c>
      <c r="E54" s="3" t="s">
        <v>586</v>
      </c>
      <c r="F54" s="3"/>
      <c r="G54" t="s">
        <v>582</v>
      </c>
      <c r="J54" s="141" t="s">
        <v>316</v>
      </c>
    </row>
    <row r="55" spans="2:10" x14ac:dyDescent="0.2">
      <c r="B55" s="37" t="s">
        <v>319</v>
      </c>
      <c r="C55" s="3">
        <v>27</v>
      </c>
      <c r="D55" s="3">
        <v>55</v>
      </c>
      <c r="E55" s="3" t="s">
        <v>586</v>
      </c>
      <c r="F55" s="3"/>
      <c r="G55" s="3" t="s">
        <v>587</v>
      </c>
      <c r="H55" s="12"/>
      <c r="J55" s="141" t="s">
        <v>316</v>
      </c>
    </row>
    <row r="56" spans="2:10" x14ac:dyDescent="0.2">
      <c r="B56" s="37" t="s">
        <v>322</v>
      </c>
      <c r="C56" s="3">
        <v>41</v>
      </c>
      <c r="D56" s="3">
        <v>41</v>
      </c>
      <c r="E56" s="3" t="s">
        <v>332</v>
      </c>
      <c r="F56" s="3"/>
      <c r="G56" s="3" t="s">
        <v>588</v>
      </c>
      <c r="H56" s="12"/>
      <c r="J56" s="3" t="s">
        <v>589</v>
      </c>
    </row>
    <row r="57" spans="2:10" x14ac:dyDescent="0.2">
      <c r="B57" s="37" t="s">
        <v>325</v>
      </c>
      <c r="C57" s="3">
        <v>42</v>
      </c>
      <c r="D57" s="3">
        <v>40</v>
      </c>
      <c r="E57" s="3" t="s">
        <v>521</v>
      </c>
      <c r="F57" s="3"/>
      <c r="G57" s="3" t="s">
        <v>588</v>
      </c>
      <c r="H57" s="3"/>
      <c r="J57" s="170" t="s">
        <v>316</v>
      </c>
    </row>
    <row r="58" spans="2:10" x14ac:dyDescent="0.2">
      <c r="B58" s="37" t="s">
        <v>328</v>
      </c>
      <c r="C58" s="3">
        <v>50</v>
      </c>
      <c r="D58" s="3">
        <v>32</v>
      </c>
      <c r="E58" s="3" t="s">
        <v>393</v>
      </c>
      <c r="F58" s="3"/>
      <c r="G58" s="3" t="s">
        <v>588</v>
      </c>
      <c r="H58" s="12"/>
      <c r="J58" s="3" t="s">
        <v>590</v>
      </c>
    </row>
    <row r="59" spans="2:10" x14ac:dyDescent="0.2">
      <c r="B59" s="37" t="s">
        <v>331</v>
      </c>
      <c r="C59" s="3">
        <v>48</v>
      </c>
      <c r="D59" s="3">
        <v>34</v>
      </c>
      <c r="E59" s="3" t="s">
        <v>326</v>
      </c>
      <c r="F59" s="3"/>
      <c r="G59" s="3" t="s">
        <v>591</v>
      </c>
      <c r="H59" s="3"/>
      <c r="J59" s="3" t="s">
        <v>592</v>
      </c>
    </row>
    <row r="60" spans="2:10" x14ac:dyDescent="0.2">
      <c r="B60" s="37" t="s">
        <v>334</v>
      </c>
      <c r="C60" s="3">
        <v>45</v>
      </c>
      <c r="D60" s="3">
        <v>37</v>
      </c>
      <c r="E60" s="3" t="s">
        <v>323</v>
      </c>
      <c r="F60" s="3"/>
      <c r="G60" s="3" t="s">
        <v>591</v>
      </c>
      <c r="H60" s="3"/>
      <c r="J60" s="3" t="s">
        <v>593</v>
      </c>
    </row>
    <row r="61" spans="2:10" x14ac:dyDescent="0.2">
      <c r="B61" s="37" t="s">
        <v>338</v>
      </c>
      <c r="C61" s="3">
        <v>50</v>
      </c>
      <c r="D61" s="3">
        <v>16</v>
      </c>
      <c r="E61" s="3" t="s">
        <v>329</v>
      </c>
      <c r="F61" s="3"/>
      <c r="G61" s="3" t="s">
        <v>591</v>
      </c>
      <c r="H61" s="3"/>
      <c r="J61" s="3" t="s">
        <v>594</v>
      </c>
    </row>
    <row r="62" spans="2:10" x14ac:dyDescent="0.2">
      <c r="B62" s="37" t="s">
        <v>340</v>
      </c>
      <c r="C62" s="3">
        <v>62</v>
      </c>
      <c r="D62" s="3">
        <v>20</v>
      </c>
      <c r="E62" s="3" t="s">
        <v>329</v>
      </c>
      <c r="F62" s="3"/>
      <c r="G62" s="3" t="s">
        <v>591</v>
      </c>
      <c r="H62" s="3"/>
      <c r="J62" s="3" t="s">
        <v>595</v>
      </c>
    </row>
    <row r="63" spans="2:10" x14ac:dyDescent="0.2">
      <c r="B63" s="3" t="s">
        <v>342</v>
      </c>
      <c r="C63" s="3">
        <f>SUM(C53:C62)</f>
        <v>409</v>
      </c>
      <c r="D63" s="3">
        <f>SUM(D53:D62)</f>
        <v>378</v>
      </c>
      <c r="E63" s="41">
        <f>C63/(D63+C63)</f>
        <v>0.51969504447268111</v>
      </c>
      <c r="G63" s="3" t="s">
        <v>591</v>
      </c>
      <c r="H63" s="3"/>
      <c r="J63" s="3"/>
    </row>
  </sheetData>
  <pageMargins left="0.7" right="0.7" top="0.75" bottom="0.75" header="0.3" footer="0.3"/>
  <pageSetup orientation="portrait" horizontalDpi="0" verticalDpi="0"/>
  <ignoredErrors>
    <ignoredError sqref="J27:J28" formulaRange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7E46-845A-CD42-B619-EF400118CD20}">
  <dimension ref="A1:AO69"/>
  <sheetViews>
    <sheetView zoomScaleNormal="100" workbookViewId="0"/>
  </sheetViews>
  <sheetFormatPr baseColWidth="10" defaultColWidth="18.6640625" defaultRowHeight="16" x14ac:dyDescent="0.2"/>
  <cols>
    <col min="1" max="1" width="4.5" style="59" customWidth="1"/>
    <col min="2" max="2" width="18.6640625" style="59"/>
    <col min="3" max="3" width="12.83203125" style="59" customWidth="1"/>
    <col min="4" max="4" width="10.6640625" style="59" customWidth="1"/>
    <col min="5" max="5" width="10.33203125" style="59" customWidth="1"/>
    <col min="6" max="6" width="9.1640625" style="59" customWidth="1"/>
    <col min="7" max="7" width="10.6640625" style="59" customWidth="1"/>
    <col min="8" max="8" width="7.1640625" style="59" customWidth="1"/>
    <col min="9" max="9" width="26.33203125" style="59" customWidth="1"/>
    <col min="10" max="10" width="11.1640625" style="59" customWidth="1"/>
    <col min="11" max="11" width="13.5" style="59" customWidth="1"/>
    <col min="12" max="12" width="5.5" style="59" customWidth="1"/>
    <col min="13" max="13" width="28" style="59" customWidth="1"/>
    <col min="14" max="14" width="15.6640625" style="59" customWidth="1"/>
    <col min="15" max="15" width="47.6640625" style="59" customWidth="1"/>
    <col min="16" max="16" width="14" style="59" customWidth="1"/>
    <col min="17" max="17" width="12.33203125" style="59" customWidth="1"/>
    <col min="18" max="18" width="12" style="59" customWidth="1"/>
    <col min="19" max="19" width="13" style="59" customWidth="1"/>
    <col min="20" max="20" width="12.33203125" style="59" customWidth="1"/>
    <col min="21" max="21" width="16.83203125" style="59" customWidth="1"/>
    <col min="22" max="22" width="103.33203125" style="59" customWidth="1"/>
    <col min="23" max="23" width="25.83203125" style="59" customWidth="1"/>
    <col min="24" max="24" width="10.33203125" style="59" customWidth="1"/>
    <col min="25" max="25" width="4.33203125" style="59" customWidth="1"/>
    <col min="26" max="26" width="8.1640625" style="59" customWidth="1"/>
    <col min="27" max="27" width="7.5" style="59" customWidth="1"/>
    <col min="28" max="28" width="6.6640625" style="59" customWidth="1"/>
    <col min="29" max="29" width="7.5" style="59" customWidth="1"/>
    <col min="30" max="30" width="5.1640625" style="59" customWidth="1"/>
    <col min="31" max="31" width="4.83203125" style="59" customWidth="1"/>
    <col min="32" max="32" width="6.1640625" style="59" customWidth="1"/>
    <col min="33" max="33" width="7.6640625" style="59" customWidth="1"/>
    <col min="34" max="34" width="5.6640625" style="59" customWidth="1"/>
    <col min="35" max="35" width="5" style="59" customWidth="1"/>
    <col min="36" max="36" width="6.83203125" style="59" customWidth="1"/>
    <col min="37" max="37" width="6.33203125" style="59" customWidth="1"/>
    <col min="38" max="38" width="6.1640625" style="59" customWidth="1"/>
    <col min="39" max="39" width="6" style="59" customWidth="1"/>
    <col min="40" max="40" width="5.1640625" style="59" customWidth="1"/>
    <col min="41" max="16384" width="18.6640625" style="59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3">
        <v>0</v>
      </c>
      <c r="B2" s="3" t="s">
        <v>596</v>
      </c>
      <c r="C2" s="3" t="s">
        <v>234</v>
      </c>
      <c r="D2" s="105">
        <v>68</v>
      </c>
      <c r="E2" s="105">
        <v>611</v>
      </c>
      <c r="F2" s="106">
        <v>251</v>
      </c>
      <c r="G2" s="4">
        <v>32393</v>
      </c>
      <c r="H2" s="110">
        <f t="shared" ref="H2:H17" ca="1" si="0">ROUNDDOWN(YEARFRAC($G$22,G2),1)</f>
        <v>32.200000000000003</v>
      </c>
      <c r="I2" s="3" t="s">
        <v>534</v>
      </c>
      <c r="J2" s="3">
        <v>13</v>
      </c>
      <c r="K2" s="109">
        <v>2008</v>
      </c>
      <c r="L2" s="109">
        <v>5</v>
      </c>
      <c r="M2" s="3" t="s">
        <v>597</v>
      </c>
      <c r="N2" s="3" t="s">
        <v>1</v>
      </c>
      <c r="O2" s="3" t="s">
        <v>1999</v>
      </c>
      <c r="P2" s="11">
        <v>31258256</v>
      </c>
      <c r="Q2" s="11">
        <v>31258256</v>
      </c>
      <c r="R2" s="11">
        <v>28942830</v>
      </c>
      <c r="S2" s="14">
        <f>R2*1.5</f>
        <v>43414245</v>
      </c>
      <c r="T2" s="3"/>
      <c r="W2" s="100" t="s">
        <v>598</v>
      </c>
      <c r="X2" s="69">
        <v>4</v>
      </c>
      <c r="Y2" s="69">
        <v>56</v>
      </c>
      <c r="Z2" s="65">
        <f>16/56</f>
        <v>0.2857142857142857</v>
      </c>
      <c r="AA2" s="119">
        <v>107.4</v>
      </c>
      <c r="AB2" s="119">
        <v>115.4</v>
      </c>
      <c r="AC2" s="119">
        <f t="shared" ref="AC2:AC11" si="1">AA2-AB2</f>
        <v>-8</v>
      </c>
      <c r="AD2" s="119">
        <v>31.8</v>
      </c>
      <c r="AE2" s="119">
        <v>17.899999999999999</v>
      </c>
      <c r="AF2" s="65">
        <v>0.59899999999999998</v>
      </c>
      <c r="AG2" s="119">
        <v>23.1</v>
      </c>
      <c r="AH2" s="119">
        <v>2.5</v>
      </c>
      <c r="AI2" s="119">
        <v>1.2</v>
      </c>
      <c r="AJ2" s="65">
        <v>0.10199999999999999</v>
      </c>
      <c r="AK2" s="119">
        <v>2.6</v>
      </c>
      <c r="AL2" s="119">
        <v>-0.6</v>
      </c>
      <c r="AM2" s="119">
        <v>1.8</v>
      </c>
      <c r="AN2" s="119">
        <v>14</v>
      </c>
    </row>
    <row r="3" spans="1:41" x14ac:dyDescent="0.2">
      <c r="A3" s="3">
        <v>3</v>
      </c>
      <c r="B3" s="3" t="s">
        <v>27</v>
      </c>
      <c r="C3" s="3" t="s">
        <v>234</v>
      </c>
      <c r="D3" s="105">
        <v>610</v>
      </c>
      <c r="E3" s="105">
        <v>76</v>
      </c>
      <c r="F3" s="106">
        <v>279</v>
      </c>
      <c r="G3" s="4">
        <v>34191</v>
      </c>
      <c r="H3" s="110">
        <f t="shared" ca="1" si="0"/>
        <v>27.2</v>
      </c>
      <c r="I3" s="3" t="s">
        <v>344</v>
      </c>
      <c r="J3" s="3">
        <v>9</v>
      </c>
      <c r="K3" s="109">
        <v>2012</v>
      </c>
      <c r="L3" s="109">
        <v>9</v>
      </c>
      <c r="M3" s="3" t="s">
        <v>599</v>
      </c>
      <c r="N3" s="3" t="s">
        <v>600</v>
      </c>
      <c r="O3" s="3" t="s">
        <v>2201</v>
      </c>
      <c r="P3" s="16">
        <v>28751774</v>
      </c>
      <c r="Q3" s="14">
        <v>37500000</v>
      </c>
      <c r="R3" s="3"/>
      <c r="S3" s="3"/>
      <c r="T3" s="3"/>
      <c r="W3" s="100" t="s">
        <v>238</v>
      </c>
      <c r="X3" s="69">
        <v>5</v>
      </c>
      <c r="Y3" s="69">
        <v>8</v>
      </c>
      <c r="Z3" s="65">
        <f>4/8</f>
        <v>0.5</v>
      </c>
      <c r="AA3" s="119">
        <v>104.8</v>
      </c>
      <c r="AB3" s="119">
        <v>120</v>
      </c>
      <c r="AC3" s="119">
        <f t="shared" si="1"/>
        <v>-15.200000000000003</v>
      </c>
      <c r="AD3" s="119">
        <v>28.1</v>
      </c>
      <c r="AE3" s="119">
        <v>21.1</v>
      </c>
      <c r="AF3" s="65">
        <v>0.57299999999999995</v>
      </c>
      <c r="AG3" s="119">
        <v>28.7</v>
      </c>
      <c r="AH3" s="119">
        <v>-0.1</v>
      </c>
      <c r="AI3" s="119">
        <v>0.3</v>
      </c>
      <c r="AJ3" s="65">
        <v>5.3999999999999999E-2</v>
      </c>
      <c r="AK3" s="119">
        <v>-0.8</v>
      </c>
      <c r="AL3" s="119">
        <v>0.4</v>
      </c>
      <c r="AM3" s="119">
        <v>0.1</v>
      </c>
      <c r="AN3" s="119">
        <v>13.1</v>
      </c>
    </row>
    <row r="4" spans="1:41" x14ac:dyDescent="0.2">
      <c r="A4" s="3">
        <v>22</v>
      </c>
      <c r="B4" s="3" t="s">
        <v>602</v>
      </c>
      <c r="C4" s="3" t="s">
        <v>234</v>
      </c>
      <c r="D4" s="105">
        <v>67</v>
      </c>
      <c r="E4" s="105">
        <v>72</v>
      </c>
      <c r="F4" s="106">
        <v>245</v>
      </c>
      <c r="G4" s="4">
        <v>33970</v>
      </c>
      <c r="H4" s="110">
        <f t="shared" ca="1" si="0"/>
        <v>27.9</v>
      </c>
      <c r="I4" s="3" t="s">
        <v>603</v>
      </c>
      <c r="J4" s="3">
        <v>6</v>
      </c>
      <c r="K4" s="109">
        <v>2015</v>
      </c>
      <c r="L4" s="109">
        <v>27</v>
      </c>
      <c r="M4" s="3" t="s">
        <v>604</v>
      </c>
      <c r="N4" s="3" t="s">
        <v>1</v>
      </c>
      <c r="O4" s="3" t="s">
        <v>2000</v>
      </c>
      <c r="P4" s="11">
        <v>11709091</v>
      </c>
      <c r="Q4" s="11">
        <v>10690909</v>
      </c>
      <c r="R4" s="11">
        <v>9672727</v>
      </c>
      <c r="S4" s="14">
        <f>R4*1.9</f>
        <v>18378181.300000001</v>
      </c>
      <c r="T4" s="3"/>
      <c r="W4" s="122" t="s">
        <v>605</v>
      </c>
      <c r="X4" s="69">
        <v>5</v>
      </c>
      <c r="Y4" s="69">
        <v>56</v>
      </c>
      <c r="Z4" s="65">
        <f>16/56</f>
        <v>0.2857142857142857</v>
      </c>
      <c r="AA4" s="119">
        <v>105.6</v>
      </c>
      <c r="AB4" s="119">
        <v>110.7</v>
      </c>
      <c r="AC4" s="119">
        <f t="shared" si="1"/>
        <v>-5.1000000000000085</v>
      </c>
      <c r="AD4" s="119">
        <v>26.3</v>
      </c>
      <c r="AE4" s="119">
        <v>17.3</v>
      </c>
      <c r="AF4" s="65">
        <v>0.60799999999999998</v>
      </c>
      <c r="AG4" s="119">
        <v>15.2</v>
      </c>
      <c r="AH4" s="119">
        <v>2.8</v>
      </c>
      <c r="AI4" s="119">
        <v>1.1000000000000001</v>
      </c>
      <c r="AJ4" s="65">
        <v>0.128</v>
      </c>
      <c r="AK4" s="119">
        <v>1.4</v>
      </c>
      <c r="AL4" s="119">
        <v>0.3</v>
      </c>
      <c r="AM4" s="119">
        <v>1.4</v>
      </c>
      <c r="AN4" s="119">
        <v>12.5</v>
      </c>
    </row>
    <row r="5" spans="1:41" x14ac:dyDescent="0.2">
      <c r="A5" s="3">
        <v>1</v>
      </c>
      <c r="B5" s="3" t="s">
        <v>197</v>
      </c>
      <c r="C5" s="3" t="s">
        <v>252</v>
      </c>
      <c r="D5" s="105">
        <v>65</v>
      </c>
      <c r="E5" s="105">
        <v>69</v>
      </c>
      <c r="F5" s="106">
        <v>214</v>
      </c>
      <c r="G5" s="4">
        <v>34893</v>
      </c>
      <c r="H5" s="110">
        <f t="shared" ca="1" si="0"/>
        <v>25.3</v>
      </c>
      <c r="I5" s="3" t="s">
        <v>609</v>
      </c>
      <c r="J5" s="3">
        <v>7</v>
      </c>
      <c r="K5" s="109">
        <v>2014</v>
      </c>
      <c r="L5" s="109">
        <v>5</v>
      </c>
      <c r="M5" s="3" t="s">
        <v>610</v>
      </c>
      <c r="N5" s="3" t="s">
        <v>611</v>
      </c>
      <c r="O5" s="3" t="s">
        <v>2001</v>
      </c>
      <c r="P5" s="11">
        <v>9600000</v>
      </c>
      <c r="Q5" s="14">
        <f>P5*1.9</f>
        <v>18240000</v>
      </c>
      <c r="R5" s="3"/>
      <c r="S5" s="3"/>
      <c r="T5" s="3"/>
      <c r="V5" s="59" t="s">
        <v>612</v>
      </c>
      <c r="W5" s="122" t="s">
        <v>613</v>
      </c>
      <c r="X5" s="69">
        <v>2</v>
      </c>
      <c r="Y5" s="69">
        <v>24</v>
      </c>
      <c r="Z5" s="65">
        <f>5/24</f>
        <v>0.20833333333333334</v>
      </c>
      <c r="AA5" s="119">
        <v>100.6</v>
      </c>
      <c r="AB5" s="119">
        <v>110.2</v>
      </c>
      <c r="AC5" s="119">
        <f t="shared" si="1"/>
        <v>-9.6000000000000085</v>
      </c>
      <c r="AD5" s="119">
        <v>16.8</v>
      </c>
      <c r="AE5" s="119">
        <v>11.5</v>
      </c>
      <c r="AF5" s="65">
        <v>0.59199999999999997</v>
      </c>
      <c r="AG5" s="119">
        <v>14.4</v>
      </c>
      <c r="AH5" s="119">
        <v>0.4</v>
      </c>
      <c r="AI5" s="119">
        <v>0.2</v>
      </c>
      <c r="AJ5" s="65">
        <v>6.3E-2</v>
      </c>
      <c r="AK5" s="119">
        <v>-1.9</v>
      </c>
      <c r="AL5" s="119">
        <v>-0.4</v>
      </c>
      <c r="AM5" s="119">
        <v>0</v>
      </c>
      <c r="AN5" s="119">
        <v>7.9</v>
      </c>
    </row>
    <row r="6" spans="1:41" x14ac:dyDescent="0.2">
      <c r="A6" s="3">
        <v>16</v>
      </c>
      <c r="B6" s="3" t="s">
        <v>620</v>
      </c>
      <c r="C6" s="3" t="s">
        <v>241</v>
      </c>
      <c r="D6" s="105">
        <v>67</v>
      </c>
      <c r="E6" s="105">
        <v>610</v>
      </c>
      <c r="F6" s="106">
        <v>230</v>
      </c>
      <c r="G6" s="4">
        <v>34797</v>
      </c>
      <c r="H6" s="110">
        <f t="shared" ca="1" si="0"/>
        <v>25.6</v>
      </c>
      <c r="I6" s="3" t="s">
        <v>621</v>
      </c>
      <c r="J6" s="3">
        <v>4</v>
      </c>
      <c r="K6" s="109">
        <v>2015</v>
      </c>
      <c r="L6" s="109">
        <v>31</v>
      </c>
      <c r="M6" s="3" t="s">
        <v>622</v>
      </c>
      <c r="N6" s="3" t="s">
        <v>1</v>
      </c>
      <c r="O6" s="3" t="s">
        <v>1998</v>
      </c>
      <c r="P6" s="11">
        <v>8840580</v>
      </c>
      <c r="Q6" s="11">
        <v>8133334</v>
      </c>
      <c r="R6" s="11">
        <v>7426088</v>
      </c>
      <c r="S6" s="15">
        <v>6718842</v>
      </c>
      <c r="T6" s="14">
        <f>S6*1.9</f>
        <v>12765799.799999999</v>
      </c>
      <c r="W6" s="122" t="s">
        <v>623</v>
      </c>
      <c r="X6" s="69">
        <v>3</v>
      </c>
      <c r="Y6" s="69">
        <v>65</v>
      </c>
      <c r="Z6" s="65">
        <f>19/65</f>
        <v>0.29230769230769232</v>
      </c>
      <c r="AA6" s="119">
        <v>106.3</v>
      </c>
      <c r="AB6" s="119">
        <v>115.2</v>
      </c>
      <c r="AC6" s="119">
        <f t="shared" si="1"/>
        <v>-8.9000000000000057</v>
      </c>
      <c r="AD6" s="119">
        <v>29.4</v>
      </c>
      <c r="AE6" s="119">
        <v>10.7</v>
      </c>
      <c r="AF6" s="65">
        <v>0.55200000000000005</v>
      </c>
      <c r="AG6" s="119">
        <v>16.600000000000001</v>
      </c>
      <c r="AH6" s="119">
        <v>1.1000000000000001</v>
      </c>
      <c r="AI6" s="119">
        <v>0.5</v>
      </c>
      <c r="AJ6" s="65">
        <v>0.04</v>
      </c>
      <c r="AK6" s="119">
        <v>-1.6</v>
      </c>
      <c r="AL6" s="119">
        <v>-0.9</v>
      </c>
      <c r="AM6" s="119">
        <v>-0.3</v>
      </c>
      <c r="AN6" s="119">
        <v>6.5</v>
      </c>
    </row>
    <row r="7" spans="1:41" x14ac:dyDescent="0.2">
      <c r="A7" s="3">
        <v>10</v>
      </c>
      <c r="B7" s="3" t="s">
        <v>614</v>
      </c>
      <c r="C7" s="3" t="s">
        <v>230</v>
      </c>
      <c r="D7" s="105">
        <v>61</v>
      </c>
      <c r="E7" s="105">
        <v>65</v>
      </c>
      <c r="F7" s="106">
        <v>192</v>
      </c>
      <c r="G7" s="4">
        <v>36551</v>
      </c>
      <c r="H7" s="110">
        <f t="shared" ca="1" si="0"/>
        <v>20.8</v>
      </c>
      <c r="I7" s="3" t="s">
        <v>566</v>
      </c>
      <c r="J7" s="3">
        <v>2</v>
      </c>
      <c r="K7" s="109">
        <v>2019</v>
      </c>
      <c r="L7" s="109">
        <v>5</v>
      </c>
      <c r="M7" s="3" t="s">
        <v>615</v>
      </c>
      <c r="N7" s="3" t="s">
        <v>244</v>
      </c>
      <c r="O7" s="3" t="s">
        <v>2002</v>
      </c>
      <c r="P7" s="11">
        <v>6720720</v>
      </c>
      <c r="Q7" s="50">
        <v>7040880</v>
      </c>
      <c r="R7" s="50">
        <v>8920795</v>
      </c>
      <c r="S7" s="49">
        <f>R7*3</f>
        <v>26762385</v>
      </c>
      <c r="T7" s="3"/>
      <c r="W7" s="100" t="s">
        <v>284</v>
      </c>
      <c r="X7" s="69">
        <v>1</v>
      </c>
      <c r="Y7" s="69">
        <v>59</v>
      </c>
      <c r="Z7" s="65">
        <f>17/59</f>
        <v>0.28813559322033899</v>
      </c>
      <c r="AA7" s="119">
        <v>105.2</v>
      </c>
      <c r="AB7" s="119">
        <v>113.8</v>
      </c>
      <c r="AC7" s="119">
        <f t="shared" si="1"/>
        <v>-8.5999999999999943</v>
      </c>
      <c r="AD7" s="119">
        <v>30.9</v>
      </c>
      <c r="AE7" s="119">
        <v>8.5</v>
      </c>
      <c r="AF7" s="65">
        <v>0.498</v>
      </c>
      <c r="AG7" s="119">
        <v>20.7</v>
      </c>
      <c r="AH7" s="119">
        <v>-1.3</v>
      </c>
      <c r="AI7" s="119">
        <v>0</v>
      </c>
      <c r="AJ7" s="65">
        <v>-3.5000000000000003E-2</v>
      </c>
      <c r="AK7" s="119">
        <v>-2.7</v>
      </c>
      <c r="AL7" s="119">
        <v>-2.9</v>
      </c>
      <c r="AM7" s="119">
        <v>-1.7</v>
      </c>
      <c r="AN7" s="119">
        <v>5.7</v>
      </c>
    </row>
    <row r="8" spans="1:41" x14ac:dyDescent="0.2">
      <c r="A8" s="6">
        <v>35</v>
      </c>
      <c r="B8" s="3" t="s">
        <v>2251</v>
      </c>
      <c r="C8" s="3" t="s">
        <v>252</v>
      </c>
      <c r="D8" s="105">
        <v>66</v>
      </c>
      <c r="E8" s="105">
        <v>69</v>
      </c>
      <c r="F8" s="106">
        <v>225</v>
      </c>
      <c r="G8" s="4">
        <v>36917</v>
      </c>
      <c r="H8" s="110">
        <f t="shared" ca="1" si="0"/>
        <v>19.8</v>
      </c>
      <c r="I8" s="3" t="s">
        <v>227</v>
      </c>
      <c r="J8" s="3">
        <v>1</v>
      </c>
      <c r="K8" s="54">
        <v>2020</v>
      </c>
      <c r="L8" s="109">
        <v>5</v>
      </c>
      <c r="M8" s="16" t="s">
        <v>2252</v>
      </c>
      <c r="N8" s="16" t="s">
        <v>244</v>
      </c>
      <c r="O8" s="16" t="s">
        <v>2253</v>
      </c>
      <c r="P8" s="11">
        <v>6400920</v>
      </c>
      <c r="Q8" s="11">
        <v>6720720</v>
      </c>
      <c r="R8" s="50">
        <v>7040880</v>
      </c>
      <c r="S8" s="50">
        <f>R8*1.267</f>
        <v>8920794.959999999</v>
      </c>
      <c r="T8" s="49">
        <f>S8*3</f>
        <v>26762384.879999995</v>
      </c>
      <c r="W8" s="122"/>
      <c r="X8" s="69"/>
      <c r="Y8" s="69"/>
      <c r="Z8" s="65"/>
      <c r="AA8" s="119"/>
      <c r="AB8" s="119"/>
      <c r="AC8" s="119"/>
      <c r="AD8" s="119"/>
      <c r="AE8" s="119"/>
      <c r="AF8" s="65"/>
      <c r="AG8" s="119"/>
      <c r="AH8" s="119"/>
      <c r="AI8" s="119"/>
      <c r="AJ8" s="65"/>
      <c r="AK8" s="119"/>
      <c r="AL8" s="119"/>
      <c r="AM8" s="119"/>
      <c r="AN8" s="119"/>
    </row>
    <row r="9" spans="1:41" x14ac:dyDescent="0.2">
      <c r="A9" s="3">
        <v>2</v>
      </c>
      <c r="B9" s="3" t="s">
        <v>616</v>
      </c>
      <c r="C9" s="3" t="s">
        <v>247</v>
      </c>
      <c r="D9" s="105">
        <v>61</v>
      </c>
      <c r="E9" s="105">
        <v>67</v>
      </c>
      <c r="F9" s="106">
        <v>190</v>
      </c>
      <c r="G9" s="4">
        <v>36164</v>
      </c>
      <c r="H9" s="110">
        <f t="shared" ca="1" si="0"/>
        <v>21.8</v>
      </c>
      <c r="I9" s="3" t="s">
        <v>617</v>
      </c>
      <c r="J9" s="3">
        <v>3</v>
      </c>
      <c r="K9" s="109">
        <v>2018</v>
      </c>
      <c r="L9" s="109">
        <v>8</v>
      </c>
      <c r="M9" s="3" t="s">
        <v>618</v>
      </c>
      <c r="N9" s="3" t="s">
        <v>244</v>
      </c>
      <c r="O9" s="3" t="s">
        <v>2003</v>
      </c>
      <c r="P9" s="11">
        <v>4991880</v>
      </c>
      <c r="Q9" s="50">
        <v>6349671</v>
      </c>
      <c r="R9" s="49">
        <f>Q9*3</f>
        <v>19049013</v>
      </c>
      <c r="S9" s="3"/>
      <c r="T9" s="3"/>
      <c r="W9" s="122" t="s">
        <v>619</v>
      </c>
      <c r="X9" s="69">
        <v>2</v>
      </c>
      <c r="Y9" s="69">
        <v>65</v>
      </c>
      <c r="Z9" s="65">
        <f>19/65</f>
        <v>0.29230769230769232</v>
      </c>
      <c r="AA9" s="119">
        <v>107.8</v>
      </c>
      <c r="AB9" s="119">
        <v>117</v>
      </c>
      <c r="AC9" s="119">
        <f t="shared" si="1"/>
        <v>-9.2000000000000028</v>
      </c>
      <c r="AD9" s="119">
        <v>33</v>
      </c>
      <c r="AE9" s="119">
        <v>16.3</v>
      </c>
      <c r="AF9" s="65">
        <v>0.56000000000000005</v>
      </c>
      <c r="AG9" s="119">
        <v>27.2</v>
      </c>
      <c r="AH9" s="119">
        <v>2.2000000000000002</v>
      </c>
      <c r="AI9" s="119">
        <v>0.3</v>
      </c>
      <c r="AJ9" s="65">
        <v>5.7000000000000002E-2</v>
      </c>
      <c r="AK9" s="119">
        <v>0.3</v>
      </c>
      <c r="AL9" s="119">
        <v>-2.1</v>
      </c>
      <c r="AM9" s="119">
        <v>0.1</v>
      </c>
      <c r="AN9" s="119">
        <v>9.5</v>
      </c>
    </row>
    <row r="10" spans="1:41" x14ac:dyDescent="0.2">
      <c r="A10" s="3"/>
      <c r="B10" s="3" t="s">
        <v>1067</v>
      </c>
      <c r="C10" s="3" t="s">
        <v>234</v>
      </c>
      <c r="D10" s="105">
        <v>70</v>
      </c>
      <c r="E10" s="105">
        <v>76</v>
      </c>
      <c r="F10" s="106">
        <v>270</v>
      </c>
      <c r="G10" s="4">
        <v>32161</v>
      </c>
      <c r="H10" s="110">
        <f t="shared" ca="1" si="0"/>
        <v>32.799999999999997</v>
      </c>
      <c r="I10" s="3" t="s">
        <v>502</v>
      </c>
      <c r="J10" s="3">
        <v>13</v>
      </c>
      <c r="K10" s="109">
        <v>2008</v>
      </c>
      <c r="L10" s="109">
        <v>18</v>
      </c>
      <c r="M10" s="3" t="s">
        <v>2658</v>
      </c>
      <c r="N10" s="3" t="s">
        <v>813</v>
      </c>
      <c r="O10" s="3" t="s">
        <v>2105</v>
      </c>
      <c r="P10" s="16">
        <v>4200000</v>
      </c>
      <c r="Q10" s="14">
        <f>P10*1.9</f>
        <v>7980000</v>
      </c>
      <c r="R10" s="12"/>
      <c r="S10" s="12"/>
      <c r="T10" s="12"/>
      <c r="U10"/>
      <c r="V10"/>
      <c r="W10" s="132" t="s">
        <v>238</v>
      </c>
      <c r="X10" s="69">
        <v>5</v>
      </c>
      <c r="Y10" s="69">
        <v>61</v>
      </c>
      <c r="Z10" s="65">
        <f>48/61</f>
        <v>0.78688524590163933</v>
      </c>
      <c r="AA10" s="119">
        <v>113.6</v>
      </c>
      <c r="AB10" s="119">
        <v>104.7</v>
      </c>
      <c r="AC10" s="119">
        <f t="shared" si="1"/>
        <v>8.8999999999999915</v>
      </c>
      <c r="AD10" s="119">
        <v>16.8</v>
      </c>
      <c r="AE10" s="119">
        <v>20</v>
      </c>
      <c r="AF10" s="65">
        <v>0.65500000000000003</v>
      </c>
      <c r="AG10" s="119">
        <v>15</v>
      </c>
      <c r="AH10" s="119">
        <v>2.2000000000000002</v>
      </c>
      <c r="AI10" s="119">
        <v>2.2999999999999998</v>
      </c>
      <c r="AJ10" s="65">
        <v>0.21099999999999999</v>
      </c>
      <c r="AK10" s="119">
        <v>-0.3</v>
      </c>
      <c r="AL10" s="119">
        <v>2.2999999999999998</v>
      </c>
      <c r="AM10" s="119">
        <v>1.1000000000000001</v>
      </c>
      <c r="AN10" s="119">
        <v>11.6</v>
      </c>
      <c r="AO10"/>
    </row>
    <row r="11" spans="1:41" x14ac:dyDescent="0.2">
      <c r="A11" s="3">
        <v>9</v>
      </c>
      <c r="B11" s="3" t="s">
        <v>626</v>
      </c>
      <c r="C11" s="3" t="s">
        <v>252</v>
      </c>
      <c r="D11" s="105">
        <v>66</v>
      </c>
      <c r="E11" s="105">
        <v>610</v>
      </c>
      <c r="F11" s="106">
        <v>196</v>
      </c>
      <c r="G11" s="4">
        <v>35330</v>
      </c>
      <c r="H11" s="110">
        <f t="shared" ca="1" si="0"/>
        <v>24.1</v>
      </c>
      <c r="I11" s="3" t="s">
        <v>627</v>
      </c>
      <c r="J11" s="3">
        <v>2</v>
      </c>
      <c r="K11" s="109">
        <v>2019</v>
      </c>
      <c r="L11" s="109">
        <v>26</v>
      </c>
      <c r="M11" s="3" t="s">
        <v>628</v>
      </c>
      <c r="N11" s="3" t="s">
        <v>244</v>
      </c>
      <c r="O11" s="11" t="s">
        <v>1896</v>
      </c>
      <c r="P11" s="11">
        <v>2137440</v>
      </c>
      <c r="Q11" s="50">
        <v>2239200</v>
      </c>
      <c r="R11" s="50">
        <v>4037278</v>
      </c>
      <c r="S11" s="49">
        <v>12111834</v>
      </c>
      <c r="T11" s="3"/>
      <c r="W11" s="122" t="s">
        <v>629</v>
      </c>
      <c r="X11" s="69">
        <v>3</v>
      </c>
      <c r="Y11" s="69">
        <v>40</v>
      </c>
      <c r="Z11" s="65">
        <f>11/40</f>
        <v>0.27500000000000002</v>
      </c>
      <c r="AA11" s="119">
        <v>105.6</v>
      </c>
      <c r="AB11" s="119">
        <v>113</v>
      </c>
      <c r="AC11" s="119">
        <f t="shared" si="1"/>
        <v>-7.4000000000000057</v>
      </c>
      <c r="AD11" s="119">
        <v>14.8</v>
      </c>
      <c r="AE11" s="119">
        <v>8.6999999999999993</v>
      </c>
      <c r="AF11" s="65">
        <v>0.49299999999999999</v>
      </c>
      <c r="AG11" s="119">
        <v>15.2</v>
      </c>
      <c r="AH11" s="119">
        <v>-0.2</v>
      </c>
      <c r="AI11" s="119">
        <v>0.3</v>
      </c>
      <c r="AJ11" s="65">
        <v>1.4E-2</v>
      </c>
      <c r="AK11" s="119">
        <v>-4.4000000000000004</v>
      </c>
      <c r="AL11" s="119">
        <v>-0.9</v>
      </c>
      <c r="AM11" s="119">
        <v>-0.5</v>
      </c>
      <c r="AN11" s="119">
        <v>4.7</v>
      </c>
    </row>
    <row r="12" spans="1:41" x14ac:dyDescent="0.2">
      <c r="A12" s="3">
        <v>4</v>
      </c>
      <c r="B12" s="3" t="s">
        <v>633</v>
      </c>
      <c r="C12" s="3" t="s">
        <v>252</v>
      </c>
      <c r="D12" s="105">
        <v>64</v>
      </c>
      <c r="E12" s="105">
        <v>69</v>
      </c>
      <c r="F12" s="106">
        <v>203</v>
      </c>
      <c r="G12" s="4">
        <v>36650</v>
      </c>
      <c r="H12" s="110">
        <f t="shared" ca="1" si="0"/>
        <v>20.5</v>
      </c>
      <c r="I12" s="3" t="s">
        <v>224</v>
      </c>
      <c r="J12" s="3">
        <v>2</v>
      </c>
      <c r="K12" s="109">
        <v>2019</v>
      </c>
      <c r="L12" s="109">
        <v>30</v>
      </c>
      <c r="M12" s="3" t="s">
        <v>634</v>
      </c>
      <c r="N12" s="3" t="s">
        <v>244</v>
      </c>
      <c r="O12" s="3" t="s">
        <v>2004</v>
      </c>
      <c r="P12" s="11">
        <v>1717981</v>
      </c>
      <c r="Q12" s="50">
        <v>1782621</v>
      </c>
      <c r="R12" s="50">
        <v>3217631</v>
      </c>
      <c r="S12" s="49">
        <f>R12*3</f>
        <v>9652893</v>
      </c>
      <c r="T12" s="3"/>
      <c r="W12" s="122" t="s">
        <v>635</v>
      </c>
      <c r="X12" s="69">
        <v>4</v>
      </c>
      <c r="Y12" s="69">
        <v>12</v>
      </c>
      <c r="Z12" s="65">
        <f>1/12</f>
        <v>8.3333333333333329E-2</v>
      </c>
      <c r="AA12" s="119">
        <v>107</v>
      </c>
      <c r="AB12" s="119">
        <v>113.5</v>
      </c>
      <c r="AC12" s="119">
        <f t="shared" ref="AC12:AC15" si="2">AA12-AB12</f>
        <v>-6.5</v>
      </c>
      <c r="AD12" s="119">
        <v>6</v>
      </c>
      <c r="AE12" s="119">
        <v>13.9</v>
      </c>
      <c r="AF12" s="65">
        <v>0.74399999999999999</v>
      </c>
      <c r="AG12" s="119">
        <v>9.9</v>
      </c>
      <c r="AH12" s="119">
        <v>0.1</v>
      </c>
      <c r="AI12" s="119">
        <v>0.1</v>
      </c>
      <c r="AJ12" s="65">
        <v>0.104</v>
      </c>
      <c r="AK12" s="119">
        <v>-1.7</v>
      </c>
      <c r="AL12" s="119">
        <v>0.5</v>
      </c>
      <c r="AM12" s="119">
        <v>0</v>
      </c>
      <c r="AN12" s="119">
        <v>8.9</v>
      </c>
    </row>
    <row r="13" spans="1:41" x14ac:dyDescent="0.2">
      <c r="A13" s="3"/>
      <c r="B13" s="3" t="s">
        <v>124</v>
      </c>
      <c r="C13" s="3" t="s">
        <v>252</v>
      </c>
      <c r="D13" s="105">
        <v>65</v>
      </c>
      <c r="E13" s="105">
        <v>69</v>
      </c>
      <c r="F13" s="106">
        <v>210</v>
      </c>
      <c r="G13" s="4">
        <v>34460</v>
      </c>
      <c r="H13" s="110">
        <f t="shared" ca="1" si="0"/>
        <v>26.5</v>
      </c>
      <c r="I13" s="3" t="s">
        <v>1360</v>
      </c>
      <c r="J13" s="3">
        <v>4</v>
      </c>
      <c r="K13" s="3">
        <v>2017</v>
      </c>
      <c r="L13" s="59">
        <v>44</v>
      </c>
      <c r="M13" s="3" t="s">
        <v>2687</v>
      </c>
      <c r="N13" s="3" t="s">
        <v>276</v>
      </c>
      <c r="O13" s="11" t="s">
        <v>2615</v>
      </c>
      <c r="P13" s="60">
        <v>1678854</v>
      </c>
      <c r="Q13" s="60">
        <v>1762796</v>
      </c>
      <c r="R13" s="14"/>
      <c r="S13" s="3"/>
      <c r="T13"/>
      <c r="U13"/>
      <c r="V13"/>
      <c r="W13" t="s">
        <v>1361</v>
      </c>
      <c r="X13" s="69">
        <v>2</v>
      </c>
      <c r="Y13" s="69">
        <v>48</v>
      </c>
      <c r="Z13" s="65">
        <f>14/48</f>
        <v>0.29166666666666669</v>
      </c>
      <c r="AA13" s="119">
        <v>102.5</v>
      </c>
      <c r="AB13" s="119">
        <v>107.8</v>
      </c>
      <c r="AC13" s="119">
        <f t="shared" si="2"/>
        <v>-5.2999999999999972</v>
      </c>
      <c r="AD13" s="119">
        <v>17.399999999999999</v>
      </c>
      <c r="AE13" s="119">
        <v>10.9</v>
      </c>
      <c r="AF13" s="65">
        <v>0.52700000000000002</v>
      </c>
      <c r="AG13" s="119">
        <v>16.5</v>
      </c>
      <c r="AH13" s="119">
        <v>0.6</v>
      </c>
      <c r="AI13" s="119">
        <v>0.3</v>
      </c>
      <c r="AJ13" s="65">
        <v>5.2999999999999999E-2</v>
      </c>
      <c r="AK13" s="119">
        <v>-0.9</v>
      </c>
      <c r="AL13" s="119">
        <v>-0.5</v>
      </c>
      <c r="AM13" s="119">
        <v>0.1</v>
      </c>
      <c r="AN13" s="119">
        <v>7.9</v>
      </c>
      <c r="AO13"/>
    </row>
    <row r="14" spans="1:41" x14ac:dyDescent="0.2">
      <c r="A14" s="3">
        <v>18</v>
      </c>
      <c r="B14" s="3" t="s">
        <v>29</v>
      </c>
      <c r="C14" s="3" t="s">
        <v>230</v>
      </c>
      <c r="D14" s="105">
        <v>63</v>
      </c>
      <c r="E14" s="105">
        <v>64</v>
      </c>
      <c r="F14" s="106">
        <v>200</v>
      </c>
      <c r="G14" s="4">
        <v>33124</v>
      </c>
      <c r="H14" s="110">
        <f t="shared" ca="1" si="0"/>
        <v>30.2</v>
      </c>
      <c r="I14" s="3" t="s">
        <v>606</v>
      </c>
      <c r="J14" s="3">
        <v>8</v>
      </c>
      <c r="K14" s="109">
        <v>2013</v>
      </c>
      <c r="L14" s="109"/>
      <c r="M14" s="3" t="s">
        <v>607</v>
      </c>
      <c r="N14" s="3" t="s">
        <v>276</v>
      </c>
      <c r="O14" s="3" t="s">
        <v>2438</v>
      </c>
      <c r="P14" s="60">
        <v>1620564</v>
      </c>
      <c r="Q14" s="234"/>
      <c r="R14" s="3"/>
      <c r="S14" s="3"/>
      <c r="T14" s="3"/>
      <c r="W14" s="122" t="s">
        <v>608</v>
      </c>
      <c r="X14" s="69">
        <v>1</v>
      </c>
      <c r="Y14" s="69">
        <v>57</v>
      </c>
      <c r="Z14" s="65">
        <f>17/57</f>
        <v>0.2982456140350877</v>
      </c>
      <c r="AA14" s="119">
        <v>103.7</v>
      </c>
      <c r="AB14" s="119">
        <v>105</v>
      </c>
      <c r="AC14" s="119">
        <f t="shared" si="2"/>
        <v>-1.2999999999999972</v>
      </c>
      <c r="AD14" s="119">
        <v>14.4</v>
      </c>
      <c r="AE14" s="119">
        <v>8.1</v>
      </c>
      <c r="AF14" s="65">
        <v>0.46300000000000002</v>
      </c>
      <c r="AG14" s="119">
        <v>13</v>
      </c>
      <c r="AH14" s="119">
        <v>0.1</v>
      </c>
      <c r="AI14" s="119">
        <v>0.1</v>
      </c>
      <c r="AJ14" s="65">
        <v>0.01</v>
      </c>
      <c r="AK14" s="119">
        <v>-3.6</v>
      </c>
      <c r="AL14" s="119">
        <v>-1.6</v>
      </c>
      <c r="AM14" s="119">
        <v>-0.7</v>
      </c>
      <c r="AN14" s="119">
        <v>5.9</v>
      </c>
    </row>
    <row r="15" spans="1:41" x14ac:dyDescent="0.2">
      <c r="A15" s="3">
        <v>32</v>
      </c>
      <c r="B15" s="3" t="s">
        <v>636</v>
      </c>
      <c r="C15" s="3" t="s">
        <v>234</v>
      </c>
      <c r="D15" s="105">
        <v>69</v>
      </c>
      <c r="E15" s="105">
        <v>610</v>
      </c>
      <c r="F15" s="106">
        <v>228</v>
      </c>
      <c r="G15" s="4">
        <v>35389</v>
      </c>
      <c r="H15" s="110">
        <f t="shared" ca="1" si="0"/>
        <v>24</v>
      </c>
      <c r="I15" s="3" t="s">
        <v>637</v>
      </c>
      <c r="J15" s="3">
        <v>2</v>
      </c>
      <c r="K15" s="109">
        <v>2019</v>
      </c>
      <c r="L15" s="109"/>
      <c r="M15" s="3" t="s">
        <v>638</v>
      </c>
      <c r="N15" s="3" t="s">
        <v>495</v>
      </c>
      <c r="O15" s="3" t="s">
        <v>2645</v>
      </c>
      <c r="P15" s="15">
        <v>1517981</v>
      </c>
      <c r="Q15" s="56">
        <v>1782621</v>
      </c>
      <c r="R15" s="58">
        <v>1930681</v>
      </c>
      <c r="S15" s="51">
        <v>2046307</v>
      </c>
      <c r="T15" s="22"/>
      <c r="U15" s="151"/>
      <c r="W15" s="122" t="s">
        <v>639</v>
      </c>
      <c r="X15" s="69">
        <v>2</v>
      </c>
      <c r="Y15" s="69">
        <v>4</v>
      </c>
      <c r="Z15" s="65">
        <f>0/4</f>
        <v>0</v>
      </c>
      <c r="AA15" s="119">
        <v>92.5</v>
      </c>
      <c r="AB15" s="119">
        <v>75</v>
      </c>
      <c r="AC15" s="119">
        <f t="shared" si="2"/>
        <v>17.5</v>
      </c>
      <c r="AD15" s="119">
        <v>4.7</v>
      </c>
      <c r="AE15" s="119">
        <v>8.1</v>
      </c>
      <c r="AF15" s="65">
        <v>0.25</v>
      </c>
      <c r="AG15" s="119">
        <v>9</v>
      </c>
      <c r="AH15" s="119">
        <v>0</v>
      </c>
      <c r="AI15" s="119">
        <v>0</v>
      </c>
      <c r="AJ15" s="65">
        <v>6.0000000000000001E-3</v>
      </c>
      <c r="AK15" s="119">
        <v>-5.3</v>
      </c>
      <c r="AL15" s="119">
        <v>5</v>
      </c>
      <c r="AM15" s="119">
        <v>0</v>
      </c>
      <c r="AN15" s="119">
        <v>7.5</v>
      </c>
    </row>
    <row r="16" spans="1:41" x14ac:dyDescent="0.2">
      <c r="A16" s="3"/>
      <c r="B16" s="3" t="s">
        <v>2391</v>
      </c>
      <c r="C16" s="3" t="s">
        <v>241</v>
      </c>
      <c r="D16" s="105">
        <v>68</v>
      </c>
      <c r="E16" s="105">
        <v>67</v>
      </c>
      <c r="F16" s="106">
        <v>225</v>
      </c>
      <c r="G16" s="4">
        <v>35620</v>
      </c>
      <c r="H16" s="110">
        <f t="shared" ca="1" si="0"/>
        <v>23.3</v>
      </c>
      <c r="I16" s="3" t="s">
        <v>709</v>
      </c>
      <c r="J16" s="3">
        <v>1</v>
      </c>
      <c r="K16" s="109">
        <v>2020</v>
      </c>
      <c r="L16" s="109"/>
      <c r="M16" s="3" t="s">
        <v>2436</v>
      </c>
      <c r="N16" s="3" t="s">
        <v>288</v>
      </c>
      <c r="O16" s="3" t="s">
        <v>2516</v>
      </c>
      <c r="P16" s="16" t="s">
        <v>288</v>
      </c>
      <c r="Q16" s="68"/>
      <c r="R16" s="57"/>
      <c r="S16" s="57"/>
      <c r="T16" s="57"/>
      <c r="U16" s="230"/>
      <c r="W16" s="122"/>
      <c r="X16" s="69"/>
      <c r="Y16" s="69"/>
      <c r="Z16" s="65"/>
      <c r="AA16" s="119"/>
      <c r="AB16" s="119"/>
      <c r="AC16" s="119"/>
      <c r="AD16" s="119"/>
      <c r="AE16" s="119"/>
      <c r="AF16" s="65"/>
      <c r="AG16" s="119"/>
      <c r="AH16" s="119"/>
      <c r="AI16" s="119"/>
      <c r="AJ16" s="65"/>
      <c r="AK16" s="119"/>
      <c r="AL16" s="119"/>
      <c r="AM16" s="119"/>
      <c r="AN16" s="119"/>
    </row>
    <row r="17" spans="1:40" x14ac:dyDescent="0.2">
      <c r="A17" s="3">
        <v>31</v>
      </c>
      <c r="B17" s="3" t="s">
        <v>640</v>
      </c>
      <c r="C17" s="3" t="s">
        <v>252</v>
      </c>
      <c r="D17" s="105">
        <v>62</v>
      </c>
      <c r="E17" s="105">
        <v>68</v>
      </c>
      <c r="F17" s="106">
        <v>199</v>
      </c>
      <c r="G17" s="4">
        <v>34737</v>
      </c>
      <c r="H17" s="110">
        <f t="shared" ca="1" si="0"/>
        <v>25.8</v>
      </c>
      <c r="I17" s="3" t="s">
        <v>641</v>
      </c>
      <c r="J17" s="3">
        <v>2</v>
      </c>
      <c r="K17" s="109">
        <v>2019</v>
      </c>
      <c r="L17" s="109"/>
      <c r="M17" s="3" t="s">
        <v>452</v>
      </c>
      <c r="N17" s="3" t="s">
        <v>288</v>
      </c>
      <c r="O17" s="3" t="s">
        <v>2552</v>
      </c>
      <c r="P17" s="54" t="s">
        <v>288</v>
      </c>
      <c r="Q17" s="34"/>
      <c r="R17" s="3"/>
      <c r="S17" s="3"/>
      <c r="T17" s="3"/>
      <c r="W17" s="122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 t="s">
        <v>290</v>
      </c>
      <c r="C18" s="3"/>
      <c r="D18" s="105"/>
      <c r="E18" s="105"/>
      <c r="F18" s="106"/>
      <c r="G18" s="3"/>
      <c r="H18" s="110"/>
      <c r="I18" s="3"/>
      <c r="J18" s="3"/>
      <c r="K18" s="57"/>
      <c r="L18" s="109"/>
      <c r="M18" s="16"/>
      <c r="N18" s="16"/>
      <c r="O18" s="16"/>
      <c r="P18" s="11">
        <v>1456667</v>
      </c>
      <c r="Q18" s="11">
        <v>1456666</v>
      </c>
      <c r="R18" s="11"/>
      <c r="S18" s="11"/>
      <c r="T18" s="3"/>
      <c r="W18" s="122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/>
      <c r="B19" s="3"/>
      <c r="C19" s="3"/>
      <c r="D19" s="3"/>
      <c r="E19" s="3"/>
      <c r="F19" s="3"/>
      <c r="G19" s="3"/>
      <c r="H19" s="167"/>
      <c r="I19" s="3"/>
      <c r="J19" s="3"/>
      <c r="K19" s="54"/>
      <c r="L19" s="16"/>
      <c r="M19" s="16"/>
      <c r="N19" s="16"/>
      <c r="O19" s="16"/>
      <c r="P19" s="11"/>
      <c r="Q19" s="11"/>
      <c r="R19" s="16"/>
      <c r="S19" s="16"/>
      <c r="T19" s="16"/>
      <c r="W19" s="122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A20" s="3">
        <v>41</v>
      </c>
      <c r="B20" s="3" t="s">
        <v>30</v>
      </c>
      <c r="C20" s="3" t="s">
        <v>234</v>
      </c>
      <c r="D20" s="105">
        <v>610</v>
      </c>
      <c r="E20" s="105">
        <v>73</v>
      </c>
      <c r="F20" s="106">
        <v>266</v>
      </c>
      <c r="G20" s="4">
        <v>35434</v>
      </c>
      <c r="H20" s="110">
        <f ca="1">ROUNDDOWN(YEARFRAC($G$22,G20),1)</f>
        <v>23.8</v>
      </c>
      <c r="I20" s="3" t="s">
        <v>624</v>
      </c>
      <c r="J20" s="3">
        <v>4</v>
      </c>
      <c r="K20" s="109">
        <v>2016</v>
      </c>
      <c r="L20" s="109">
        <v>23</v>
      </c>
      <c r="M20" s="3" t="s">
        <v>625</v>
      </c>
      <c r="N20" s="3"/>
      <c r="O20" s="11"/>
      <c r="P20" s="14">
        <v>3872215</v>
      </c>
      <c r="Q20" s="3"/>
      <c r="R20" s="3"/>
      <c r="S20" s="3"/>
      <c r="T20" s="3"/>
      <c r="W20" s="100" t="s">
        <v>238</v>
      </c>
      <c r="X20" s="69">
        <v>5</v>
      </c>
      <c r="Y20" s="69">
        <v>22</v>
      </c>
      <c r="Z20" s="65">
        <f>4/22</f>
        <v>0.18181818181818182</v>
      </c>
      <c r="AA20" s="119">
        <v>114.2</v>
      </c>
      <c r="AB20" s="119">
        <v>112.9</v>
      </c>
      <c r="AC20" s="119">
        <f t="shared" ref="AC20" si="3">AA20-AB20</f>
        <v>1.2999999999999972</v>
      </c>
      <c r="AD20" s="119">
        <v>10</v>
      </c>
      <c r="AE20" s="119">
        <v>16.399999999999999</v>
      </c>
      <c r="AF20" s="65">
        <v>0.59699999999999998</v>
      </c>
      <c r="AG20" s="119">
        <v>17.5</v>
      </c>
      <c r="AH20" s="119">
        <v>0.3</v>
      </c>
      <c r="AI20" s="119">
        <v>0.2</v>
      </c>
      <c r="AJ20" s="65">
        <v>0.106</v>
      </c>
      <c r="AK20" s="119">
        <v>-1.7</v>
      </c>
      <c r="AL20" s="119">
        <v>-1.5</v>
      </c>
      <c r="AM20" s="119">
        <v>-0.1</v>
      </c>
      <c r="AN20" s="119">
        <v>10.1</v>
      </c>
    </row>
    <row r="21" spans="1:40" x14ac:dyDescent="0.2">
      <c r="A21" s="3"/>
      <c r="B21" s="3"/>
      <c r="C21" s="3"/>
      <c r="D21" s="3"/>
      <c r="E21" s="3"/>
      <c r="F21" s="3"/>
      <c r="G21" s="3"/>
      <c r="H21" s="167"/>
      <c r="I21" s="3"/>
      <c r="J21" s="3"/>
      <c r="K21" s="54"/>
      <c r="L21" s="16"/>
      <c r="M21" s="16"/>
      <c r="N21" s="16"/>
      <c r="O21" s="16"/>
      <c r="P21" s="11"/>
      <c r="Q21" s="11"/>
      <c r="R21" s="16"/>
      <c r="S21" s="16"/>
      <c r="T21" s="16"/>
      <c r="W21" s="122"/>
      <c r="X21" s="69"/>
      <c r="Y21" s="69"/>
      <c r="Z21" s="65"/>
      <c r="AA21" s="119"/>
      <c r="AB21" s="119"/>
      <c r="AC21" s="119"/>
      <c r="AD21" s="119"/>
      <c r="AE21" s="119"/>
      <c r="AF21" s="65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E22" s="62"/>
      <c r="F22" s="63"/>
      <c r="G22" s="62">
        <f ca="1">TODAY()</f>
        <v>44162</v>
      </c>
      <c r="H22" s="63">
        <f ca="1">AVERAGE(H2:H15)</f>
        <v>25.621428571428574</v>
      </c>
      <c r="J22" s="130">
        <f>AVERAGE(J2:J15)</f>
        <v>5.4285714285714288</v>
      </c>
      <c r="K22" s="78"/>
      <c r="L22" s="78"/>
      <c r="M22" s="78"/>
      <c r="N22" s="78"/>
      <c r="O22" s="118"/>
      <c r="W22" s="122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B23" s="3"/>
      <c r="H23" s="63">
        <f ca="1">MEDIAN(H2:H15)</f>
        <v>25.450000000000003</v>
      </c>
      <c r="J23" s="129">
        <f>MEDIAN(J2:J15)</f>
        <v>4</v>
      </c>
      <c r="K23" s="118"/>
      <c r="L23" s="16"/>
      <c r="M23" s="126"/>
      <c r="N23" s="78"/>
      <c r="O23" s="78"/>
      <c r="P23" s="11"/>
      <c r="Q23" s="127"/>
      <c r="X23" s="69"/>
      <c r="Y23" s="69"/>
      <c r="Z23" s="65"/>
      <c r="AA23" s="119"/>
      <c r="AB23" s="119"/>
      <c r="AC23" s="119"/>
      <c r="AD23" s="119"/>
      <c r="AE23" s="119"/>
      <c r="AF23" s="65"/>
      <c r="AG23" s="119"/>
      <c r="AH23" s="119"/>
      <c r="AI23" s="119"/>
      <c r="AJ23" s="65"/>
      <c r="AK23" s="119"/>
      <c r="AL23" s="119"/>
      <c r="AM23" s="119"/>
      <c r="AN23" s="119"/>
    </row>
    <row r="24" spans="1:40" x14ac:dyDescent="0.2">
      <c r="B24" s="5" t="s">
        <v>1985</v>
      </c>
      <c r="J24" s="3"/>
      <c r="K24" s="78"/>
      <c r="L24" s="16"/>
      <c r="M24" s="78"/>
      <c r="N24" s="78"/>
      <c r="O24" s="78"/>
      <c r="P24" s="11">
        <f>SUM(P2:P18)-P15</f>
        <v>121084727</v>
      </c>
      <c r="R24" s="64"/>
      <c r="Z24" s="65"/>
      <c r="AA24" s="119"/>
      <c r="AB24" s="119"/>
      <c r="AC24" s="119"/>
      <c r="AD24" s="119"/>
      <c r="AE24" s="119"/>
      <c r="AF24" s="65"/>
      <c r="AG24" s="119"/>
      <c r="AH24" s="119"/>
      <c r="AI24" s="119"/>
      <c r="AJ24" s="65"/>
      <c r="AK24" s="119"/>
      <c r="AL24" s="119"/>
      <c r="AM24" s="119"/>
      <c r="AN24" s="119"/>
    </row>
    <row r="25" spans="1:40" x14ac:dyDescent="0.2">
      <c r="B25" s="3" t="s">
        <v>1876</v>
      </c>
      <c r="C25" s="59">
        <v>13</v>
      </c>
      <c r="J25" s="4"/>
      <c r="K25" s="3"/>
      <c r="L25" s="16"/>
      <c r="M25" s="78"/>
      <c r="N25" s="78"/>
      <c r="O25" s="78"/>
      <c r="P25" s="29">
        <f>SUM(P2:P18)</f>
        <v>122602708</v>
      </c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B26" s="3" t="s">
        <v>2457</v>
      </c>
      <c r="C26" s="59">
        <v>1</v>
      </c>
      <c r="J26" s="4"/>
      <c r="K26" s="3"/>
      <c r="L26" s="16"/>
      <c r="M26" s="78"/>
      <c r="N26" s="78"/>
      <c r="O26" s="3"/>
      <c r="P26" s="22"/>
      <c r="Z26" s="65"/>
      <c r="AA26" s="119"/>
      <c r="AB26" s="119"/>
      <c r="AC26" s="119"/>
      <c r="AD26" s="119"/>
      <c r="AE26" s="119"/>
      <c r="AF26" s="65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B27" s="3" t="s">
        <v>2539</v>
      </c>
      <c r="C27" s="59">
        <v>2</v>
      </c>
      <c r="J27" s="4"/>
      <c r="K27" s="3"/>
      <c r="L27" s="16"/>
      <c r="M27" s="78"/>
      <c r="N27" s="78"/>
      <c r="O27" s="3" t="s">
        <v>292</v>
      </c>
      <c r="P27" s="22" t="e">
        <f>#REF!</f>
        <v>#REF!</v>
      </c>
      <c r="Z27" s="65"/>
      <c r="AA27" s="119"/>
      <c r="AB27" s="119"/>
      <c r="AC27" s="119"/>
      <c r="AD27" s="119"/>
      <c r="AE27" s="119"/>
      <c r="AF27" s="65"/>
      <c r="AG27" s="119"/>
      <c r="AH27" s="119"/>
      <c r="AI27" s="119"/>
      <c r="AJ27" s="65"/>
      <c r="AK27" s="119"/>
      <c r="AL27" s="119"/>
      <c r="AM27" s="119"/>
      <c r="AN27" s="119"/>
    </row>
    <row r="28" spans="1:40" x14ac:dyDescent="0.2">
      <c r="B28" s="3" t="s">
        <v>2498</v>
      </c>
      <c r="C28" s="64">
        <v>9258000</v>
      </c>
      <c r="J28" s="3"/>
      <c r="K28" s="16"/>
      <c r="L28" s="78"/>
      <c r="M28" s="78"/>
      <c r="N28" s="3"/>
      <c r="O28" s="22" t="s">
        <v>294</v>
      </c>
      <c r="P28" s="22" t="e">
        <f>#REF!</f>
        <v>#REF!</v>
      </c>
      <c r="AF28" s="65"/>
      <c r="AJ28" s="65"/>
      <c r="AK28" s="119"/>
      <c r="AL28" s="119"/>
      <c r="AM28" s="119"/>
      <c r="AN28" s="119"/>
    </row>
    <row r="29" spans="1:40" x14ac:dyDescent="0.2">
      <c r="B29" s="3" t="s">
        <v>2614</v>
      </c>
      <c r="C29" s="64">
        <v>3837500</v>
      </c>
      <c r="D29" s="249">
        <v>44188</v>
      </c>
      <c r="J29" s="3"/>
      <c r="K29" s="16"/>
      <c r="L29" s="78"/>
      <c r="M29" s="78"/>
      <c r="N29" s="3"/>
      <c r="O29" s="22"/>
      <c r="P29" s="22"/>
      <c r="AF29" s="65"/>
      <c r="AJ29" s="65"/>
      <c r="AK29" s="119"/>
      <c r="AL29" s="119"/>
      <c r="AM29" s="119"/>
      <c r="AN29" s="119"/>
    </row>
    <row r="30" spans="1:40" x14ac:dyDescent="0.2">
      <c r="B30" s="3" t="s">
        <v>514</v>
      </c>
      <c r="C30" s="64">
        <v>3623000</v>
      </c>
      <c r="J30" s="3"/>
      <c r="K30" s="16"/>
      <c r="L30" s="78"/>
      <c r="M30" s="78"/>
      <c r="N30" s="3"/>
      <c r="O30" s="22"/>
      <c r="P30" s="22"/>
      <c r="AF30" s="65"/>
      <c r="AJ30" s="65"/>
      <c r="AK30" s="119"/>
      <c r="AL30" s="119"/>
      <c r="AM30" s="119"/>
      <c r="AN30" s="119"/>
    </row>
    <row r="31" spans="1:40" x14ac:dyDescent="0.2">
      <c r="B31" s="24" t="s">
        <v>293</v>
      </c>
      <c r="C31" s="64">
        <v>0</v>
      </c>
      <c r="J31" s="22"/>
      <c r="K31" s="16"/>
      <c r="L31" s="78"/>
      <c r="M31" s="78"/>
      <c r="N31" s="22"/>
      <c r="O31" s="22"/>
      <c r="P31" s="22"/>
      <c r="AF31" s="65"/>
      <c r="AJ31" s="65"/>
    </row>
    <row r="32" spans="1:40" x14ac:dyDescent="0.2">
      <c r="B32" s="3" t="s">
        <v>295</v>
      </c>
      <c r="C32" s="64">
        <v>0</v>
      </c>
      <c r="J32" s="3"/>
      <c r="K32" s="78"/>
      <c r="L32" s="78"/>
      <c r="M32" s="78"/>
      <c r="N32" s="78"/>
      <c r="O32" s="22"/>
      <c r="P32" s="11"/>
    </row>
    <row r="33" spans="2:16" x14ac:dyDescent="0.2">
      <c r="J33" s="3"/>
      <c r="O33" s="22"/>
      <c r="P33" s="11"/>
    </row>
    <row r="34" spans="2:16" x14ac:dyDescent="0.2">
      <c r="B34" s="71" t="s">
        <v>1875</v>
      </c>
      <c r="J34" s="3"/>
    </row>
    <row r="35" spans="2:16" x14ac:dyDescent="0.2">
      <c r="B35" s="3" t="s">
        <v>296</v>
      </c>
      <c r="C35" s="41">
        <f>19/65</f>
        <v>0.29230769230769232</v>
      </c>
      <c r="D35" s="3" t="s">
        <v>320</v>
      </c>
      <c r="E35" s="3"/>
      <c r="J35" s="3"/>
    </row>
    <row r="36" spans="2:16" x14ac:dyDescent="0.2">
      <c r="B36" s="3" t="s">
        <v>298</v>
      </c>
      <c r="C36" s="110">
        <v>106.9</v>
      </c>
      <c r="D36" s="3" t="s">
        <v>2005</v>
      </c>
      <c r="E36" s="3"/>
      <c r="J36" s="3"/>
    </row>
    <row r="37" spans="2:16" x14ac:dyDescent="0.2">
      <c r="B37" s="3" t="s">
        <v>299</v>
      </c>
      <c r="C37" s="110">
        <v>114.8</v>
      </c>
      <c r="D37" s="3" t="s">
        <v>1994</v>
      </c>
      <c r="E37" s="3"/>
    </row>
    <row r="38" spans="2:16" x14ac:dyDescent="0.2">
      <c r="B38" s="3" t="s">
        <v>300</v>
      </c>
      <c r="C38" s="110">
        <f>C36-C37</f>
        <v>-7.8999999999999915</v>
      </c>
      <c r="D38" s="3" t="s">
        <v>1966</v>
      </c>
      <c r="E38" s="3"/>
    </row>
    <row r="39" spans="2:16" x14ac:dyDescent="0.2">
      <c r="B39" s="3" t="s">
        <v>301</v>
      </c>
      <c r="C39" s="36">
        <v>99.17</v>
      </c>
      <c r="D39" s="3" t="s">
        <v>2006</v>
      </c>
      <c r="E39" s="3"/>
    </row>
    <row r="40" spans="2:16" x14ac:dyDescent="0.2">
      <c r="B40" s="3"/>
      <c r="C40" s="3"/>
      <c r="D40" s="3"/>
      <c r="E40" s="3"/>
    </row>
    <row r="41" spans="2:16" x14ac:dyDescent="0.2">
      <c r="B41" s="3" t="s">
        <v>302</v>
      </c>
      <c r="C41" s="3"/>
      <c r="D41" s="3"/>
      <c r="E41" s="3"/>
    </row>
    <row r="42" spans="2:16" x14ac:dyDescent="0.2">
      <c r="B42" s="3" t="s">
        <v>2611</v>
      </c>
      <c r="C42" s="3"/>
      <c r="D42" s="3"/>
      <c r="E42" s="3"/>
    </row>
    <row r="43" spans="2:16" x14ac:dyDescent="0.2">
      <c r="B43" s="3" t="s">
        <v>2212</v>
      </c>
      <c r="C43" s="3"/>
      <c r="D43" s="3"/>
      <c r="E43" s="3"/>
    </row>
    <row r="44" spans="2:16" x14ac:dyDescent="0.2">
      <c r="B44" s="3" t="s">
        <v>645</v>
      </c>
      <c r="C44" s="3"/>
      <c r="D44" s="3"/>
      <c r="E44" s="3"/>
    </row>
    <row r="45" spans="2:16" x14ac:dyDescent="0.2">
      <c r="B45" s="3" t="s">
        <v>646</v>
      </c>
      <c r="C45" s="3"/>
      <c r="D45" s="3"/>
      <c r="E45" s="3"/>
    </row>
    <row r="46" spans="2:16" x14ac:dyDescent="0.2">
      <c r="B46" s="3" t="s">
        <v>647</v>
      </c>
      <c r="C46" s="3"/>
      <c r="D46" s="3"/>
      <c r="E46" s="3"/>
    </row>
    <row r="47" spans="2:16" x14ac:dyDescent="0.2">
      <c r="B47" s="3" t="s">
        <v>648</v>
      </c>
      <c r="C47" s="3"/>
      <c r="D47" s="3"/>
      <c r="E47" s="3"/>
    </row>
    <row r="48" spans="2:16" x14ac:dyDescent="0.2">
      <c r="B48" s="3" t="s">
        <v>2617</v>
      </c>
      <c r="C48" s="3"/>
      <c r="D48" s="3"/>
      <c r="E48" s="3"/>
    </row>
    <row r="49" spans="2:10" x14ac:dyDescent="0.2">
      <c r="B49" s="3"/>
      <c r="C49" s="3"/>
      <c r="D49" s="3"/>
      <c r="E49" s="3"/>
    </row>
    <row r="50" spans="2:10" x14ac:dyDescent="0.2">
      <c r="B50" s="3" t="s">
        <v>310</v>
      </c>
      <c r="C50" s="3"/>
      <c r="D50" s="3"/>
      <c r="E50" s="3"/>
    </row>
    <row r="51" spans="2:10" x14ac:dyDescent="0.2">
      <c r="B51" s="3" t="s">
        <v>1821</v>
      </c>
      <c r="C51" s="3"/>
      <c r="D51" s="3"/>
      <c r="E51" s="3"/>
    </row>
    <row r="52" spans="2:10" x14ac:dyDescent="0.2">
      <c r="B52" s="3" t="s">
        <v>1997</v>
      </c>
      <c r="C52" s="3"/>
      <c r="D52" s="3"/>
      <c r="E52" s="3"/>
    </row>
    <row r="53" spans="2:10" x14ac:dyDescent="0.2">
      <c r="B53" s="3" t="s">
        <v>649</v>
      </c>
      <c r="C53" s="3"/>
      <c r="D53" s="3"/>
      <c r="E53" s="3"/>
    </row>
    <row r="54" spans="2:10" x14ac:dyDescent="0.2">
      <c r="B54" s="3"/>
      <c r="C54" s="3"/>
      <c r="D54" s="3"/>
      <c r="E54" s="3"/>
    </row>
    <row r="55" spans="2:10" x14ac:dyDescent="0.2">
      <c r="B55" s="5" t="s">
        <v>1989</v>
      </c>
      <c r="C55" s="3"/>
      <c r="D55" s="3"/>
      <c r="E55" s="3"/>
    </row>
    <row r="56" spans="2:10" x14ac:dyDescent="0.2">
      <c r="B56" s="39" t="s">
        <v>314</v>
      </c>
      <c r="C56" s="59">
        <v>19</v>
      </c>
      <c r="D56" s="59">
        <v>46</v>
      </c>
      <c r="E56" s="59" t="s">
        <v>320</v>
      </c>
      <c r="G56" s="59" t="s">
        <v>650</v>
      </c>
      <c r="J56" s="145" t="s">
        <v>316</v>
      </c>
    </row>
    <row r="57" spans="2:10" x14ac:dyDescent="0.2">
      <c r="B57" s="39" t="s">
        <v>317</v>
      </c>
      <c r="C57" s="59">
        <v>19</v>
      </c>
      <c r="D57" s="59">
        <v>63</v>
      </c>
      <c r="E57" s="59" t="s">
        <v>315</v>
      </c>
      <c r="G57" s="59" t="s">
        <v>651</v>
      </c>
      <c r="J57" s="145" t="s">
        <v>316</v>
      </c>
    </row>
    <row r="58" spans="2:10" x14ac:dyDescent="0.2">
      <c r="B58" s="39" t="s">
        <v>319</v>
      </c>
      <c r="C58" s="59">
        <v>50</v>
      </c>
      <c r="D58" s="59">
        <v>32</v>
      </c>
      <c r="E58" s="59" t="s">
        <v>326</v>
      </c>
      <c r="G58" s="59" t="s">
        <v>652</v>
      </c>
      <c r="J58" s="59" t="s">
        <v>653</v>
      </c>
    </row>
    <row r="59" spans="2:10" x14ac:dyDescent="0.2">
      <c r="B59" s="39" t="s">
        <v>322</v>
      </c>
      <c r="C59" s="59">
        <v>51</v>
      </c>
      <c r="D59" s="59">
        <v>31</v>
      </c>
      <c r="E59" s="59" t="s">
        <v>396</v>
      </c>
      <c r="G59" s="59" t="s">
        <v>652</v>
      </c>
      <c r="J59" s="59" t="s">
        <v>654</v>
      </c>
    </row>
    <row r="60" spans="2:10" x14ac:dyDescent="0.2">
      <c r="B60" s="39" t="s">
        <v>325</v>
      </c>
      <c r="C60" s="59">
        <v>57</v>
      </c>
      <c r="D60" s="59">
        <v>25</v>
      </c>
      <c r="E60" s="59" t="s">
        <v>329</v>
      </c>
      <c r="G60" s="59" t="s">
        <v>655</v>
      </c>
      <c r="J60" s="59" t="s">
        <v>656</v>
      </c>
    </row>
    <row r="61" spans="2:10" x14ac:dyDescent="0.2">
      <c r="B61" s="39" t="s">
        <v>328</v>
      </c>
      <c r="C61" s="59">
        <v>53</v>
      </c>
      <c r="D61" s="59">
        <v>29</v>
      </c>
      <c r="E61" s="59" t="s">
        <v>396</v>
      </c>
      <c r="G61" s="59" t="s">
        <v>657</v>
      </c>
      <c r="J61" s="59" t="s">
        <v>658</v>
      </c>
    </row>
    <row r="62" spans="2:10" x14ac:dyDescent="0.2">
      <c r="B62" s="39" t="s">
        <v>331</v>
      </c>
      <c r="C62" s="59">
        <v>33</v>
      </c>
      <c r="D62" s="59">
        <v>49</v>
      </c>
      <c r="E62" s="59" t="s">
        <v>520</v>
      </c>
      <c r="G62" s="59" t="s">
        <v>659</v>
      </c>
      <c r="J62" s="145" t="s">
        <v>316</v>
      </c>
    </row>
    <row r="63" spans="2:10" x14ac:dyDescent="0.2">
      <c r="B63" s="39" t="s">
        <v>334</v>
      </c>
      <c r="C63" s="59">
        <v>24</v>
      </c>
      <c r="D63" s="59">
        <v>58</v>
      </c>
      <c r="E63" s="59" t="s">
        <v>586</v>
      </c>
      <c r="G63" s="59" t="s">
        <v>660</v>
      </c>
      <c r="J63" s="145" t="s">
        <v>316</v>
      </c>
    </row>
    <row r="64" spans="2:10" x14ac:dyDescent="0.2">
      <c r="B64" s="39" t="s">
        <v>338</v>
      </c>
      <c r="C64" s="59">
        <v>21</v>
      </c>
      <c r="D64" s="59">
        <v>45</v>
      </c>
      <c r="E64" s="59" t="s">
        <v>586</v>
      </c>
      <c r="G64" s="59" t="s">
        <v>660</v>
      </c>
      <c r="J64" s="145" t="s">
        <v>316</v>
      </c>
    </row>
    <row r="65" spans="2:10" x14ac:dyDescent="0.2">
      <c r="B65" s="39" t="s">
        <v>340</v>
      </c>
      <c r="C65" s="59">
        <v>19</v>
      </c>
      <c r="D65" s="59">
        <v>63</v>
      </c>
      <c r="E65" s="59" t="s">
        <v>320</v>
      </c>
      <c r="G65" s="59" t="s">
        <v>660</v>
      </c>
      <c r="J65" s="145" t="s">
        <v>316</v>
      </c>
    </row>
    <row r="66" spans="2:10" x14ac:dyDescent="0.2">
      <c r="B66" s="59" t="s">
        <v>661</v>
      </c>
      <c r="C66" s="59">
        <f>SUM(C56:C65)</f>
        <v>346</v>
      </c>
      <c r="D66" s="59">
        <f>SUM(D56:D65)</f>
        <v>441</v>
      </c>
      <c r="E66" s="65">
        <f>C66/(C66+D66)</f>
        <v>0.43964421855146124</v>
      </c>
    </row>
    <row r="67" spans="2:10" x14ac:dyDescent="0.2">
      <c r="B67" s="59" t="s">
        <v>662</v>
      </c>
      <c r="C67" s="59">
        <f>C58+C59+C60+C61</f>
        <v>211</v>
      </c>
      <c r="D67" s="59">
        <f>D58+D59+D60+D61</f>
        <v>117</v>
      </c>
      <c r="E67" s="65">
        <f>C67/(C67+D67)</f>
        <v>0.64329268292682928</v>
      </c>
    </row>
    <row r="68" spans="2:10" x14ac:dyDescent="0.2">
      <c r="B68" s="59" t="s">
        <v>663</v>
      </c>
      <c r="C68" s="59">
        <f>C56+C57+C62+C63+C64+C65</f>
        <v>135</v>
      </c>
      <c r="D68" s="59">
        <f>D56+D57+D62+D63+D64+D65</f>
        <v>324</v>
      </c>
      <c r="E68" s="65">
        <f>C68/(C68+D68)</f>
        <v>0.29411764705882354</v>
      </c>
    </row>
    <row r="69" spans="2:10" x14ac:dyDescent="0.2">
      <c r="E69" s="65"/>
    </row>
  </sheetData>
  <pageMargins left="0.7" right="0.7" top="0.75" bottom="0.75" header="0.3" footer="0.3"/>
  <ignoredErrors>
    <ignoredError sqref="J22:J23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A0A4-6E27-7740-9F9D-AD60650B3E3E}">
  <dimension ref="A1:AP63"/>
  <sheetViews>
    <sheetView zoomScaleNormal="100" workbookViewId="0"/>
  </sheetViews>
  <sheetFormatPr baseColWidth="10" defaultColWidth="11" defaultRowHeight="16" x14ac:dyDescent="0.2"/>
  <cols>
    <col min="1" max="1" width="5" customWidth="1"/>
    <col min="2" max="2" width="19.6640625" customWidth="1"/>
    <col min="3" max="3" width="11.83203125" customWidth="1"/>
    <col min="4" max="4" width="7.83203125" customWidth="1"/>
    <col min="5" max="5" width="10.83203125" customWidth="1"/>
    <col min="6" max="6" width="9.1640625" customWidth="1"/>
    <col min="7" max="7" width="9.5" customWidth="1"/>
    <col min="8" max="8" width="5.5" customWidth="1"/>
    <col min="9" max="9" width="22.5" customWidth="1"/>
    <col min="10" max="10" width="11.1640625" customWidth="1"/>
    <col min="11" max="11" width="11.83203125" customWidth="1"/>
    <col min="12" max="12" width="4.83203125" customWidth="1"/>
    <col min="13" max="13" width="34.33203125" customWidth="1"/>
    <col min="14" max="14" width="16.5" customWidth="1"/>
    <col min="15" max="15" width="46.6640625" customWidth="1"/>
    <col min="16" max="16" width="13.6640625" customWidth="1"/>
    <col min="17" max="17" width="14" customWidth="1"/>
    <col min="18" max="18" width="13" customWidth="1"/>
    <col min="19" max="19" width="12.5" customWidth="1"/>
    <col min="20" max="20" width="13.5" customWidth="1"/>
    <col min="21" max="21" width="6.5" customWidth="1"/>
    <col min="22" max="22" width="125.83203125" customWidth="1"/>
    <col min="23" max="23" width="26.33203125" customWidth="1"/>
    <col min="24" max="24" width="9.6640625" customWidth="1"/>
    <col min="25" max="25" width="3.5" customWidth="1"/>
    <col min="26" max="26" width="7.6640625" customWidth="1"/>
    <col min="27" max="27" width="5.83203125" customWidth="1"/>
    <col min="28" max="28" width="5.6640625" customWidth="1"/>
    <col min="29" max="29" width="7.33203125" customWidth="1"/>
    <col min="30" max="30" width="5.1640625" customWidth="1"/>
    <col min="31" max="31" width="5" customWidth="1"/>
    <col min="32" max="32" width="6" customWidth="1"/>
    <col min="33" max="33" width="7.83203125" customWidth="1"/>
    <col min="34" max="34" width="5.5" customWidth="1"/>
    <col min="35" max="35" width="5.1640625" customWidth="1"/>
    <col min="36" max="36" width="6.6640625" customWidth="1"/>
    <col min="37" max="37" width="6.1640625" customWidth="1"/>
    <col min="38" max="38" width="6" customWidth="1"/>
    <col min="39" max="39" width="5.1640625" customWidth="1"/>
    <col min="40" max="40" width="5" customWidth="1"/>
  </cols>
  <sheetData>
    <row r="1" spans="1:42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 s="3"/>
    </row>
    <row r="2" spans="1:42" x14ac:dyDescent="0.2">
      <c r="A2" s="3">
        <v>6</v>
      </c>
      <c r="B2" s="3" t="s">
        <v>664</v>
      </c>
      <c r="C2" s="3" t="s">
        <v>234</v>
      </c>
      <c r="D2" s="105">
        <v>73</v>
      </c>
      <c r="E2" s="105">
        <v>74</v>
      </c>
      <c r="F2" s="106">
        <v>240</v>
      </c>
      <c r="G2" s="4">
        <v>34913</v>
      </c>
      <c r="H2" s="110">
        <f t="shared" ref="H2:H19" ca="1" si="0">ROUNDDOWN(YEARFRAC($G$27,G2),1)</f>
        <v>25.3</v>
      </c>
      <c r="I2" s="3" t="s">
        <v>492</v>
      </c>
      <c r="J2" s="3">
        <v>6</v>
      </c>
      <c r="K2" s="109">
        <v>2015</v>
      </c>
      <c r="L2" s="109">
        <v>4</v>
      </c>
      <c r="M2" s="3" t="s">
        <v>665</v>
      </c>
      <c r="N2" s="3" t="s">
        <v>1</v>
      </c>
      <c r="O2" s="3" t="s">
        <v>1967</v>
      </c>
      <c r="P2" s="16">
        <v>29467800</v>
      </c>
      <c r="Q2" s="11">
        <v>31650000</v>
      </c>
      <c r="R2" s="11">
        <v>33833400</v>
      </c>
      <c r="S2" s="47">
        <v>36016200</v>
      </c>
      <c r="T2" s="14">
        <v>42793800</v>
      </c>
      <c r="U2" s="3"/>
      <c r="W2" t="s">
        <v>666</v>
      </c>
      <c r="X2" s="69">
        <v>4</v>
      </c>
      <c r="Y2" s="69">
        <v>51</v>
      </c>
      <c r="Z2" s="65">
        <f>30/51</f>
        <v>0.58823529411764708</v>
      </c>
      <c r="AA2" s="119">
        <v>115.7</v>
      </c>
      <c r="AB2" s="119">
        <v>107.1</v>
      </c>
      <c r="AC2" s="119">
        <f t="shared" ref="AC2:AC16" si="1">AA2-AB2</f>
        <v>8.6000000000000085</v>
      </c>
      <c r="AD2" s="119">
        <v>31.3</v>
      </c>
      <c r="AE2" s="119">
        <v>19.3</v>
      </c>
      <c r="AF2" s="65">
        <v>0.54</v>
      </c>
      <c r="AG2" s="119">
        <v>26.6</v>
      </c>
      <c r="AH2" s="119">
        <v>1.7</v>
      </c>
      <c r="AI2" s="119">
        <v>2.6</v>
      </c>
      <c r="AJ2" s="65">
        <v>0.129</v>
      </c>
      <c r="AK2" s="119">
        <v>1.2</v>
      </c>
      <c r="AL2" s="119">
        <v>0.3</v>
      </c>
      <c r="AM2" s="119">
        <v>1.4</v>
      </c>
      <c r="AN2" s="119">
        <v>12.4</v>
      </c>
    </row>
    <row r="3" spans="1:42" x14ac:dyDescent="0.2">
      <c r="A3" s="3">
        <v>11</v>
      </c>
      <c r="B3" s="3" t="s">
        <v>32</v>
      </c>
      <c r="C3" s="3" t="s">
        <v>252</v>
      </c>
      <c r="D3" s="105">
        <v>65</v>
      </c>
      <c r="E3" s="105">
        <v>67</v>
      </c>
      <c r="F3" s="106">
        <v>205</v>
      </c>
      <c r="G3" s="4">
        <v>33679</v>
      </c>
      <c r="H3" s="110">
        <f t="shared" ca="1" si="0"/>
        <v>28.6</v>
      </c>
      <c r="I3" s="3" t="s">
        <v>425</v>
      </c>
      <c r="J3" s="3">
        <v>8</v>
      </c>
      <c r="K3" s="109">
        <v>2013</v>
      </c>
      <c r="L3" s="109">
        <v>24</v>
      </c>
      <c r="M3" s="3" t="s">
        <v>665</v>
      </c>
      <c r="N3" s="3" t="s">
        <v>493</v>
      </c>
      <c r="O3" s="3" t="s">
        <v>2419</v>
      </c>
      <c r="P3" s="16">
        <v>18975000</v>
      </c>
      <c r="Q3" s="14">
        <f>P3*1.5</f>
        <v>28462500</v>
      </c>
      <c r="R3" s="12"/>
      <c r="S3" s="12"/>
      <c r="T3" s="12"/>
      <c r="U3" s="3"/>
      <c r="V3" s="3" t="s">
        <v>667</v>
      </c>
      <c r="W3" t="s">
        <v>668</v>
      </c>
      <c r="X3" s="69">
        <v>3</v>
      </c>
      <c r="Y3" s="69">
        <v>63</v>
      </c>
      <c r="Z3" s="65">
        <f>38/63</f>
        <v>0.60317460317460314</v>
      </c>
      <c r="AA3" s="119">
        <v>115.8</v>
      </c>
      <c r="AB3" s="119">
        <v>107.7</v>
      </c>
      <c r="AC3" s="119">
        <f t="shared" si="1"/>
        <v>8.0999999999999943</v>
      </c>
      <c r="AD3" s="119">
        <v>28.8</v>
      </c>
      <c r="AE3" s="119">
        <v>15</v>
      </c>
      <c r="AF3" s="65">
        <v>0.58099999999999996</v>
      </c>
      <c r="AG3" s="119">
        <v>21.7</v>
      </c>
      <c r="AH3" s="119">
        <v>3.1</v>
      </c>
      <c r="AI3" s="119">
        <v>1.1000000000000001</v>
      </c>
      <c r="AJ3" s="65">
        <v>0.111</v>
      </c>
      <c r="AK3" s="119">
        <v>1.5</v>
      </c>
      <c r="AL3" s="119">
        <v>-1.2</v>
      </c>
      <c r="AM3" s="119">
        <v>1.1000000000000001</v>
      </c>
      <c r="AN3" s="119">
        <v>9.1999999999999993</v>
      </c>
    </row>
    <row r="4" spans="1:42" x14ac:dyDescent="0.2">
      <c r="A4" s="3"/>
      <c r="B4" s="3" t="s">
        <v>105</v>
      </c>
      <c r="C4" s="3" t="s">
        <v>234</v>
      </c>
      <c r="D4" s="142">
        <v>67</v>
      </c>
      <c r="E4" s="142">
        <v>71</v>
      </c>
      <c r="F4" s="143">
        <v>240</v>
      </c>
      <c r="G4" s="4">
        <v>31828</v>
      </c>
      <c r="H4" s="119">
        <f t="shared" ca="1" si="0"/>
        <v>33.700000000000003</v>
      </c>
      <c r="I4" s="59" t="s">
        <v>231</v>
      </c>
      <c r="J4" s="3">
        <v>12</v>
      </c>
      <c r="K4" s="107">
        <v>2009</v>
      </c>
      <c r="L4" s="107">
        <v>16</v>
      </c>
      <c r="M4" s="3" t="s">
        <v>2283</v>
      </c>
      <c r="N4" s="3" t="s">
        <v>1258</v>
      </c>
      <c r="O4" s="70" t="s">
        <v>2415</v>
      </c>
      <c r="P4" s="16">
        <v>16047100</v>
      </c>
      <c r="Q4" s="147">
        <f>P4*1.5</f>
        <v>24070650</v>
      </c>
      <c r="R4" s="59"/>
      <c r="S4" s="59"/>
      <c r="T4" s="59"/>
      <c r="U4" s="59"/>
      <c r="V4" s="59"/>
      <c r="W4" s="59" t="s">
        <v>1259</v>
      </c>
      <c r="X4" s="69">
        <v>4</v>
      </c>
      <c r="Y4" s="69">
        <v>14</v>
      </c>
      <c r="Z4" s="65">
        <f>4/14</f>
        <v>0.2857142857142857</v>
      </c>
      <c r="AA4" s="119">
        <v>105.8</v>
      </c>
      <c r="AB4" s="119">
        <v>117.2</v>
      </c>
      <c r="AC4" s="119">
        <f t="shared" si="1"/>
        <v>-11.400000000000006</v>
      </c>
      <c r="AD4" s="119">
        <v>24.2</v>
      </c>
      <c r="AE4" s="119">
        <v>17.899999999999999</v>
      </c>
      <c r="AF4" s="65">
        <v>0.58799999999999997</v>
      </c>
      <c r="AG4" s="119">
        <v>21.4</v>
      </c>
      <c r="AH4" s="119">
        <v>0.3</v>
      </c>
      <c r="AI4" s="119">
        <v>0.4</v>
      </c>
      <c r="AJ4" s="65">
        <v>0.109</v>
      </c>
      <c r="AK4" s="119">
        <v>0.2</v>
      </c>
      <c r="AL4" s="119">
        <v>1.5</v>
      </c>
      <c r="AM4" s="119">
        <v>0.3</v>
      </c>
      <c r="AN4" s="119">
        <v>9.9</v>
      </c>
      <c r="AO4" s="59"/>
      <c r="AP4" s="3"/>
    </row>
    <row r="5" spans="1:42" x14ac:dyDescent="0.2">
      <c r="A5" s="3">
        <v>7</v>
      </c>
      <c r="B5" s="3" t="s">
        <v>671</v>
      </c>
      <c r="C5" s="3" t="s">
        <v>234</v>
      </c>
      <c r="D5" s="105">
        <v>610</v>
      </c>
      <c r="E5" s="105">
        <v>71</v>
      </c>
      <c r="F5" s="106">
        <v>240</v>
      </c>
      <c r="G5" s="4">
        <v>33439</v>
      </c>
      <c r="H5" s="110">
        <f t="shared" ca="1" si="0"/>
        <v>29.3</v>
      </c>
      <c r="I5" s="3" t="s">
        <v>672</v>
      </c>
      <c r="J5" s="3">
        <v>7</v>
      </c>
      <c r="K5" s="109">
        <v>2014</v>
      </c>
      <c r="L5" s="109">
        <v>45</v>
      </c>
      <c r="M5" s="3" t="s">
        <v>673</v>
      </c>
      <c r="N5" s="3" t="s">
        <v>1</v>
      </c>
      <c r="O5" s="3" t="s">
        <v>1968</v>
      </c>
      <c r="P5" s="16">
        <v>11080125</v>
      </c>
      <c r="Q5" s="11">
        <v>11080125</v>
      </c>
      <c r="R5" s="11">
        <v>11080125</v>
      </c>
      <c r="S5" s="14">
        <f>R5*1.9</f>
        <v>21052237.5</v>
      </c>
      <c r="T5" s="3"/>
      <c r="U5" s="3"/>
      <c r="V5" s="3"/>
      <c r="W5" t="s">
        <v>674</v>
      </c>
      <c r="X5" s="69">
        <v>5</v>
      </c>
      <c r="Y5" s="69">
        <v>40</v>
      </c>
      <c r="Z5" s="65">
        <f>25/40</f>
        <v>0.625</v>
      </c>
      <c r="AA5" s="119">
        <v>116.3</v>
      </c>
      <c r="AB5" s="119">
        <v>107.4</v>
      </c>
      <c r="AC5" s="119">
        <f t="shared" si="1"/>
        <v>8.8999999999999915</v>
      </c>
      <c r="AD5" s="119">
        <v>26.5</v>
      </c>
      <c r="AE5" s="119">
        <v>16</v>
      </c>
      <c r="AF5" s="65">
        <v>0.66700000000000004</v>
      </c>
      <c r="AG5" s="119">
        <v>12.7</v>
      </c>
      <c r="AH5" s="119">
        <v>2.6</v>
      </c>
      <c r="AI5" s="119">
        <v>1.1000000000000001</v>
      </c>
      <c r="AJ5" s="65">
        <v>0.16900000000000001</v>
      </c>
      <c r="AK5" s="119">
        <v>0.4</v>
      </c>
      <c r="AL5" s="119">
        <v>1</v>
      </c>
      <c r="AM5" s="119">
        <v>0.9</v>
      </c>
      <c r="AN5" s="119">
        <v>9.4</v>
      </c>
    </row>
    <row r="6" spans="1:42" x14ac:dyDescent="0.2">
      <c r="A6" s="3"/>
      <c r="B6" s="3" t="s">
        <v>1499</v>
      </c>
      <c r="C6" s="3" t="s">
        <v>230</v>
      </c>
      <c r="D6" s="105">
        <v>65</v>
      </c>
      <c r="E6" s="105">
        <v>610</v>
      </c>
      <c r="F6" s="106">
        <v>200</v>
      </c>
      <c r="G6" s="4">
        <v>34227</v>
      </c>
      <c r="H6" s="110">
        <f t="shared" ca="1" si="0"/>
        <v>27.2</v>
      </c>
      <c r="I6" s="3" t="s">
        <v>369</v>
      </c>
      <c r="J6" s="3">
        <v>6</v>
      </c>
      <c r="K6" s="3">
        <v>2015</v>
      </c>
      <c r="L6" s="3">
        <v>40</v>
      </c>
      <c r="M6" s="3" t="s">
        <v>2484</v>
      </c>
      <c r="N6" s="3" t="s">
        <v>1107</v>
      </c>
      <c r="O6" s="3" t="s">
        <v>2055</v>
      </c>
      <c r="P6" s="11">
        <v>10865952</v>
      </c>
      <c r="Q6" s="47">
        <v>11615328</v>
      </c>
      <c r="R6" s="14">
        <f>Q6*1.5</f>
        <v>17422992</v>
      </c>
      <c r="S6" s="3"/>
      <c r="T6" s="3"/>
      <c r="U6" s="3"/>
      <c r="V6" s="3"/>
      <c r="W6" s="3" t="s">
        <v>1500</v>
      </c>
      <c r="X6" s="107">
        <v>2</v>
      </c>
      <c r="Y6" s="107">
        <v>48</v>
      </c>
      <c r="Z6" s="41">
        <f>29/48</f>
        <v>0.60416666666666663</v>
      </c>
      <c r="AA6" s="110">
        <v>108</v>
      </c>
      <c r="AB6" s="110">
        <v>104.2</v>
      </c>
      <c r="AC6" s="110">
        <f t="shared" ref="AC6" si="2">AA6-AB6</f>
        <v>3.7999999999999972</v>
      </c>
      <c r="AD6" s="110">
        <v>30.7</v>
      </c>
      <c r="AE6" s="110">
        <v>12.1</v>
      </c>
      <c r="AF6" s="41">
        <v>0.52600000000000002</v>
      </c>
      <c r="AG6" s="110">
        <v>21.1</v>
      </c>
      <c r="AH6" s="110">
        <v>0.3</v>
      </c>
      <c r="AI6" s="110">
        <v>1.6</v>
      </c>
      <c r="AJ6" s="41">
        <v>6.2E-2</v>
      </c>
      <c r="AK6" s="110">
        <v>-1.5</v>
      </c>
      <c r="AL6" s="110">
        <v>-0.2</v>
      </c>
      <c r="AM6" s="110">
        <v>0.1</v>
      </c>
      <c r="AN6" s="110">
        <v>8.1</v>
      </c>
      <c r="AO6" s="3"/>
    </row>
    <row r="7" spans="1:42" x14ac:dyDescent="0.2">
      <c r="A7" s="3">
        <v>42</v>
      </c>
      <c r="B7" s="3" t="s">
        <v>199</v>
      </c>
      <c r="C7" s="3" t="s">
        <v>234</v>
      </c>
      <c r="D7" s="105">
        <v>610</v>
      </c>
      <c r="E7" s="105">
        <v>611</v>
      </c>
      <c r="F7" s="106">
        <v>240</v>
      </c>
      <c r="G7" s="4">
        <v>33632</v>
      </c>
      <c r="H7" s="110">
        <f t="shared" ca="1" si="0"/>
        <v>28.8</v>
      </c>
      <c r="I7" s="3" t="s">
        <v>678</v>
      </c>
      <c r="J7" s="3">
        <v>4</v>
      </c>
      <c r="K7" s="109">
        <v>2014</v>
      </c>
      <c r="L7" s="109"/>
      <c r="M7" s="3" t="s">
        <v>679</v>
      </c>
      <c r="N7" s="3" t="s">
        <v>5</v>
      </c>
      <c r="O7" s="3" t="s">
        <v>1970</v>
      </c>
      <c r="P7" s="16">
        <f>8250000+175000</f>
        <v>8425000</v>
      </c>
      <c r="Q7" s="11">
        <f>8750000+175000</f>
        <v>8925000</v>
      </c>
      <c r="R7" s="15">
        <f>9000000+175000</f>
        <v>9175000</v>
      </c>
      <c r="S7" s="14">
        <f>R7*1.9</f>
        <v>17432500</v>
      </c>
      <c r="T7" s="3"/>
      <c r="U7" s="11"/>
      <c r="V7" s="11" t="s">
        <v>1837</v>
      </c>
      <c r="W7" t="s">
        <v>680</v>
      </c>
      <c r="X7" s="69">
        <v>5</v>
      </c>
      <c r="Y7" s="69">
        <v>66</v>
      </c>
      <c r="Z7" s="65">
        <f>39/66</f>
        <v>0.59090909090909094</v>
      </c>
      <c r="AA7" s="119">
        <v>111.9</v>
      </c>
      <c r="AB7" s="119">
        <v>107.9</v>
      </c>
      <c r="AC7" s="119">
        <f t="shared" si="1"/>
        <v>4</v>
      </c>
      <c r="AD7" s="119">
        <v>25.7</v>
      </c>
      <c r="AE7" s="119">
        <v>13.8</v>
      </c>
      <c r="AF7" s="65">
        <v>0.60299999999999998</v>
      </c>
      <c r="AG7" s="119">
        <v>13.9</v>
      </c>
      <c r="AH7" s="119">
        <v>2.9</v>
      </c>
      <c r="AI7" s="119">
        <v>1.7</v>
      </c>
      <c r="AJ7" s="65">
        <v>0.13100000000000001</v>
      </c>
      <c r="AK7" s="119">
        <v>0.5</v>
      </c>
      <c r="AL7" s="119">
        <v>0.2</v>
      </c>
      <c r="AM7" s="119">
        <v>1.1000000000000001</v>
      </c>
      <c r="AN7" s="119">
        <v>8.5</v>
      </c>
    </row>
    <row r="8" spans="1:42" x14ac:dyDescent="0.2">
      <c r="A8" s="3">
        <v>77</v>
      </c>
      <c r="B8" s="3" t="s">
        <v>681</v>
      </c>
      <c r="C8" s="3" t="s">
        <v>252</v>
      </c>
      <c r="D8" s="105">
        <v>67</v>
      </c>
      <c r="E8" s="105">
        <v>70</v>
      </c>
      <c r="F8" s="106">
        <v>230</v>
      </c>
      <c r="G8" s="4">
        <v>36219</v>
      </c>
      <c r="H8" s="110">
        <f t="shared" ca="1" si="0"/>
        <v>21.7</v>
      </c>
      <c r="I8" s="3" t="s">
        <v>682</v>
      </c>
      <c r="J8" s="3">
        <v>3</v>
      </c>
      <c r="K8" s="109">
        <v>2018</v>
      </c>
      <c r="L8" s="131">
        <v>3</v>
      </c>
      <c r="M8" s="3" t="s">
        <v>683</v>
      </c>
      <c r="N8" s="3" t="s">
        <v>244</v>
      </c>
      <c r="O8" s="3" t="s">
        <v>1971</v>
      </c>
      <c r="P8" s="221">
        <v>8049360</v>
      </c>
      <c r="Q8" s="50">
        <v>10174391</v>
      </c>
      <c r="R8" s="49">
        <f>Q8*3</f>
        <v>30523173</v>
      </c>
      <c r="S8" s="12"/>
      <c r="T8" s="12"/>
      <c r="U8" s="3"/>
      <c r="W8" t="s">
        <v>547</v>
      </c>
      <c r="X8" s="69">
        <v>1</v>
      </c>
      <c r="Y8" s="69">
        <v>54</v>
      </c>
      <c r="Z8" s="65">
        <f>34/54</f>
        <v>0.62962962962962965</v>
      </c>
      <c r="AA8" s="119">
        <v>117</v>
      </c>
      <c r="AB8" s="119">
        <v>110.8</v>
      </c>
      <c r="AC8" s="119">
        <f t="shared" si="1"/>
        <v>6.2000000000000028</v>
      </c>
      <c r="AD8" s="119">
        <v>33.299999999999997</v>
      </c>
      <c r="AE8" s="119">
        <v>27.7</v>
      </c>
      <c r="AF8" s="65">
        <v>0.58399999999999996</v>
      </c>
      <c r="AG8" s="119">
        <v>37</v>
      </c>
      <c r="AH8" s="119">
        <v>5.8</v>
      </c>
      <c r="AI8" s="119">
        <v>2.2999999999999998</v>
      </c>
      <c r="AJ8" s="65">
        <v>0.215</v>
      </c>
      <c r="AK8" s="119">
        <v>7.3</v>
      </c>
      <c r="AL8" s="119">
        <v>1.1000000000000001</v>
      </c>
      <c r="AM8" s="119">
        <v>4.7</v>
      </c>
      <c r="AN8" s="119">
        <v>19.3</v>
      </c>
    </row>
    <row r="9" spans="1:42" x14ac:dyDescent="0.2">
      <c r="A9" s="3">
        <v>33</v>
      </c>
      <c r="B9" s="3" t="s">
        <v>34</v>
      </c>
      <c r="C9" s="3" t="s">
        <v>234</v>
      </c>
      <c r="D9" s="105">
        <v>70</v>
      </c>
      <c r="E9" s="105">
        <v>73</v>
      </c>
      <c r="F9" s="106">
        <v>240</v>
      </c>
      <c r="G9" s="4">
        <v>34199</v>
      </c>
      <c r="H9" s="110">
        <f t="shared" ca="1" si="0"/>
        <v>27.2</v>
      </c>
      <c r="I9" s="3" t="s">
        <v>266</v>
      </c>
      <c r="J9" s="3">
        <v>6</v>
      </c>
      <c r="K9" s="109">
        <v>2015</v>
      </c>
      <c r="L9" s="109">
        <v>6</v>
      </c>
      <c r="M9" s="3" t="s">
        <v>695</v>
      </c>
      <c r="N9" s="3" t="s">
        <v>495</v>
      </c>
      <c r="O9" s="3" t="s">
        <v>2489</v>
      </c>
      <c r="P9" s="16">
        <v>4000000</v>
      </c>
      <c r="Q9" s="48">
        <f>P9*1.05</f>
        <v>4200000</v>
      </c>
      <c r="R9" s="14">
        <f>Q9*1.3</f>
        <v>5460000</v>
      </c>
      <c r="S9" s="12"/>
      <c r="T9" s="12"/>
      <c r="U9" s="3"/>
      <c r="W9" t="s">
        <v>696</v>
      </c>
      <c r="X9" s="69">
        <v>5</v>
      </c>
      <c r="Y9" s="69">
        <v>13</v>
      </c>
      <c r="Z9" s="65">
        <f>7/13</f>
        <v>0.53846153846153844</v>
      </c>
      <c r="AA9" s="119">
        <v>107.6</v>
      </c>
      <c r="AB9" s="119">
        <v>104.9</v>
      </c>
      <c r="AC9" s="119">
        <f t="shared" si="1"/>
        <v>2.6999999999999886</v>
      </c>
      <c r="AD9" s="119">
        <v>12.1</v>
      </c>
      <c r="AE9" s="119">
        <v>22.3</v>
      </c>
      <c r="AF9" s="65">
        <v>0.68400000000000005</v>
      </c>
      <c r="AG9" s="119">
        <v>14.7</v>
      </c>
      <c r="AH9" s="119">
        <v>0.5</v>
      </c>
      <c r="AI9" s="119">
        <v>0.3</v>
      </c>
      <c r="AJ9" s="65">
        <v>0.23</v>
      </c>
      <c r="AK9" s="119">
        <v>1</v>
      </c>
      <c r="AL9" s="119">
        <v>2.2999999999999998</v>
      </c>
      <c r="AM9" s="119">
        <v>0.2</v>
      </c>
      <c r="AN9" s="119">
        <v>15.1</v>
      </c>
    </row>
    <row r="10" spans="1:42" x14ac:dyDescent="0.2">
      <c r="A10" s="3">
        <v>10</v>
      </c>
      <c r="B10" s="3" t="s">
        <v>687</v>
      </c>
      <c r="C10" s="3" t="s">
        <v>241</v>
      </c>
      <c r="D10" s="105">
        <v>67</v>
      </c>
      <c r="E10" s="105">
        <v>611</v>
      </c>
      <c r="F10" s="106">
        <v>220</v>
      </c>
      <c r="G10" s="4">
        <v>34093</v>
      </c>
      <c r="H10" s="110">
        <f t="shared" ca="1" si="0"/>
        <v>27.5</v>
      </c>
      <c r="I10" s="3" t="s">
        <v>449</v>
      </c>
      <c r="J10" s="3">
        <v>5</v>
      </c>
      <c r="K10" s="109">
        <v>2016</v>
      </c>
      <c r="L10" s="109"/>
      <c r="M10" s="3" t="s">
        <v>688</v>
      </c>
      <c r="N10" s="3" t="s">
        <v>1</v>
      </c>
      <c r="O10" s="3" t="s">
        <v>1974</v>
      </c>
      <c r="P10" s="16">
        <v>4000000</v>
      </c>
      <c r="Q10" s="11">
        <v>4000000</v>
      </c>
      <c r="R10" s="14">
        <f>Q10*1.9</f>
        <v>7600000</v>
      </c>
      <c r="S10" s="12"/>
      <c r="T10" s="12"/>
      <c r="U10" s="3"/>
      <c r="W10" t="s">
        <v>689</v>
      </c>
      <c r="X10" s="69">
        <v>3</v>
      </c>
      <c r="Y10" s="69">
        <v>64</v>
      </c>
      <c r="Z10" s="65">
        <f>38/64</f>
        <v>0.59375</v>
      </c>
      <c r="AA10" s="119">
        <v>116.2</v>
      </c>
      <c r="AB10" s="119">
        <v>109.1</v>
      </c>
      <c r="AC10" s="119">
        <f t="shared" si="1"/>
        <v>7.1000000000000085</v>
      </c>
      <c r="AD10" s="119">
        <v>29.7</v>
      </c>
      <c r="AE10" s="119">
        <v>12.2</v>
      </c>
      <c r="AF10" s="65">
        <v>0.59699999999999998</v>
      </c>
      <c r="AG10" s="119">
        <v>12.7</v>
      </c>
      <c r="AH10" s="119">
        <v>2.9</v>
      </c>
      <c r="AI10" s="119">
        <v>1.6</v>
      </c>
      <c r="AJ10" s="65">
        <v>0.114</v>
      </c>
      <c r="AK10" s="119">
        <v>0</v>
      </c>
      <c r="AL10" s="119">
        <v>-0.1</v>
      </c>
      <c r="AM10" s="119">
        <v>0.9</v>
      </c>
      <c r="AN10" s="119">
        <v>7.1</v>
      </c>
    </row>
    <row r="11" spans="1:42" x14ac:dyDescent="0.2">
      <c r="A11" s="3">
        <v>51</v>
      </c>
      <c r="B11" s="3" t="s">
        <v>690</v>
      </c>
      <c r="C11" s="3" t="s">
        <v>234</v>
      </c>
      <c r="D11" s="105">
        <v>74</v>
      </c>
      <c r="E11" s="105">
        <v>710</v>
      </c>
      <c r="F11" s="106">
        <v>290</v>
      </c>
      <c r="G11" s="4">
        <v>32370</v>
      </c>
      <c r="H11" s="110">
        <f t="shared" ca="1" si="0"/>
        <v>32.200000000000003</v>
      </c>
      <c r="I11" s="3" t="s">
        <v>691</v>
      </c>
      <c r="J11" s="3">
        <v>6</v>
      </c>
      <c r="K11" s="109">
        <v>2010</v>
      </c>
      <c r="L11" s="109"/>
      <c r="M11" s="3" t="s">
        <v>2555</v>
      </c>
      <c r="N11" s="3" t="s">
        <v>514</v>
      </c>
      <c r="O11" s="3" t="s">
        <v>1975</v>
      </c>
      <c r="P11" s="16">
        <v>3500000</v>
      </c>
      <c r="Q11" s="14">
        <f>P11*1.3</f>
        <v>4550000</v>
      </c>
      <c r="R11" s="12"/>
      <c r="S11" s="12"/>
      <c r="T11" s="12"/>
      <c r="U11" s="3"/>
      <c r="W11" s="132" t="s">
        <v>238</v>
      </c>
      <c r="X11" s="69">
        <v>5</v>
      </c>
      <c r="Y11" s="69">
        <v>37</v>
      </c>
      <c r="Z11" s="65">
        <f>19/37</f>
        <v>0.51351351351351349</v>
      </c>
      <c r="AA11" s="119">
        <v>117.6</v>
      </c>
      <c r="AB11" s="119">
        <v>109</v>
      </c>
      <c r="AC11" s="119">
        <f t="shared" si="1"/>
        <v>8.5999999999999943</v>
      </c>
      <c r="AD11" s="119">
        <v>9.1</v>
      </c>
      <c r="AE11" s="119">
        <v>24.5</v>
      </c>
      <c r="AF11" s="65">
        <v>0.59899999999999998</v>
      </c>
      <c r="AG11" s="119">
        <v>27.9</v>
      </c>
      <c r="AH11" s="119">
        <v>0.8</v>
      </c>
      <c r="AI11" s="119">
        <v>0.5</v>
      </c>
      <c r="AJ11" s="65">
        <v>0.184</v>
      </c>
      <c r="AK11" s="119">
        <v>1.7</v>
      </c>
      <c r="AL11" s="119">
        <v>-1.7</v>
      </c>
      <c r="AM11" s="119">
        <v>0.2</v>
      </c>
      <c r="AN11" s="119">
        <v>15.1</v>
      </c>
    </row>
    <row r="12" spans="1:42" x14ac:dyDescent="0.2">
      <c r="A12" s="3">
        <v>32</v>
      </c>
      <c r="B12" s="3" t="s">
        <v>1858</v>
      </c>
      <c r="C12" s="3" t="s">
        <v>247</v>
      </c>
      <c r="D12" s="105">
        <v>60</v>
      </c>
      <c r="E12" s="105">
        <v>66</v>
      </c>
      <c r="F12" s="106">
        <v>185</v>
      </c>
      <c r="G12" s="4">
        <v>33920</v>
      </c>
      <c r="H12" s="110">
        <f t="shared" ca="1" si="0"/>
        <v>28</v>
      </c>
      <c r="I12" s="3" t="s">
        <v>425</v>
      </c>
      <c r="J12" s="3">
        <v>7</v>
      </c>
      <c r="K12" s="109">
        <v>2013</v>
      </c>
      <c r="L12" s="109">
        <v>9</v>
      </c>
      <c r="M12" s="3" t="s">
        <v>1936</v>
      </c>
      <c r="N12" s="3" t="s">
        <v>495</v>
      </c>
      <c r="O12" s="3" t="s">
        <v>2451</v>
      </c>
      <c r="P12" s="16">
        <v>3174603</v>
      </c>
      <c r="Q12" s="16">
        <v>3333333</v>
      </c>
      <c r="R12" s="47">
        <v>3492063</v>
      </c>
      <c r="S12" s="14">
        <f>R12*1.9</f>
        <v>6634919.6999999993</v>
      </c>
      <c r="T12" s="12"/>
      <c r="U12" s="3"/>
      <c r="V12" t="s">
        <v>1385</v>
      </c>
      <c r="W12" s="132" t="s">
        <v>284</v>
      </c>
      <c r="X12" s="69">
        <v>1</v>
      </c>
      <c r="Y12" s="69">
        <v>25</v>
      </c>
      <c r="Z12" s="65">
        <f>13/25</f>
        <v>0.52</v>
      </c>
      <c r="AA12" s="119">
        <v>110.7</v>
      </c>
      <c r="AB12" s="119">
        <v>105.9</v>
      </c>
      <c r="AC12" s="119">
        <f t="shared" si="1"/>
        <v>4.7999999999999972</v>
      </c>
      <c r="AD12" s="119">
        <v>13.1</v>
      </c>
      <c r="AE12" s="119">
        <v>15.4</v>
      </c>
      <c r="AF12" s="65">
        <v>0.54500000000000004</v>
      </c>
      <c r="AG12" s="119">
        <v>19.3</v>
      </c>
      <c r="AH12" s="119">
        <v>0.6</v>
      </c>
      <c r="AI12" s="119">
        <v>0.2</v>
      </c>
      <c r="AJ12" s="65">
        <v>0.129</v>
      </c>
      <c r="AK12" s="119">
        <v>0.7</v>
      </c>
      <c r="AL12" s="119">
        <v>-1.1000000000000001</v>
      </c>
      <c r="AM12" s="119">
        <v>0.1</v>
      </c>
      <c r="AN12" s="119">
        <v>10.7</v>
      </c>
    </row>
    <row r="13" spans="1:42" x14ac:dyDescent="0.2">
      <c r="A13" s="3"/>
      <c r="B13" s="3" t="s">
        <v>2289</v>
      </c>
      <c r="C13" s="3" t="s">
        <v>252</v>
      </c>
      <c r="D13" s="105">
        <v>66</v>
      </c>
      <c r="E13" s="105">
        <v>610</v>
      </c>
      <c r="F13" s="106">
        <v>209</v>
      </c>
      <c r="G13" s="4">
        <v>36846</v>
      </c>
      <c r="H13" s="110">
        <f t="shared" ca="1" si="0"/>
        <v>20</v>
      </c>
      <c r="I13" s="3" t="s">
        <v>511</v>
      </c>
      <c r="J13" s="107">
        <v>1</v>
      </c>
      <c r="K13" s="109">
        <v>2020</v>
      </c>
      <c r="L13" s="109">
        <v>18</v>
      </c>
      <c r="M13" s="16" t="s">
        <v>2290</v>
      </c>
      <c r="N13" s="3" t="s">
        <v>244</v>
      </c>
      <c r="O13" s="22" t="s">
        <v>2288</v>
      </c>
      <c r="P13" s="11">
        <v>2816760</v>
      </c>
      <c r="Q13" s="11">
        <v>2957520</v>
      </c>
      <c r="R13" s="50">
        <v>3098400</v>
      </c>
      <c r="S13" s="50">
        <v>4765339</v>
      </c>
      <c r="T13" s="49">
        <f>S13*3</f>
        <v>14296017</v>
      </c>
      <c r="U13" s="3"/>
      <c r="X13" s="69"/>
      <c r="Y13" s="69"/>
      <c r="Z13" s="69"/>
      <c r="AA13" s="119"/>
      <c r="AB13" s="119"/>
      <c r="AC13" s="119"/>
      <c r="AD13" s="119"/>
      <c r="AE13" s="119"/>
      <c r="AF13" s="65"/>
      <c r="AG13" s="119"/>
      <c r="AH13" s="119"/>
      <c r="AI13" s="119"/>
      <c r="AJ13" s="65"/>
      <c r="AK13" s="119"/>
      <c r="AL13" s="119"/>
      <c r="AM13" s="119"/>
      <c r="AN13" s="119"/>
    </row>
    <row r="14" spans="1:42" x14ac:dyDescent="0.2">
      <c r="A14" s="3"/>
      <c r="B14" s="3" t="s">
        <v>137</v>
      </c>
      <c r="C14" s="2" t="s">
        <v>241</v>
      </c>
      <c r="D14" s="142">
        <v>66</v>
      </c>
      <c r="E14" s="142">
        <v>71</v>
      </c>
      <c r="F14" s="143">
        <v>195</v>
      </c>
      <c r="G14" s="4">
        <v>34688</v>
      </c>
      <c r="H14" s="110">
        <f t="shared" ca="1" si="0"/>
        <v>25.9</v>
      </c>
      <c r="I14" s="3" t="s">
        <v>637</v>
      </c>
      <c r="J14" s="3">
        <v>4</v>
      </c>
      <c r="K14" s="3">
        <v>2017</v>
      </c>
      <c r="L14" s="3">
        <v>33</v>
      </c>
      <c r="M14" s="3" t="s">
        <v>2554</v>
      </c>
      <c r="N14" s="3" t="s">
        <v>276</v>
      </c>
      <c r="O14" s="3" t="s">
        <v>2445</v>
      </c>
      <c r="P14" s="60">
        <v>1678854</v>
      </c>
      <c r="Q14" s="60">
        <v>1762796</v>
      </c>
      <c r="R14" s="234"/>
      <c r="S14" s="3"/>
      <c r="T14" s="3"/>
      <c r="U14" s="3"/>
      <c r="V14" s="3"/>
      <c r="W14" s="3" t="s">
        <v>1475</v>
      </c>
      <c r="X14" s="107">
        <v>3</v>
      </c>
      <c r="Y14" s="69">
        <v>45</v>
      </c>
      <c r="Z14" s="65">
        <f>21/45</f>
        <v>0.46666666666666667</v>
      </c>
      <c r="AA14" s="119">
        <v>103.6</v>
      </c>
      <c r="AB14" s="119">
        <v>103.2</v>
      </c>
      <c r="AC14" s="119">
        <f t="shared" ref="AC14" si="3">AA14-AB14</f>
        <v>0.39999999999999147</v>
      </c>
      <c r="AD14" s="119">
        <v>18</v>
      </c>
      <c r="AE14" s="119">
        <v>9.9</v>
      </c>
      <c r="AF14" s="65">
        <v>0.52100000000000002</v>
      </c>
      <c r="AG14" s="119">
        <v>13.1</v>
      </c>
      <c r="AH14" s="119">
        <v>0.6</v>
      </c>
      <c r="AI14" s="119">
        <v>0.8</v>
      </c>
      <c r="AJ14" s="65">
        <v>0.08</v>
      </c>
      <c r="AK14" s="119">
        <v>-3.1</v>
      </c>
      <c r="AL14" s="119">
        <v>0.2</v>
      </c>
      <c r="AM14" s="119">
        <v>-0.2</v>
      </c>
      <c r="AN14" s="119">
        <v>6.5</v>
      </c>
    </row>
    <row r="15" spans="1:42" x14ac:dyDescent="0.2">
      <c r="A15" s="3">
        <v>13</v>
      </c>
      <c r="B15" s="3" t="s">
        <v>699</v>
      </c>
      <c r="C15" s="3" t="s">
        <v>247</v>
      </c>
      <c r="D15" s="105">
        <v>61</v>
      </c>
      <c r="E15" s="105">
        <v>64</v>
      </c>
      <c r="F15" s="106">
        <v>190</v>
      </c>
      <c r="G15" s="4">
        <v>35308</v>
      </c>
      <c r="H15" s="110">
        <f t="shared" ca="1" si="0"/>
        <v>24.2</v>
      </c>
      <c r="I15" s="3" t="s">
        <v>559</v>
      </c>
      <c r="J15" s="3">
        <v>3</v>
      </c>
      <c r="K15" s="109">
        <v>2018</v>
      </c>
      <c r="L15" s="109">
        <v>33</v>
      </c>
      <c r="M15" s="3" t="s">
        <v>700</v>
      </c>
      <c r="N15" s="3" t="s">
        <v>279</v>
      </c>
      <c r="O15" s="3" t="s">
        <v>1976</v>
      </c>
      <c r="P15" s="16">
        <v>1663861</v>
      </c>
      <c r="Q15" s="15">
        <v>1802057</v>
      </c>
      <c r="R15" s="14">
        <v>1880931</v>
      </c>
      <c r="S15" s="12"/>
      <c r="T15" s="12"/>
      <c r="U15" s="26"/>
      <c r="V15" s="7"/>
      <c r="W15" t="s">
        <v>701</v>
      </c>
      <c r="X15" s="69">
        <v>1</v>
      </c>
      <c r="Y15" s="69">
        <v>57</v>
      </c>
      <c r="Z15" s="65">
        <f>34/57</f>
        <v>0.59649122807017541</v>
      </c>
      <c r="AA15" s="119">
        <v>113.2</v>
      </c>
      <c r="AB15" s="119">
        <v>105.6</v>
      </c>
      <c r="AC15" s="119">
        <f t="shared" si="1"/>
        <v>7.6000000000000085</v>
      </c>
      <c r="AD15" s="119">
        <v>17.899999999999999</v>
      </c>
      <c r="AE15" s="119">
        <v>15</v>
      </c>
      <c r="AF15" s="65">
        <v>0.55300000000000005</v>
      </c>
      <c r="AG15" s="119">
        <v>20.399999999999999</v>
      </c>
      <c r="AH15" s="119">
        <v>1.6</v>
      </c>
      <c r="AI15" s="119">
        <v>0.7</v>
      </c>
      <c r="AJ15" s="65">
        <v>0.108</v>
      </c>
      <c r="AK15" s="119">
        <v>0.1</v>
      </c>
      <c r="AL15" s="119">
        <v>-0.9</v>
      </c>
      <c r="AM15" s="119">
        <v>0.3</v>
      </c>
      <c r="AN15" s="119">
        <v>10.7</v>
      </c>
    </row>
    <row r="16" spans="1:42" x14ac:dyDescent="0.2">
      <c r="A16" s="3">
        <v>5</v>
      </c>
      <c r="B16" s="3" t="s">
        <v>35</v>
      </c>
      <c r="C16" s="3" t="s">
        <v>247</v>
      </c>
      <c r="D16" s="105">
        <v>510</v>
      </c>
      <c r="E16" s="105">
        <v>511</v>
      </c>
      <c r="F16" s="106">
        <v>180</v>
      </c>
      <c r="G16" s="4">
        <v>30859</v>
      </c>
      <c r="H16" s="110">
        <f t="shared" ca="1" si="0"/>
        <v>36.4</v>
      </c>
      <c r="I16" s="3" t="s">
        <v>697</v>
      </c>
      <c r="J16" s="3">
        <v>14</v>
      </c>
      <c r="K16" s="109">
        <v>2006</v>
      </c>
      <c r="L16" s="109"/>
      <c r="M16" s="3" t="s">
        <v>698</v>
      </c>
      <c r="N16" s="3" t="s">
        <v>276</v>
      </c>
      <c r="O16" s="3" t="s">
        <v>2438</v>
      </c>
      <c r="P16" s="60">
        <v>1620564</v>
      </c>
      <c r="Q16" s="274"/>
      <c r="R16" s="12"/>
      <c r="S16" s="154"/>
      <c r="T16" s="12"/>
      <c r="U16" s="3"/>
      <c r="W16" s="132" t="s">
        <v>284</v>
      </c>
      <c r="X16" s="69">
        <v>1</v>
      </c>
      <c r="Y16" s="69">
        <v>26</v>
      </c>
      <c r="Z16" s="65">
        <f>13/26</f>
        <v>0.5</v>
      </c>
      <c r="AA16" s="119">
        <v>113.4</v>
      </c>
      <c r="AB16" s="119">
        <v>108</v>
      </c>
      <c r="AC16" s="119">
        <f t="shared" si="1"/>
        <v>5.4000000000000057</v>
      </c>
      <c r="AD16" s="119">
        <v>15</v>
      </c>
      <c r="AE16" s="119">
        <v>14.9</v>
      </c>
      <c r="AF16" s="65">
        <v>0.51900000000000002</v>
      </c>
      <c r="AG16" s="119">
        <v>24.3</v>
      </c>
      <c r="AH16" s="119">
        <v>0.5</v>
      </c>
      <c r="AI16" s="119">
        <v>0.2</v>
      </c>
      <c r="AJ16" s="65">
        <v>8.4000000000000005E-2</v>
      </c>
      <c r="AK16" s="119">
        <v>1.8</v>
      </c>
      <c r="AL16" s="119">
        <v>-2.7</v>
      </c>
      <c r="AM16" s="119">
        <v>0.1</v>
      </c>
      <c r="AN16" s="119">
        <v>10.7</v>
      </c>
    </row>
    <row r="17" spans="1:40" x14ac:dyDescent="0.2">
      <c r="A17" s="3"/>
      <c r="B17" s="3" t="s">
        <v>2323</v>
      </c>
      <c r="C17" s="3" t="s">
        <v>2280</v>
      </c>
      <c r="D17" s="105">
        <v>63</v>
      </c>
      <c r="E17" s="105">
        <v>62</v>
      </c>
      <c r="F17" s="106">
        <v>170</v>
      </c>
      <c r="G17" s="4">
        <v>36797</v>
      </c>
      <c r="H17" s="110">
        <f t="shared" ca="1" si="0"/>
        <v>20.100000000000001</v>
      </c>
      <c r="I17" s="3" t="s">
        <v>672</v>
      </c>
      <c r="J17" s="107">
        <v>1</v>
      </c>
      <c r="K17" s="109">
        <v>2020</v>
      </c>
      <c r="L17" s="109">
        <v>31</v>
      </c>
      <c r="M17" s="54" t="s">
        <v>2324</v>
      </c>
      <c r="N17" s="22"/>
      <c r="O17" s="22"/>
      <c r="P17" s="22">
        <v>898310</v>
      </c>
      <c r="Q17" s="3"/>
      <c r="R17" s="3"/>
      <c r="S17" s="3"/>
      <c r="T17" s="3"/>
      <c r="U17" s="3"/>
      <c r="X17" s="69"/>
      <c r="Y17" s="69"/>
      <c r="Z17" s="69"/>
      <c r="AA17" s="119"/>
      <c r="AB17" s="119"/>
      <c r="AC17" s="119"/>
      <c r="AD17" s="119"/>
      <c r="AE17" s="119"/>
      <c r="AF17" s="69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 t="s">
        <v>2333</v>
      </c>
      <c r="C18" s="3" t="s">
        <v>241</v>
      </c>
      <c r="D18" s="105">
        <v>67</v>
      </c>
      <c r="E18" s="105">
        <v>71</v>
      </c>
      <c r="F18" s="106">
        <v>216</v>
      </c>
      <c r="G18" s="4">
        <v>35836</v>
      </c>
      <c r="H18" s="110">
        <f t="shared" ca="1" si="0"/>
        <v>22.7</v>
      </c>
      <c r="I18" s="3" t="s">
        <v>411</v>
      </c>
      <c r="J18" s="107">
        <v>1</v>
      </c>
      <c r="K18" s="109">
        <v>2020</v>
      </c>
      <c r="L18" s="109">
        <v>36</v>
      </c>
      <c r="M18" s="54" t="s">
        <v>2359</v>
      </c>
      <c r="N18" s="22" t="s">
        <v>288</v>
      </c>
      <c r="O18" s="22" t="s">
        <v>2516</v>
      </c>
      <c r="P18" s="22" t="s">
        <v>288</v>
      </c>
      <c r="Q18" s="34"/>
      <c r="R18" s="237"/>
      <c r="S18" s="237"/>
      <c r="T18" s="237"/>
      <c r="U18" s="3"/>
      <c r="X18" s="69"/>
      <c r="Y18" s="69"/>
      <c r="Z18" s="69"/>
      <c r="AA18" s="119"/>
      <c r="AB18" s="119"/>
      <c r="AC18" s="119"/>
      <c r="AD18" s="119"/>
      <c r="AE18" s="119"/>
      <c r="AF18" s="69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A19" s="3"/>
      <c r="B19" s="3" t="s">
        <v>2646</v>
      </c>
      <c r="C19" s="3" t="s">
        <v>252</v>
      </c>
      <c r="D19" s="105">
        <v>65</v>
      </c>
      <c r="E19" s="105">
        <v>69</v>
      </c>
      <c r="F19" s="106">
        <v>210</v>
      </c>
      <c r="G19" s="4">
        <v>36319</v>
      </c>
      <c r="H19" s="110">
        <f t="shared" ca="1" si="0"/>
        <v>21.4</v>
      </c>
      <c r="I19" s="3" t="s">
        <v>1360</v>
      </c>
      <c r="J19" s="3">
        <v>1</v>
      </c>
      <c r="K19" s="109">
        <v>2020</v>
      </c>
      <c r="L19" s="109"/>
      <c r="M19" s="3" t="s">
        <v>2436</v>
      </c>
      <c r="N19" s="22" t="s">
        <v>288</v>
      </c>
      <c r="O19" s="22" t="s">
        <v>2516</v>
      </c>
      <c r="P19" s="22" t="s">
        <v>288</v>
      </c>
      <c r="Q19" s="34"/>
      <c r="R19" s="16"/>
      <c r="S19" s="12"/>
      <c r="T19" s="12"/>
      <c r="U19" s="26"/>
      <c r="V19" s="7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19"/>
      <c r="AI19" s="119"/>
      <c r="AJ19" s="65"/>
      <c r="AK19" s="119"/>
      <c r="AL19" s="119"/>
      <c r="AM19" s="119"/>
      <c r="AN19" s="119"/>
    </row>
    <row r="20" spans="1:40" x14ac:dyDescent="0.2">
      <c r="A20" s="3"/>
      <c r="B20" s="3" t="s">
        <v>290</v>
      </c>
      <c r="C20" s="3"/>
      <c r="D20" s="105"/>
      <c r="E20" s="105"/>
      <c r="F20" s="106"/>
      <c r="G20" s="3"/>
      <c r="H20" s="110"/>
      <c r="I20" s="3"/>
      <c r="J20" s="3"/>
      <c r="K20" s="57"/>
      <c r="L20" s="54"/>
      <c r="M20" s="54"/>
      <c r="N20" s="54"/>
      <c r="O20" s="54"/>
      <c r="P20" s="3"/>
      <c r="Q20" s="3"/>
      <c r="R20" s="3"/>
      <c r="S20" s="3"/>
      <c r="T20" s="3"/>
      <c r="U20" s="3"/>
      <c r="X20" s="69"/>
      <c r="Y20" s="69"/>
      <c r="Z20" s="69"/>
      <c r="AA20" s="119"/>
      <c r="AB20" s="119"/>
      <c r="AC20" s="119"/>
      <c r="AD20" s="119"/>
      <c r="AE20" s="119"/>
      <c r="AF20" s="65"/>
      <c r="AG20" s="119"/>
      <c r="AH20" s="119"/>
      <c r="AI20" s="119"/>
      <c r="AJ20" s="65"/>
      <c r="AK20" s="119"/>
      <c r="AL20" s="119"/>
      <c r="AM20" s="119"/>
      <c r="AN20" s="119"/>
    </row>
    <row r="21" spans="1:40" x14ac:dyDescent="0.2">
      <c r="A21" s="3"/>
      <c r="B21" s="5"/>
      <c r="C21" s="3"/>
      <c r="D21" s="3"/>
      <c r="E21" s="3"/>
      <c r="F21" s="3"/>
      <c r="G21" s="3"/>
      <c r="H21" s="110"/>
      <c r="I21" s="3"/>
      <c r="J21" s="107"/>
      <c r="K21" s="109"/>
      <c r="L21" s="109"/>
      <c r="M21" s="54"/>
      <c r="N21" s="22"/>
      <c r="O21" s="22"/>
      <c r="P21" s="179"/>
      <c r="Q21" s="3"/>
      <c r="R21" s="3"/>
      <c r="S21" s="3"/>
      <c r="T21" s="3"/>
      <c r="U21" s="3"/>
      <c r="X21" s="69"/>
      <c r="Y21" s="69"/>
      <c r="Z21" s="69"/>
      <c r="AA21" s="119"/>
      <c r="AB21" s="119"/>
      <c r="AC21" s="119"/>
      <c r="AD21" s="119"/>
      <c r="AE21" s="119"/>
      <c r="AF21" s="69"/>
      <c r="AG21" s="119"/>
      <c r="AH21" s="119"/>
      <c r="AI21" s="119"/>
      <c r="AJ21" s="65"/>
      <c r="AK21" s="119"/>
      <c r="AL21" s="119"/>
      <c r="AM21" s="119"/>
      <c r="AN21" s="119"/>
    </row>
    <row r="22" spans="1:40" x14ac:dyDescent="0.2">
      <c r="A22" s="3">
        <v>1</v>
      </c>
      <c r="B22" s="3" t="s">
        <v>33</v>
      </c>
      <c r="C22" s="3" t="s">
        <v>252</v>
      </c>
      <c r="D22" s="105">
        <v>65</v>
      </c>
      <c r="E22" s="105">
        <v>67</v>
      </c>
      <c r="F22" s="106">
        <v>215</v>
      </c>
      <c r="G22" s="4">
        <v>31323</v>
      </c>
      <c r="H22" s="110">
        <f ca="1">ROUNDDOWN(YEARFRAC($G$27,G22),1)</f>
        <v>35.1</v>
      </c>
      <c r="I22" s="3" t="s">
        <v>669</v>
      </c>
      <c r="J22" s="3">
        <v>12</v>
      </c>
      <c r="K22" s="109">
        <v>2008</v>
      </c>
      <c r="L22" s="109">
        <v>22</v>
      </c>
      <c r="M22" s="3" t="s">
        <v>665</v>
      </c>
      <c r="N22" s="3"/>
      <c r="O22" s="11"/>
      <c r="P22" s="14">
        <v>19139505</v>
      </c>
      <c r="Q22" s="53"/>
      <c r="R22" s="12"/>
      <c r="S22" s="12"/>
      <c r="T22" s="12"/>
      <c r="U22" s="3"/>
      <c r="V22" s="3"/>
      <c r="W22" t="s">
        <v>670</v>
      </c>
      <c r="X22" s="69">
        <v>3</v>
      </c>
      <c r="Y22" s="69">
        <v>24</v>
      </c>
      <c r="Z22" s="65">
        <f>15/24</f>
        <v>0.625</v>
      </c>
      <c r="AA22" s="119">
        <v>116.8</v>
      </c>
      <c r="AB22" s="119">
        <v>110.1</v>
      </c>
      <c r="AC22" s="119">
        <f t="shared" ref="AC22:AC24" si="4">AA22-AB22</f>
        <v>6.7000000000000028</v>
      </c>
      <c r="AD22" s="119">
        <v>14.4</v>
      </c>
      <c r="AE22" s="119">
        <v>10.9</v>
      </c>
      <c r="AF22" s="65">
        <v>0.629</v>
      </c>
      <c r="AG22" s="119">
        <v>11.9</v>
      </c>
      <c r="AH22" s="119">
        <v>0.3</v>
      </c>
      <c r="AI22" s="119">
        <v>0.4</v>
      </c>
      <c r="AJ22" s="65">
        <v>9.8000000000000004E-2</v>
      </c>
      <c r="AK22" s="119">
        <v>-2.1</v>
      </c>
      <c r="AL22" s="119">
        <v>1.6</v>
      </c>
      <c r="AM22" s="119">
        <v>0.1</v>
      </c>
      <c r="AN22" s="119">
        <v>5.2</v>
      </c>
    </row>
    <row r="23" spans="1:40" x14ac:dyDescent="0.2">
      <c r="A23" s="3">
        <v>9</v>
      </c>
      <c r="B23" s="3" t="s">
        <v>36</v>
      </c>
      <c r="C23" s="3" t="s">
        <v>234</v>
      </c>
      <c r="D23" s="105">
        <v>66</v>
      </c>
      <c r="E23" s="105">
        <v>70</v>
      </c>
      <c r="F23" s="106">
        <v>232</v>
      </c>
      <c r="G23" s="4">
        <v>34238</v>
      </c>
      <c r="H23" s="110">
        <f ca="1">ROUNDDOWN(YEARFRAC($G$27,G23),1)</f>
        <v>27.1</v>
      </c>
      <c r="I23" s="3" t="s">
        <v>266</v>
      </c>
      <c r="J23" s="3">
        <v>8</v>
      </c>
      <c r="K23" s="109">
        <v>2012</v>
      </c>
      <c r="L23" s="109">
        <v>2</v>
      </c>
      <c r="M23" s="3" t="s">
        <v>702</v>
      </c>
      <c r="N23" s="3"/>
      <c r="O23" s="3"/>
      <c r="P23" s="14">
        <v>1620564</v>
      </c>
      <c r="Q23" s="53"/>
      <c r="R23" s="12"/>
      <c r="S23" s="12"/>
      <c r="T23" s="12"/>
      <c r="U23" s="3"/>
      <c r="W23" t="s">
        <v>703</v>
      </c>
      <c r="X23" s="69">
        <v>4</v>
      </c>
      <c r="Y23" s="69">
        <v>9</v>
      </c>
      <c r="Z23" s="65">
        <f>6/9</f>
        <v>0.66666666666666663</v>
      </c>
      <c r="AA23" s="119">
        <v>92.2</v>
      </c>
      <c r="AB23" s="119">
        <v>103.2</v>
      </c>
      <c r="AC23" s="119">
        <f t="shared" si="4"/>
        <v>-11</v>
      </c>
      <c r="AD23" s="119">
        <v>7.9</v>
      </c>
      <c r="AE23" s="119">
        <v>-0.1</v>
      </c>
      <c r="AF23" s="65">
        <v>0.254</v>
      </c>
      <c r="AG23" s="119">
        <v>8.4</v>
      </c>
      <c r="AH23" s="119">
        <v>-0.2</v>
      </c>
      <c r="AI23" s="119">
        <v>0.1</v>
      </c>
      <c r="AJ23" s="65">
        <v>-5.5E-2</v>
      </c>
      <c r="AK23" s="119">
        <v>-9.6999999999999993</v>
      </c>
      <c r="AL23" s="119">
        <v>0.8</v>
      </c>
      <c r="AM23" s="119">
        <v>-0.1</v>
      </c>
      <c r="AN23" s="119">
        <v>0.9</v>
      </c>
    </row>
    <row r="24" spans="1:40" x14ac:dyDescent="0.2">
      <c r="A24" s="3">
        <v>3</v>
      </c>
      <c r="B24" s="3" t="s">
        <v>704</v>
      </c>
      <c r="C24" s="3" t="s">
        <v>241</v>
      </c>
      <c r="D24" s="105">
        <v>65</v>
      </c>
      <c r="E24" s="105">
        <v>611</v>
      </c>
      <c r="F24" s="106">
        <v>195</v>
      </c>
      <c r="G24" s="4">
        <v>34367</v>
      </c>
      <c r="H24" s="110">
        <f ca="1">ROUNDDOWN(YEARFRAC($G$27,G24),1)</f>
        <v>26.8</v>
      </c>
      <c r="I24" s="3" t="s">
        <v>705</v>
      </c>
      <c r="J24" s="3">
        <v>2</v>
      </c>
      <c r="K24" s="109">
        <v>2017</v>
      </c>
      <c r="L24" s="109"/>
      <c r="M24" s="3" t="s">
        <v>706</v>
      </c>
      <c r="N24" s="3"/>
      <c r="O24" s="3"/>
      <c r="P24" s="68">
        <v>1416852</v>
      </c>
      <c r="Q24" s="53"/>
      <c r="R24" s="12"/>
      <c r="S24" s="12"/>
      <c r="T24" s="12"/>
      <c r="U24" s="3"/>
      <c r="W24" t="s">
        <v>707</v>
      </c>
      <c r="X24" s="69">
        <v>3</v>
      </c>
      <c r="Y24" s="69">
        <v>6</v>
      </c>
      <c r="Z24" s="65">
        <f>4/6</f>
        <v>0.66666666666666663</v>
      </c>
      <c r="AA24" s="119">
        <v>97.9</v>
      </c>
      <c r="AB24" s="119">
        <v>123.9</v>
      </c>
      <c r="AC24" s="119">
        <f t="shared" si="4"/>
        <v>-26</v>
      </c>
      <c r="AD24" s="119">
        <v>3.7</v>
      </c>
      <c r="AE24" s="119">
        <v>2.9</v>
      </c>
      <c r="AF24" s="65">
        <v>0.36299999999999999</v>
      </c>
      <c r="AG24" s="119">
        <v>15.3</v>
      </c>
      <c r="AH24" s="119">
        <v>-0.1</v>
      </c>
      <c r="AI24" s="119">
        <v>0</v>
      </c>
      <c r="AJ24" s="65">
        <v>-7.3999999999999996E-2</v>
      </c>
      <c r="AK24" s="119">
        <v>-8.9</v>
      </c>
      <c r="AL24" s="119">
        <v>0.7</v>
      </c>
      <c r="AM24" s="119">
        <v>0</v>
      </c>
      <c r="AN24" s="119">
        <v>1.6</v>
      </c>
    </row>
    <row r="25" spans="1:40" x14ac:dyDescent="0.2">
      <c r="A25" s="3">
        <v>23</v>
      </c>
      <c r="B25" s="3" t="s">
        <v>708</v>
      </c>
      <c r="C25" s="3" t="s">
        <v>252</v>
      </c>
      <c r="D25" s="105">
        <v>64</v>
      </c>
      <c r="E25" s="105">
        <v>67</v>
      </c>
      <c r="F25" s="106">
        <v>214</v>
      </c>
      <c r="G25" s="4">
        <v>35585</v>
      </c>
      <c r="H25" s="110">
        <f ca="1">ROUNDDOWN(YEARFRAC($G$27,G25),1)</f>
        <v>23.4</v>
      </c>
      <c r="I25" s="3" t="s">
        <v>709</v>
      </c>
      <c r="J25" s="3">
        <v>1</v>
      </c>
      <c r="K25" s="109">
        <v>2019</v>
      </c>
      <c r="L25" s="109"/>
      <c r="M25" s="3" t="s">
        <v>710</v>
      </c>
      <c r="N25" s="3"/>
      <c r="O25" s="3"/>
      <c r="P25" s="68">
        <v>1416852</v>
      </c>
      <c r="Q25" s="12"/>
      <c r="R25" s="12"/>
      <c r="S25" s="12"/>
      <c r="T25" s="12"/>
      <c r="U25" s="3"/>
      <c r="X25" s="69"/>
      <c r="Y25" s="69"/>
      <c r="Z25" s="65"/>
      <c r="AA25" s="119"/>
      <c r="AB25" s="119"/>
      <c r="AC25" s="119"/>
      <c r="AD25" s="119"/>
      <c r="AE25" s="119"/>
      <c r="AF25" s="65"/>
      <c r="AG25" s="119"/>
      <c r="AH25" s="119"/>
      <c r="AI25" s="119"/>
      <c r="AJ25" s="65"/>
      <c r="AK25" s="119"/>
      <c r="AL25" s="119"/>
      <c r="AM25" s="119"/>
      <c r="AN25" s="119"/>
    </row>
    <row r="26" spans="1:40" x14ac:dyDescent="0.2">
      <c r="A26" s="3"/>
      <c r="B26" s="3"/>
      <c r="C26" s="3"/>
      <c r="D26" s="3"/>
      <c r="E26" s="3"/>
      <c r="F26" s="3"/>
      <c r="G26" s="3"/>
      <c r="H26" s="110"/>
      <c r="I26" s="3"/>
      <c r="J26" s="107"/>
      <c r="K26" s="109"/>
      <c r="L26" s="109"/>
      <c r="M26" s="54"/>
      <c r="N26" s="22"/>
      <c r="O26" s="22"/>
      <c r="P26" s="179"/>
      <c r="Q26" s="3"/>
      <c r="R26" s="3"/>
      <c r="S26" s="3"/>
      <c r="T26" s="3"/>
      <c r="U26" s="3"/>
      <c r="X26" s="69"/>
      <c r="Y26" s="69"/>
      <c r="Z26" s="69"/>
      <c r="AA26" s="119"/>
      <c r="AB26" s="119"/>
      <c r="AC26" s="119"/>
      <c r="AD26" s="119"/>
      <c r="AE26" s="119"/>
      <c r="AF26" s="69"/>
      <c r="AG26" s="119"/>
      <c r="AH26" s="119"/>
      <c r="AI26" s="119"/>
      <c r="AJ26" s="65"/>
      <c r="AK26" s="119"/>
      <c r="AL26" s="119"/>
      <c r="AM26" s="119"/>
      <c r="AN26" s="119"/>
    </row>
    <row r="27" spans="1:40" x14ac:dyDescent="0.2">
      <c r="A27" s="3"/>
      <c r="B27" s="3"/>
      <c r="C27" s="3"/>
      <c r="D27" s="3"/>
      <c r="E27" s="4"/>
      <c r="F27" s="36"/>
      <c r="G27" s="4">
        <f ca="1">TODAY()</f>
        <v>44162</v>
      </c>
      <c r="H27" s="36">
        <f ca="1">AVERAGE(H2:H17)</f>
        <v>27.256249999999998</v>
      </c>
      <c r="I27" s="3"/>
      <c r="J27" s="36">
        <f>AVERAGE(J2:J17)</f>
        <v>5.8125</v>
      </c>
      <c r="K27" s="54"/>
      <c r="L27" s="54"/>
      <c r="M27" s="54"/>
      <c r="N27" s="54"/>
      <c r="O27" s="54"/>
      <c r="P27" s="3"/>
      <c r="Q27" s="3"/>
      <c r="R27" s="3"/>
      <c r="S27" s="3"/>
      <c r="T27" s="3"/>
      <c r="U27" s="3"/>
      <c r="X27" s="69"/>
      <c r="Y27" s="69"/>
      <c r="Z27" s="69"/>
      <c r="AA27" s="119"/>
      <c r="AB27" s="119"/>
      <c r="AC27" s="119"/>
      <c r="AD27" s="119"/>
      <c r="AE27" s="119"/>
      <c r="AF27" s="69"/>
      <c r="AG27" s="119"/>
      <c r="AH27" s="119"/>
      <c r="AI27" s="119"/>
      <c r="AJ27" s="65"/>
      <c r="AK27" s="119"/>
      <c r="AL27" s="119"/>
      <c r="AM27" s="119"/>
      <c r="AN27" s="119"/>
    </row>
    <row r="28" spans="1:40" x14ac:dyDescent="0.2">
      <c r="A28" s="3"/>
      <c r="B28" s="3"/>
      <c r="C28" s="3"/>
      <c r="D28" s="3"/>
      <c r="E28" s="4"/>
      <c r="F28" s="36"/>
      <c r="G28" s="4"/>
      <c r="H28" s="36">
        <f ca="1">MEDIAN(H2:H17)</f>
        <v>27.35</v>
      </c>
      <c r="I28" s="3"/>
      <c r="J28" s="36">
        <f>MEDIAN(J2:J17)</f>
        <v>6</v>
      </c>
      <c r="K28" s="54"/>
      <c r="L28" s="54"/>
      <c r="M28" s="54"/>
      <c r="N28" s="54"/>
      <c r="O28" s="54"/>
      <c r="P28" s="3"/>
      <c r="Q28" s="3"/>
      <c r="R28" s="3"/>
      <c r="S28" s="3"/>
      <c r="T28" s="3"/>
      <c r="U28" s="3"/>
      <c r="X28" s="69"/>
      <c r="Y28" s="69"/>
      <c r="Z28" s="69"/>
      <c r="AA28" s="119"/>
      <c r="AB28" s="119"/>
      <c r="AC28" s="119"/>
      <c r="AD28" s="119"/>
      <c r="AE28" s="119"/>
      <c r="AF28" s="69"/>
      <c r="AG28" s="119"/>
      <c r="AH28" s="119"/>
      <c r="AI28" s="119"/>
      <c r="AJ28" s="65"/>
      <c r="AK28" s="119"/>
      <c r="AL28" s="119"/>
      <c r="AM28" s="119"/>
      <c r="AN28" s="119"/>
    </row>
    <row r="29" spans="1:40" x14ac:dyDescent="0.2">
      <c r="A29" s="3"/>
      <c r="B29" s="5" t="s">
        <v>1985</v>
      </c>
      <c r="C29" s="3"/>
      <c r="D29" s="3"/>
      <c r="E29" s="3"/>
      <c r="F29" s="3"/>
      <c r="G29" s="3"/>
      <c r="H29" s="36"/>
      <c r="I29" s="3"/>
      <c r="J29" s="107"/>
      <c r="K29" s="16"/>
      <c r="L29" s="16"/>
      <c r="M29" s="54"/>
      <c r="N29" s="54"/>
      <c r="O29" s="16"/>
      <c r="P29" s="29">
        <f>SUM(P2:P20)</f>
        <v>126263289</v>
      </c>
      <c r="Q29" s="11"/>
      <c r="R29" s="3"/>
      <c r="S29" s="3"/>
      <c r="T29" s="3"/>
      <c r="U29" s="3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5"/>
      <c r="AK29" s="119"/>
      <c r="AL29" s="119"/>
      <c r="AM29" s="119"/>
      <c r="AN29" s="119"/>
    </row>
    <row r="30" spans="1:40" x14ac:dyDescent="0.2">
      <c r="A30" s="3"/>
      <c r="B30" s="3" t="s">
        <v>1876</v>
      </c>
      <c r="C30" s="3">
        <v>16</v>
      </c>
      <c r="D30" s="3"/>
      <c r="E30" s="3"/>
      <c r="F30" s="3"/>
      <c r="G30" s="3"/>
      <c r="H30" s="3"/>
      <c r="I30" s="3"/>
      <c r="J30" s="3"/>
      <c r="K30" s="54"/>
      <c r="L30" s="16"/>
      <c r="M30" s="54"/>
      <c r="N30" s="54"/>
      <c r="O30" s="16"/>
      <c r="P30" s="29"/>
      <c r="Q30" s="11"/>
      <c r="R30" s="3"/>
      <c r="S30" s="3"/>
      <c r="T30" s="3"/>
      <c r="U30" s="3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119"/>
      <c r="AL30" s="119"/>
      <c r="AM30" s="119"/>
      <c r="AN30" s="119"/>
    </row>
    <row r="31" spans="1:40" x14ac:dyDescent="0.2">
      <c r="A31" s="3"/>
      <c r="B31" s="3" t="s">
        <v>2457</v>
      </c>
      <c r="C31" s="3">
        <v>0</v>
      </c>
      <c r="D31" s="3"/>
      <c r="E31" s="3"/>
      <c r="F31" s="3"/>
      <c r="G31" s="3"/>
      <c r="H31" s="3"/>
      <c r="I31" s="3"/>
      <c r="J31" s="3"/>
      <c r="K31" s="54"/>
      <c r="L31" s="16"/>
      <c r="M31" s="54"/>
      <c r="N31" s="54"/>
      <c r="O31" s="3" t="s">
        <v>292</v>
      </c>
      <c r="P31" s="22" t="e">
        <f>#REF!</f>
        <v>#REF!</v>
      </c>
      <c r="Q31" s="3"/>
      <c r="R31" s="3"/>
      <c r="S31" s="3"/>
      <c r="T31" s="3"/>
      <c r="U31" s="3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119"/>
      <c r="AL31" s="119"/>
      <c r="AM31" s="119"/>
      <c r="AN31" s="119"/>
    </row>
    <row r="32" spans="1:40" x14ac:dyDescent="0.2">
      <c r="A32" s="3"/>
      <c r="B32" s="3" t="s">
        <v>2539</v>
      </c>
      <c r="C32" s="3">
        <v>2</v>
      </c>
      <c r="D32" s="3"/>
      <c r="E32" s="3"/>
      <c r="F32" s="3"/>
      <c r="G32" s="3"/>
      <c r="H32" s="3"/>
      <c r="I32" s="3"/>
      <c r="J32" s="4"/>
      <c r="K32" s="3"/>
      <c r="L32" s="16"/>
      <c r="M32" s="54"/>
      <c r="N32" s="54"/>
      <c r="O32" s="22" t="s">
        <v>294</v>
      </c>
      <c r="P32" s="22" t="e">
        <f>#REF!</f>
        <v>#REF!</v>
      </c>
      <c r="Q32" s="3"/>
      <c r="R32" s="3"/>
      <c r="S32" s="3"/>
      <c r="T32" s="3"/>
      <c r="U32" s="3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119"/>
      <c r="AL32" s="119"/>
      <c r="AM32" s="119"/>
      <c r="AN32" s="119"/>
    </row>
    <row r="33" spans="1:40" x14ac:dyDescent="0.2">
      <c r="A33" s="3"/>
      <c r="B33" s="24" t="s">
        <v>495</v>
      </c>
      <c r="C33" s="22">
        <f>9258000-P9-P12</f>
        <v>2083397</v>
      </c>
      <c r="D33" s="3"/>
      <c r="E33" s="3"/>
      <c r="F33" s="3"/>
      <c r="G33" s="3"/>
      <c r="H33" s="3"/>
      <c r="I33" s="3"/>
      <c r="J33" s="3"/>
      <c r="K33" s="54"/>
      <c r="L33" s="54"/>
      <c r="M33" s="54"/>
      <c r="N33" s="54"/>
      <c r="O33" s="22" t="s">
        <v>2637</v>
      </c>
      <c r="P33" s="22">
        <v>138928000</v>
      </c>
      <c r="Q33" s="3"/>
      <c r="R33" s="3"/>
      <c r="S33" s="3"/>
      <c r="T33" s="3"/>
      <c r="U33" s="3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119"/>
      <c r="AL33" s="119"/>
      <c r="AM33" s="119"/>
      <c r="AN33" s="119"/>
    </row>
    <row r="34" spans="1:40" x14ac:dyDescent="0.2">
      <c r="A34" s="3"/>
      <c r="B34" s="24" t="s">
        <v>293</v>
      </c>
      <c r="C34" s="22">
        <v>0</v>
      </c>
      <c r="D34" s="3"/>
      <c r="E34" s="3"/>
      <c r="F34" s="3"/>
      <c r="G34" s="3"/>
      <c r="H34" s="3"/>
      <c r="I34" s="3"/>
      <c r="J34" s="3"/>
      <c r="K34" s="57"/>
      <c r="L34" s="54"/>
      <c r="M34" s="54"/>
      <c r="N34" s="54"/>
      <c r="O34" s="22"/>
      <c r="P34" s="11"/>
      <c r="Q34" s="3"/>
      <c r="R34" s="3"/>
      <c r="S34" s="3"/>
      <c r="T34" s="3"/>
      <c r="U34" s="3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119"/>
      <c r="AL34" s="119"/>
      <c r="AM34" s="119"/>
      <c r="AN34" s="119"/>
    </row>
    <row r="35" spans="1:40" x14ac:dyDescent="0.2">
      <c r="A35" s="3"/>
      <c r="B35" s="3" t="s">
        <v>295</v>
      </c>
      <c r="C35" s="22">
        <v>0</v>
      </c>
      <c r="D35" s="3"/>
      <c r="E35" s="3"/>
      <c r="F35" s="3"/>
      <c r="G35" s="3"/>
      <c r="H35" s="3"/>
      <c r="I35" s="3"/>
      <c r="J35" s="3"/>
      <c r="K35" s="57"/>
      <c r="L35" s="54"/>
      <c r="M35" s="54"/>
      <c r="N35" s="54"/>
      <c r="O35" s="22"/>
      <c r="P35" s="11"/>
      <c r="Q35" s="3"/>
      <c r="R35" s="3"/>
      <c r="S35" s="3"/>
      <c r="T35" s="3"/>
      <c r="U35" s="3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119"/>
      <c r="AL35" s="119"/>
      <c r="AM35" s="119"/>
      <c r="AN35" s="119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22"/>
      <c r="K36" s="22"/>
      <c r="L36" s="3"/>
      <c r="M36" s="3"/>
      <c r="N36" s="54"/>
      <c r="O36" s="3"/>
      <c r="P36" s="3"/>
      <c r="Q36" s="3"/>
      <c r="R36" s="3"/>
      <c r="S36" s="3"/>
      <c r="T36" s="3"/>
      <c r="U36" s="3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119"/>
      <c r="AL36" s="119"/>
      <c r="AM36" s="119"/>
      <c r="AN36" s="119"/>
    </row>
    <row r="37" spans="1:40" x14ac:dyDescent="0.2">
      <c r="A37" s="3"/>
      <c r="B37" s="5" t="s">
        <v>1875</v>
      </c>
      <c r="C37" s="3"/>
      <c r="D37" s="3"/>
      <c r="E37" s="3"/>
      <c r="F37" s="3"/>
      <c r="G37" s="3"/>
      <c r="H37" s="3"/>
      <c r="I37" s="3"/>
      <c r="J37" s="22"/>
      <c r="K37" s="22"/>
      <c r="L37" s="3"/>
      <c r="M37" s="3"/>
      <c r="N37" s="3"/>
      <c r="O37" s="3"/>
      <c r="P37" s="3"/>
      <c r="Q37" s="3"/>
      <c r="R37" s="3"/>
      <c r="S37" s="3"/>
      <c r="T37" s="3"/>
      <c r="U37" s="3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</row>
    <row r="38" spans="1:40" x14ac:dyDescent="0.2">
      <c r="A38" s="3"/>
      <c r="B38" s="3" t="s">
        <v>296</v>
      </c>
      <c r="C38" s="41">
        <f>43/(43+32)</f>
        <v>0.57333333333333336</v>
      </c>
      <c r="D38" s="3" t="s">
        <v>711</v>
      </c>
      <c r="E38" s="3"/>
      <c r="F38" s="3"/>
      <c r="G38" s="3"/>
      <c r="H38" s="3"/>
      <c r="I38" s="3"/>
      <c r="J38" s="3"/>
      <c r="K38" s="22"/>
      <c r="L38" s="3"/>
      <c r="M38" s="3"/>
      <c r="N38" s="3"/>
      <c r="O38" s="3"/>
      <c r="P38" s="3"/>
      <c r="Q38" s="3"/>
      <c r="R38" s="3"/>
      <c r="S38" s="3"/>
      <c r="T38" s="3"/>
      <c r="U38" s="3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</row>
    <row r="39" spans="1:40" x14ac:dyDescent="0.2">
      <c r="A39" s="3"/>
      <c r="B39" s="3" t="s">
        <v>298</v>
      </c>
      <c r="C39" s="110">
        <v>115.9</v>
      </c>
      <c r="D39" s="3" t="s">
        <v>1977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</row>
    <row r="40" spans="1:40" x14ac:dyDescent="0.2">
      <c r="A40" s="3"/>
      <c r="B40" s="3" t="s">
        <v>299</v>
      </c>
      <c r="C40" s="110">
        <v>111.2</v>
      </c>
      <c r="D40" s="3" t="s">
        <v>1958</v>
      </c>
      <c r="E40" s="3"/>
      <c r="F40" s="3"/>
      <c r="N40" s="3"/>
      <c r="O40" s="3"/>
      <c r="P40" s="3"/>
    </row>
    <row r="41" spans="1:40" x14ac:dyDescent="0.2">
      <c r="A41" s="3"/>
      <c r="B41" s="3" t="s">
        <v>300</v>
      </c>
      <c r="C41" s="110">
        <v>4.8</v>
      </c>
      <c r="D41" s="3" t="s">
        <v>1978</v>
      </c>
      <c r="E41" s="3"/>
      <c r="F41" s="3"/>
      <c r="O41" s="3"/>
      <c r="P41" s="3"/>
    </row>
    <row r="42" spans="1:40" x14ac:dyDescent="0.2">
      <c r="A42" s="3"/>
      <c r="B42" s="3" t="s">
        <v>301</v>
      </c>
      <c r="C42" s="36">
        <v>99.89</v>
      </c>
      <c r="D42" s="3" t="s">
        <v>1958</v>
      </c>
      <c r="E42" s="3"/>
      <c r="F42" s="3"/>
      <c r="O42" s="3"/>
      <c r="P42" s="3"/>
    </row>
    <row r="43" spans="1:40" x14ac:dyDescent="0.2">
      <c r="B43" s="3"/>
      <c r="C43" s="3"/>
      <c r="D43" s="3"/>
      <c r="E43" s="3"/>
    </row>
    <row r="44" spans="1:40" x14ac:dyDescent="0.2">
      <c r="B44" s="2" t="s">
        <v>302</v>
      </c>
      <c r="C44" s="3"/>
      <c r="D44" s="3"/>
      <c r="E44" s="3"/>
    </row>
    <row r="45" spans="1:40" x14ac:dyDescent="0.2">
      <c r="B45" s="2" t="s">
        <v>2007</v>
      </c>
      <c r="C45" s="3"/>
      <c r="D45" s="3"/>
      <c r="E45" s="3"/>
    </row>
    <row r="46" spans="1:40" x14ac:dyDescent="0.2">
      <c r="B46" s="10"/>
      <c r="C46" s="3"/>
      <c r="D46" s="3"/>
      <c r="E46" s="3"/>
    </row>
    <row r="47" spans="1:40" x14ac:dyDescent="0.2">
      <c r="B47" s="2" t="s">
        <v>310</v>
      </c>
      <c r="C47" s="3"/>
      <c r="D47" s="3"/>
      <c r="E47" s="3"/>
    </row>
    <row r="48" spans="1:40" x14ac:dyDescent="0.2">
      <c r="B48" s="2" t="s">
        <v>713</v>
      </c>
      <c r="C48" s="3"/>
      <c r="D48" s="3"/>
      <c r="E48" s="3"/>
    </row>
    <row r="49" spans="2:9" x14ac:dyDescent="0.2">
      <c r="B49" s="2" t="s">
        <v>1951</v>
      </c>
      <c r="C49" s="3"/>
      <c r="D49" s="3"/>
      <c r="E49" s="3"/>
    </row>
    <row r="50" spans="2:9" x14ac:dyDescent="0.2">
      <c r="B50" s="2"/>
      <c r="C50" s="3"/>
      <c r="D50" s="3"/>
      <c r="E50" s="3"/>
    </row>
    <row r="51" spans="2:9" x14ac:dyDescent="0.2">
      <c r="B51" s="5" t="s">
        <v>1989</v>
      </c>
      <c r="C51" s="3"/>
      <c r="D51" s="3"/>
      <c r="E51" s="3"/>
    </row>
    <row r="52" spans="2:9" x14ac:dyDescent="0.2">
      <c r="B52" s="39" t="s">
        <v>314</v>
      </c>
      <c r="C52" s="3">
        <v>43</v>
      </c>
      <c r="D52" s="3">
        <v>32</v>
      </c>
      <c r="E52" s="3" t="s">
        <v>711</v>
      </c>
      <c r="G52" t="s">
        <v>712</v>
      </c>
      <c r="I52" t="s">
        <v>2114</v>
      </c>
    </row>
    <row r="53" spans="2:9" x14ac:dyDescent="0.2">
      <c r="B53" s="39" t="s">
        <v>317</v>
      </c>
      <c r="C53" s="3">
        <v>33</v>
      </c>
      <c r="D53" s="3">
        <v>49</v>
      </c>
      <c r="E53" s="3" t="s">
        <v>714</v>
      </c>
      <c r="G53" t="s">
        <v>712</v>
      </c>
      <c r="I53" s="141" t="s">
        <v>316</v>
      </c>
    </row>
    <row r="54" spans="2:9" x14ac:dyDescent="0.2">
      <c r="B54" s="39" t="s">
        <v>319</v>
      </c>
      <c r="C54" s="3">
        <v>24</v>
      </c>
      <c r="D54" s="3">
        <v>58</v>
      </c>
      <c r="E54" s="3" t="s">
        <v>715</v>
      </c>
      <c r="G54" t="s">
        <v>712</v>
      </c>
      <c r="I54" s="141" t="s">
        <v>316</v>
      </c>
    </row>
    <row r="55" spans="2:9" x14ac:dyDescent="0.2">
      <c r="B55" s="39" t="s">
        <v>322</v>
      </c>
      <c r="C55" s="3">
        <v>33</v>
      </c>
      <c r="D55" s="3">
        <v>49</v>
      </c>
      <c r="E55" s="3" t="s">
        <v>716</v>
      </c>
      <c r="G55" t="s">
        <v>712</v>
      </c>
      <c r="I55" s="141" t="s">
        <v>316</v>
      </c>
    </row>
    <row r="56" spans="2:9" x14ac:dyDescent="0.2">
      <c r="B56" s="39" t="s">
        <v>325</v>
      </c>
      <c r="C56" s="3">
        <v>42</v>
      </c>
      <c r="D56" s="3">
        <v>40</v>
      </c>
      <c r="E56" s="3" t="s">
        <v>717</v>
      </c>
      <c r="G56" t="s">
        <v>712</v>
      </c>
      <c r="I56" t="s">
        <v>718</v>
      </c>
    </row>
    <row r="57" spans="2:9" x14ac:dyDescent="0.2">
      <c r="B57" s="39" t="s">
        <v>328</v>
      </c>
      <c r="C57" s="3">
        <v>50</v>
      </c>
      <c r="D57" s="3">
        <v>32</v>
      </c>
      <c r="E57" s="3" t="s">
        <v>711</v>
      </c>
      <c r="G57" t="s">
        <v>712</v>
      </c>
      <c r="I57" t="s">
        <v>719</v>
      </c>
    </row>
    <row r="58" spans="2:9" x14ac:dyDescent="0.2">
      <c r="B58" s="39" t="s">
        <v>331</v>
      </c>
      <c r="C58" s="3">
        <v>49</v>
      </c>
      <c r="D58" s="3">
        <v>33</v>
      </c>
      <c r="E58" s="3" t="s">
        <v>720</v>
      </c>
      <c r="G58" t="s">
        <v>712</v>
      </c>
      <c r="I58" t="s">
        <v>721</v>
      </c>
    </row>
    <row r="59" spans="2:9" x14ac:dyDescent="0.2">
      <c r="B59" s="39" t="s">
        <v>334</v>
      </c>
      <c r="C59" s="3">
        <v>41</v>
      </c>
      <c r="D59" s="3">
        <v>41</v>
      </c>
      <c r="E59" s="3" t="s">
        <v>722</v>
      </c>
      <c r="G59" t="s">
        <v>712</v>
      </c>
      <c r="I59" s="141" t="s">
        <v>316</v>
      </c>
    </row>
    <row r="60" spans="2:9" x14ac:dyDescent="0.2">
      <c r="B60" s="39" t="s">
        <v>338</v>
      </c>
      <c r="C60" s="3">
        <v>36</v>
      </c>
      <c r="D60" s="3">
        <v>30</v>
      </c>
      <c r="E60" s="3" t="s">
        <v>711</v>
      </c>
      <c r="G60" t="s">
        <v>712</v>
      </c>
      <c r="I60" t="s">
        <v>723</v>
      </c>
    </row>
    <row r="61" spans="2:9" x14ac:dyDescent="0.2">
      <c r="B61" s="39" t="s">
        <v>340</v>
      </c>
      <c r="C61" s="3">
        <v>57</v>
      </c>
      <c r="D61" s="3">
        <v>25</v>
      </c>
      <c r="E61" s="3" t="s">
        <v>724</v>
      </c>
      <c r="G61" t="s">
        <v>712</v>
      </c>
      <c r="I61" t="s">
        <v>725</v>
      </c>
    </row>
    <row r="62" spans="2:9" x14ac:dyDescent="0.2">
      <c r="B62" s="3" t="s">
        <v>342</v>
      </c>
      <c r="C62" s="3">
        <f>SUM(C52:C61)</f>
        <v>408</v>
      </c>
      <c r="D62" s="3">
        <f>SUM(D52:D61)</f>
        <v>389</v>
      </c>
      <c r="E62" s="41">
        <f>C62/(C62+D62)</f>
        <v>0.51191969887076538</v>
      </c>
    </row>
    <row r="63" spans="2:9" x14ac:dyDescent="0.2">
      <c r="B63" s="3"/>
      <c r="C63" s="3"/>
      <c r="D63" s="3"/>
      <c r="E63" s="41"/>
    </row>
  </sheetData>
  <pageMargins left="0.7" right="0.7" top="0.75" bottom="0.75" header="0.3" footer="0.3"/>
  <ignoredErrors>
    <ignoredError sqref="J27:J28" formulaRange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B103-C282-DA4C-B14E-849F4773FBAF}">
  <dimension ref="A1:AO64"/>
  <sheetViews>
    <sheetView zoomScaleNormal="100" workbookViewId="0"/>
  </sheetViews>
  <sheetFormatPr baseColWidth="10" defaultColWidth="11" defaultRowHeight="16" x14ac:dyDescent="0.2"/>
  <cols>
    <col min="1" max="1" width="5.1640625" customWidth="1"/>
    <col min="2" max="2" width="19" customWidth="1"/>
    <col min="3" max="3" width="11.5" customWidth="1"/>
    <col min="4" max="4" width="9.1640625" customWidth="1"/>
    <col min="5" max="5" width="10.83203125" customWidth="1"/>
    <col min="6" max="6" width="8.33203125" customWidth="1"/>
    <col min="7" max="7" width="8.6640625" customWidth="1"/>
    <col min="8" max="8" width="6.1640625" customWidth="1"/>
    <col min="9" max="9" width="25" customWidth="1"/>
    <col min="10" max="11" width="11.1640625" customWidth="1"/>
    <col min="12" max="12" width="5.6640625" customWidth="1"/>
    <col min="13" max="13" width="25.1640625" customWidth="1"/>
    <col min="14" max="14" width="15.1640625" customWidth="1"/>
    <col min="15" max="15" width="49.83203125" bestFit="1" customWidth="1"/>
    <col min="16" max="16" width="13.5" customWidth="1"/>
    <col min="17" max="17" width="12.83203125" customWidth="1"/>
    <col min="18" max="18" width="12" customWidth="1"/>
    <col min="19" max="19" width="12.6640625" customWidth="1"/>
    <col min="20" max="20" width="12.5" customWidth="1"/>
    <col min="21" max="21" width="12.33203125" bestFit="1" customWidth="1"/>
    <col min="22" max="22" width="181.5" customWidth="1"/>
    <col min="23" max="23" width="29" customWidth="1"/>
    <col min="24" max="24" width="9.6640625" customWidth="1"/>
    <col min="25" max="25" width="3.83203125" customWidth="1"/>
    <col min="26" max="26" width="8.1640625" customWidth="1"/>
    <col min="27" max="27" width="6.1640625" customWidth="1"/>
    <col min="28" max="28" width="5.83203125" customWidth="1"/>
    <col min="29" max="29" width="7.5" customWidth="1"/>
    <col min="30" max="30" width="5.1640625" customWidth="1"/>
    <col min="31" max="31" width="4.6640625" customWidth="1"/>
    <col min="32" max="32" width="5.83203125" customWidth="1"/>
    <col min="33" max="33" width="7.83203125" customWidth="1"/>
    <col min="34" max="34" width="5.1640625" customWidth="1"/>
    <col min="35" max="35" width="5" customWidth="1"/>
    <col min="36" max="36" width="6.6640625" customWidth="1"/>
    <col min="37" max="37" width="6" customWidth="1"/>
    <col min="38" max="38" width="6.1640625" customWidth="1"/>
    <col min="39" max="39" width="5.6640625" customWidth="1"/>
    <col min="40" max="40" width="5.1640625" customWidth="1"/>
  </cols>
  <sheetData>
    <row r="1" spans="1:41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</row>
    <row r="2" spans="1:41" x14ac:dyDescent="0.2">
      <c r="A2" s="3">
        <v>15</v>
      </c>
      <c r="B2" s="3" t="s">
        <v>200</v>
      </c>
      <c r="C2" s="3" t="s">
        <v>234</v>
      </c>
      <c r="D2" s="105">
        <v>70</v>
      </c>
      <c r="E2" s="105">
        <v>73</v>
      </c>
      <c r="F2" s="106">
        <v>284</v>
      </c>
      <c r="G2" s="4">
        <v>34749</v>
      </c>
      <c r="H2" s="110">
        <f t="shared" ref="H2:H18" ca="1" si="0">ROUNDDOWN(YEARFRAC($G$24,G2),1)</f>
        <v>25.7</v>
      </c>
      <c r="I2" s="3" t="s">
        <v>576</v>
      </c>
      <c r="J2" s="3">
        <v>6</v>
      </c>
      <c r="K2" s="109">
        <v>2014</v>
      </c>
      <c r="L2" s="109">
        <v>41</v>
      </c>
      <c r="M2" s="3" t="s">
        <v>1844</v>
      </c>
      <c r="N2" s="3" t="s">
        <v>1</v>
      </c>
      <c r="O2" s="3" t="s">
        <v>1960</v>
      </c>
      <c r="P2" s="11">
        <v>29542010</v>
      </c>
      <c r="Q2" s="11">
        <v>31579390</v>
      </c>
      <c r="R2" s="11">
        <v>33616770</v>
      </c>
      <c r="S2" s="14">
        <v>41343750</v>
      </c>
      <c r="T2" s="3"/>
      <c r="U2" s="3"/>
      <c r="V2" s="3" t="s">
        <v>1845</v>
      </c>
      <c r="W2" s="136" t="s">
        <v>238</v>
      </c>
      <c r="X2" s="69">
        <v>5</v>
      </c>
      <c r="Y2" s="69">
        <v>65</v>
      </c>
      <c r="Z2" s="65">
        <f>43/65</f>
        <v>0.66153846153846152</v>
      </c>
      <c r="AA2" s="119">
        <v>112.9</v>
      </c>
      <c r="AB2" s="119">
        <v>107.7</v>
      </c>
      <c r="AC2" s="119">
        <f t="shared" ref="AC2:AC16" si="1">AA2-AB2</f>
        <v>5.2000000000000028</v>
      </c>
      <c r="AD2" s="119">
        <v>32.299999999999997</v>
      </c>
      <c r="AE2" s="119">
        <v>25</v>
      </c>
      <c r="AF2" s="65">
        <v>0.60399999999999998</v>
      </c>
      <c r="AG2" s="119">
        <v>26.6</v>
      </c>
      <c r="AH2" s="119">
        <v>6</v>
      </c>
      <c r="AI2" s="119">
        <v>3.2</v>
      </c>
      <c r="AJ2" s="65">
        <v>0.20899999999999999</v>
      </c>
      <c r="AK2" s="119">
        <v>5.4</v>
      </c>
      <c r="AL2" s="119">
        <v>2.2999999999999998</v>
      </c>
      <c r="AM2" s="119">
        <v>5.0999999999999996</v>
      </c>
      <c r="AN2" s="119">
        <v>18.2</v>
      </c>
    </row>
    <row r="3" spans="1:41" x14ac:dyDescent="0.2">
      <c r="A3" s="3">
        <v>27</v>
      </c>
      <c r="B3" s="3" t="s">
        <v>736</v>
      </c>
      <c r="C3" s="3" t="s">
        <v>230</v>
      </c>
      <c r="D3" s="105">
        <v>64</v>
      </c>
      <c r="E3" s="105">
        <v>67</v>
      </c>
      <c r="F3" s="106">
        <v>215</v>
      </c>
      <c r="G3" s="4">
        <v>35484</v>
      </c>
      <c r="H3" s="110">
        <f t="shared" ca="1" si="0"/>
        <v>23.7</v>
      </c>
      <c r="I3" s="3" t="s">
        <v>266</v>
      </c>
      <c r="J3" s="3">
        <v>5</v>
      </c>
      <c r="K3" s="109">
        <v>2016</v>
      </c>
      <c r="L3" s="109">
        <v>7</v>
      </c>
      <c r="M3" s="3" t="s">
        <v>737</v>
      </c>
      <c r="N3" s="3" t="s">
        <v>1</v>
      </c>
      <c r="O3" s="3" t="s">
        <v>1963</v>
      </c>
      <c r="P3" s="11">
        <f>0.25*109140000</f>
        <v>27285000</v>
      </c>
      <c r="Q3" s="11">
        <f>P3+(0.08*$P$3)</f>
        <v>29467800</v>
      </c>
      <c r="R3" s="11">
        <f t="shared" ref="R3:T3" si="2">Q3+(0.08*$P$3)</f>
        <v>31650600</v>
      </c>
      <c r="S3" s="11">
        <f t="shared" si="2"/>
        <v>33833400</v>
      </c>
      <c r="T3" s="11">
        <f t="shared" si="2"/>
        <v>36016200</v>
      </c>
      <c r="U3" s="14">
        <v>43411200</v>
      </c>
      <c r="V3" s="3"/>
      <c r="W3" s="135" t="s">
        <v>738</v>
      </c>
      <c r="X3" s="69">
        <v>1</v>
      </c>
      <c r="Y3" s="69">
        <v>55</v>
      </c>
      <c r="Z3" s="65">
        <f>37/55</f>
        <v>0.67272727272727273</v>
      </c>
      <c r="AA3" s="119">
        <v>112.9</v>
      </c>
      <c r="AB3" s="119">
        <v>107</v>
      </c>
      <c r="AC3" s="119">
        <f t="shared" si="1"/>
        <v>5.9000000000000057</v>
      </c>
      <c r="AD3" s="119">
        <v>32.799999999999997</v>
      </c>
      <c r="AE3" s="119">
        <v>17.5</v>
      </c>
      <c r="AF3" s="65">
        <v>0.55900000000000005</v>
      </c>
      <c r="AG3" s="119">
        <v>25.2</v>
      </c>
      <c r="AH3" s="119">
        <v>2.5</v>
      </c>
      <c r="AI3" s="119">
        <v>1.6</v>
      </c>
      <c r="AJ3" s="65">
        <v>0.111</v>
      </c>
      <c r="AK3" s="119">
        <v>1.8</v>
      </c>
      <c r="AL3" s="119">
        <v>-0.7</v>
      </c>
      <c r="AM3" s="119">
        <v>1.4</v>
      </c>
      <c r="AN3" s="119">
        <v>12</v>
      </c>
    </row>
    <row r="4" spans="1:41" x14ac:dyDescent="0.2">
      <c r="A4" s="3">
        <v>14</v>
      </c>
      <c r="B4" s="3" t="s">
        <v>201</v>
      </c>
      <c r="C4" s="3" t="s">
        <v>252</v>
      </c>
      <c r="D4" s="105">
        <v>64</v>
      </c>
      <c r="E4" s="105">
        <v>67</v>
      </c>
      <c r="F4" s="106">
        <v>210</v>
      </c>
      <c r="G4" s="4">
        <v>34591</v>
      </c>
      <c r="H4" s="110">
        <f t="shared" ca="1" si="0"/>
        <v>26.2</v>
      </c>
      <c r="I4" s="3" t="s">
        <v>489</v>
      </c>
      <c r="J4" s="3">
        <v>7</v>
      </c>
      <c r="K4" s="109">
        <v>2014</v>
      </c>
      <c r="L4" s="109">
        <v>19</v>
      </c>
      <c r="M4" s="3" t="s">
        <v>728</v>
      </c>
      <c r="N4" s="3" t="s">
        <v>1</v>
      </c>
      <c r="O4" s="3" t="s">
        <v>1961</v>
      </c>
      <c r="P4" s="11">
        <f>19160714+350000</f>
        <v>19510714</v>
      </c>
      <c r="Q4" s="11">
        <f>20482143+350000</f>
        <v>20832143</v>
      </c>
      <c r="R4" s="14">
        <f>Q4*1.5</f>
        <v>31248214.5</v>
      </c>
      <c r="S4" s="12"/>
      <c r="T4" s="12"/>
      <c r="U4" s="12"/>
      <c r="V4" s="3" t="s">
        <v>2120</v>
      </c>
      <c r="W4" s="135" t="s">
        <v>729</v>
      </c>
      <c r="X4" s="69">
        <v>2</v>
      </c>
      <c r="Y4" s="69">
        <v>56</v>
      </c>
      <c r="Z4" s="65">
        <f>37/56</f>
        <v>0.6607142857142857</v>
      </c>
      <c r="AA4" s="119">
        <v>110.5</v>
      </c>
      <c r="AB4" s="119">
        <v>107.1</v>
      </c>
      <c r="AC4" s="119">
        <f t="shared" si="1"/>
        <v>3.4000000000000057</v>
      </c>
      <c r="AD4" s="119">
        <v>31.8</v>
      </c>
      <c r="AE4" s="119">
        <v>9.6999999999999993</v>
      </c>
      <c r="AF4" s="65">
        <v>0.51900000000000002</v>
      </c>
      <c r="AG4" s="119">
        <v>15.1</v>
      </c>
      <c r="AH4" s="119">
        <v>0.5</v>
      </c>
      <c r="AI4" s="119">
        <v>1.7</v>
      </c>
      <c r="AJ4" s="65">
        <v>5.8999999999999997E-2</v>
      </c>
      <c r="AK4" s="119">
        <v>-2.8</v>
      </c>
      <c r="AL4" s="119">
        <v>0.4</v>
      </c>
      <c r="AM4" s="119">
        <v>-0.2</v>
      </c>
      <c r="AN4" s="119">
        <v>6.2</v>
      </c>
    </row>
    <row r="5" spans="1:41" x14ac:dyDescent="0.2">
      <c r="A5" s="3">
        <v>5</v>
      </c>
      <c r="B5" s="3" t="s">
        <v>730</v>
      </c>
      <c r="C5" s="3" t="s">
        <v>252</v>
      </c>
      <c r="D5" s="105">
        <v>65</v>
      </c>
      <c r="E5" s="105">
        <v>610</v>
      </c>
      <c r="F5" s="106">
        <v>181</v>
      </c>
      <c r="G5" s="4">
        <v>33244</v>
      </c>
      <c r="H5" s="110">
        <f t="shared" ca="1" si="0"/>
        <v>29.8</v>
      </c>
      <c r="I5" s="3" t="s">
        <v>223</v>
      </c>
      <c r="J5" s="3">
        <v>9</v>
      </c>
      <c r="K5" s="109">
        <v>2012</v>
      </c>
      <c r="L5" s="109">
        <v>40</v>
      </c>
      <c r="M5" s="3" t="s">
        <v>731</v>
      </c>
      <c r="N5" s="3" t="s">
        <v>1</v>
      </c>
      <c r="O5" s="3" t="s">
        <v>1954</v>
      </c>
      <c r="P5" s="11">
        <v>13723214</v>
      </c>
      <c r="Q5" s="47">
        <v>14669642</v>
      </c>
      <c r="R5" s="14">
        <f>Q5*1.5</f>
        <v>22004463</v>
      </c>
      <c r="S5" s="12"/>
      <c r="T5" s="12"/>
      <c r="U5" s="12"/>
      <c r="V5" s="3"/>
      <c r="W5" s="135" t="s">
        <v>732</v>
      </c>
      <c r="X5" s="69">
        <v>3</v>
      </c>
      <c r="Y5" s="69">
        <v>58</v>
      </c>
      <c r="Z5" s="65">
        <f>38/58</f>
        <v>0.65517241379310343</v>
      </c>
      <c r="AA5" s="119">
        <v>112.7</v>
      </c>
      <c r="AB5" s="119">
        <v>106.9</v>
      </c>
      <c r="AC5" s="119">
        <f t="shared" si="1"/>
        <v>5.7999999999999972</v>
      </c>
      <c r="AD5" s="119">
        <v>33</v>
      </c>
      <c r="AE5" s="119">
        <v>15.7</v>
      </c>
      <c r="AF5" s="65">
        <v>0.54900000000000004</v>
      </c>
      <c r="AG5" s="119">
        <v>20</v>
      </c>
      <c r="AH5" s="119">
        <v>2.4</v>
      </c>
      <c r="AI5" s="119">
        <v>2.1</v>
      </c>
      <c r="AJ5" s="65">
        <v>0.113</v>
      </c>
      <c r="AK5" s="119">
        <v>1.2</v>
      </c>
      <c r="AL5" s="119">
        <v>-0.1</v>
      </c>
      <c r="AM5" s="119">
        <v>1.5</v>
      </c>
      <c r="AN5" s="119">
        <v>10.9</v>
      </c>
    </row>
    <row r="6" spans="1:41" x14ac:dyDescent="0.2">
      <c r="A6" s="3">
        <v>4</v>
      </c>
      <c r="B6" s="3" t="s">
        <v>37</v>
      </c>
      <c r="C6" s="3" t="s">
        <v>234</v>
      </c>
      <c r="D6" s="105">
        <v>67</v>
      </c>
      <c r="E6" s="105">
        <v>72</v>
      </c>
      <c r="F6" s="106">
        <v>257</v>
      </c>
      <c r="G6" s="4">
        <v>31088</v>
      </c>
      <c r="H6" s="110">
        <f t="shared" ca="1" si="0"/>
        <v>35.700000000000003</v>
      </c>
      <c r="I6" s="3" t="s">
        <v>726</v>
      </c>
      <c r="J6" s="3">
        <v>15</v>
      </c>
      <c r="K6" s="109">
        <v>2006</v>
      </c>
      <c r="L6" s="109">
        <v>48</v>
      </c>
      <c r="M6" s="3" t="s">
        <v>2523</v>
      </c>
      <c r="N6" s="3" t="s">
        <v>1</v>
      </c>
      <c r="O6" s="3" t="s">
        <v>2524</v>
      </c>
      <c r="P6" s="16">
        <v>10000000</v>
      </c>
      <c r="Q6" s="14">
        <f>P6*1.5</f>
        <v>15000000</v>
      </c>
      <c r="R6" s="237"/>
      <c r="S6" s="12"/>
      <c r="T6" s="12"/>
      <c r="U6" s="12"/>
      <c r="V6" s="3" t="s">
        <v>2573</v>
      </c>
      <c r="W6" s="135" t="s">
        <v>727</v>
      </c>
      <c r="X6" s="69">
        <v>4</v>
      </c>
      <c r="Y6" s="69">
        <v>44</v>
      </c>
      <c r="Z6" s="65">
        <f>27/44</f>
        <v>0.61363636363636365</v>
      </c>
      <c r="AA6" s="119">
        <v>113.5</v>
      </c>
      <c r="AB6" s="119">
        <v>102.2</v>
      </c>
      <c r="AC6" s="119">
        <f t="shared" si="1"/>
        <v>11.299999999999997</v>
      </c>
      <c r="AD6" s="119">
        <v>24.4</v>
      </c>
      <c r="AE6" s="119">
        <v>17.7</v>
      </c>
      <c r="AF6" s="65">
        <v>0.59799999999999998</v>
      </c>
      <c r="AG6" s="119">
        <v>20.3</v>
      </c>
      <c r="AH6" s="119">
        <v>2</v>
      </c>
      <c r="AI6" s="119">
        <v>1.4</v>
      </c>
      <c r="AJ6" s="65">
        <v>0.151</v>
      </c>
      <c r="AK6" s="119">
        <v>0.6</v>
      </c>
      <c r="AL6" s="119">
        <v>0</v>
      </c>
      <c r="AM6" s="119">
        <v>0.7</v>
      </c>
      <c r="AN6" s="119">
        <v>10.8</v>
      </c>
    </row>
    <row r="7" spans="1:41" x14ac:dyDescent="0.2">
      <c r="A7" s="3"/>
      <c r="B7" s="3" t="s">
        <v>74</v>
      </c>
      <c r="C7" s="3" t="s">
        <v>234</v>
      </c>
      <c r="D7" s="105">
        <v>68</v>
      </c>
      <c r="E7" s="105">
        <v>73</v>
      </c>
      <c r="F7" s="106">
        <v>227</v>
      </c>
      <c r="G7" s="4">
        <v>33045</v>
      </c>
      <c r="H7" s="110">
        <f t="shared" ca="1" si="0"/>
        <v>30.4</v>
      </c>
      <c r="I7" s="3" t="s">
        <v>1028</v>
      </c>
      <c r="J7" s="3">
        <v>7</v>
      </c>
      <c r="K7" s="109">
        <v>2012</v>
      </c>
      <c r="L7" s="109"/>
      <c r="M7" s="3" t="s">
        <v>2485</v>
      </c>
      <c r="N7" s="3" t="s">
        <v>495</v>
      </c>
      <c r="O7" s="3" t="s">
        <v>2486</v>
      </c>
      <c r="P7" s="16">
        <f>9258000-P12</f>
        <v>7199760</v>
      </c>
      <c r="Q7" s="16">
        <f>P7*1.05</f>
        <v>7559748</v>
      </c>
      <c r="R7" s="14">
        <f>Q7*1.3</f>
        <v>9827672.4000000004</v>
      </c>
      <c r="S7" s="12"/>
      <c r="T7" s="59"/>
      <c r="U7" s="59"/>
      <c r="W7" t="s">
        <v>1029</v>
      </c>
      <c r="X7" s="69">
        <v>4</v>
      </c>
      <c r="Y7" s="69">
        <v>55</v>
      </c>
      <c r="Z7" s="65">
        <f>38/55</f>
        <v>0.69090909090909092</v>
      </c>
      <c r="AA7" s="119">
        <v>110.5</v>
      </c>
      <c r="AB7" s="119">
        <v>105.2</v>
      </c>
      <c r="AC7" s="119">
        <f t="shared" si="1"/>
        <v>5.2999999999999972</v>
      </c>
      <c r="AD7" s="119">
        <v>20.5</v>
      </c>
      <c r="AE7" s="119">
        <v>10.8</v>
      </c>
      <c r="AF7" s="65">
        <v>0.55400000000000005</v>
      </c>
      <c r="AG7" s="119">
        <v>13.5</v>
      </c>
      <c r="AH7" s="119">
        <v>0.8</v>
      </c>
      <c r="AI7" s="119">
        <v>1.8</v>
      </c>
      <c r="AJ7" s="65">
        <v>0.111</v>
      </c>
      <c r="AK7" s="119">
        <v>-1.4</v>
      </c>
      <c r="AL7" s="119">
        <v>0.6</v>
      </c>
      <c r="AM7" s="119">
        <v>0.3</v>
      </c>
      <c r="AN7" s="119">
        <v>8.1999999999999993</v>
      </c>
    </row>
    <row r="8" spans="1:41" x14ac:dyDescent="0.2">
      <c r="A8" s="3">
        <v>1</v>
      </c>
      <c r="B8" s="3" t="s">
        <v>739</v>
      </c>
      <c r="C8" s="3" t="s">
        <v>241</v>
      </c>
      <c r="D8" s="105">
        <v>610</v>
      </c>
      <c r="E8" s="105">
        <v>70</v>
      </c>
      <c r="F8" s="106">
        <v>218</v>
      </c>
      <c r="G8" s="4">
        <v>35975</v>
      </c>
      <c r="H8" s="110">
        <f t="shared" ca="1" si="0"/>
        <v>22.4</v>
      </c>
      <c r="I8" s="3" t="s">
        <v>740</v>
      </c>
      <c r="J8" s="3">
        <v>3</v>
      </c>
      <c r="K8" s="109">
        <v>2018</v>
      </c>
      <c r="L8" s="109">
        <v>14</v>
      </c>
      <c r="M8" s="3" t="s">
        <v>741</v>
      </c>
      <c r="N8" s="3" t="s">
        <v>244</v>
      </c>
      <c r="O8" s="3" t="s">
        <v>1942</v>
      </c>
      <c r="P8" s="11">
        <v>3550800</v>
      </c>
      <c r="Q8" s="50">
        <v>5258735</v>
      </c>
      <c r="R8" s="49">
        <f>Q8*3</f>
        <v>15776205</v>
      </c>
      <c r="S8" s="12"/>
      <c r="T8" s="12"/>
      <c r="U8" s="12"/>
      <c r="V8" s="3"/>
      <c r="W8" s="135" t="s">
        <v>742</v>
      </c>
      <c r="X8" s="69">
        <v>4</v>
      </c>
      <c r="Y8" s="69">
        <v>48</v>
      </c>
      <c r="Z8" s="65">
        <f>33/48</f>
        <v>0.6875</v>
      </c>
      <c r="AA8" s="119">
        <v>111.8</v>
      </c>
      <c r="AB8" s="119">
        <v>111.1</v>
      </c>
      <c r="AC8" s="119">
        <f t="shared" si="1"/>
        <v>0.70000000000000284</v>
      </c>
      <c r="AD8" s="119">
        <v>14</v>
      </c>
      <c r="AE8" s="119">
        <v>18.5</v>
      </c>
      <c r="AF8" s="65">
        <v>0.58899999999999997</v>
      </c>
      <c r="AG8" s="119">
        <v>22</v>
      </c>
      <c r="AH8" s="119">
        <v>1</v>
      </c>
      <c r="AI8" s="119">
        <v>0.9</v>
      </c>
      <c r="AJ8" s="65">
        <v>0.14099999999999999</v>
      </c>
      <c r="AK8" s="119">
        <v>1.4</v>
      </c>
      <c r="AL8" s="119">
        <v>-0.7</v>
      </c>
      <c r="AM8" s="119">
        <v>0.5</v>
      </c>
      <c r="AN8" s="119">
        <v>11.5</v>
      </c>
    </row>
    <row r="9" spans="1:41" x14ac:dyDescent="0.2">
      <c r="B9" s="3" t="s">
        <v>2435</v>
      </c>
      <c r="C9" s="3" t="s">
        <v>247</v>
      </c>
      <c r="D9" s="105">
        <v>511</v>
      </c>
      <c r="F9" s="106">
        <v>195</v>
      </c>
      <c r="G9" s="62">
        <v>33292</v>
      </c>
      <c r="H9" s="110">
        <f t="shared" ca="1" si="0"/>
        <v>29.7</v>
      </c>
      <c r="I9" s="3" t="s">
        <v>682</v>
      </c>
      <c r="J9" s="3">
        <v>1</v>
      </c>
      <c r="K9" s="109">
        <v>2013</v>
      </c>
      <c r="L9" s="109"/>
      <c r="M9" s="16" t="s">
        <v>2436</v>
      </c>
      <c r="N9" s="16" t="s">
        <v>514</v>
      </c>
      <c r="O9" s="16" t="s">
        <v>2508</v>
      </c>
      <c r="P9" s="11">
        <f>3000000</f>
        <v>3000000</v>
      </c>
      <c r="Q9" s="11">
        <f>P9*1.05</f>
        <v>3150000</v>
      </c>
      <c r="R9" s="49">
        <f>Q9*1.3</f>
        <v>4095000</v>
      </c>
      <c r="S9" s="11"/>
      <c r="T9" s="3"/>
      <c r="U9" s="3"/>
      <c r="V9" s="3"/>
      <c r="W9" s="135"/>
      <c r="X9" s="69"/>
      <c r="Y9" s="69"/>
      <c r="Z9" s="65"/>
      <c r="AA9" s="119"/>
      <c r="AB9" s="119"/>
      <c r="AC9" s="119"/>
      <c r="AD9" s="119"/>
      <c r="AE9" s="119"/>
      <c r="AF9" s="65"/>
      <c r="AG9" s="119"/>
      <c r="AH9" s="123"/>
      <c r="AI9" s="123"/>
      <c r="AJ9" s="124"/>
      <c r="AK9" s="123"/>
      <c r="AL9" s="123"/>
      <c r="AM9" s="123"/>
      <c r="AN9" s="123"/>
    </row>
    <row r="10" spans="1:41" x14ac:dyDescent="0.2">
      <c r="B10" s="155" t="s">
        <v>2303</v>
      </c>
      <c r="C10" s="3" t="s">
        <v>241</v>
      </c>
      <c r="D10" s="105">
        <v>611</v>
      </c>
      <c r="E10" s="105">
        <v>71</v>
      </c>
      <c r="F10" s="106">
        <v>240</v>
      </c>
      <c r="G10" s="62">
        <v>36900</v>
      </c>
      <c r="H10" s="110">
        <f t="shared" ca="1" si="0"/>
        <v>19.8</v>
      </c>
      <c r="I10" s="3" t="s">
        <v>511</v>
      </c>
      <c r="J10" s="3">
        <v>1</v>
      </c>
      <c r="K10" s="229">
        <v>2020</v>
      </c>
      <c r="L10" s="109">
        <v>22</v>
      </c>
      <c r="M10" s="16" t="s">
        <v>2302</v>
      </c>
      <c r="N10" s="16" t="s">
        <v>244</v>
      </c>
      <c r="O10" s="16" t="s">
        <v>2301</v>
      </c>
      <c r="P10" s="11">
        <v>2379840</v>
      </c>
      <c r="Q10" s="11">
        <v>2498760</v>
      </c>
      <c r="R10" s="50">
        <v>2617800</v>
      </c>
      <c r="S10" s="50">
        <f>R10*1.645</f>
        <v>4306281</v>
      </c>
      <c r="T10" s="49">
        <f>S10*3</f>
        <v>12918843</v>
      </c>
      <c r="V10" s="7"/>
      <c r="W10" s="135"/>
      <c r="X10" s="134"/>
      <c r="Y10" s="134"/>
      <c r="Z10" s="124"/>
      <c r="AA10" s="119"/>
      <c r="AB10" s="119"/>
      <c r="AC10" s="119"/>
      <c r="AD10" s="119"/>
      <c r="AE10" s="119"/>
      <c r="AF10" s="65"/>
      <c r="AG10" s="119"/>
      <c r="AH10" s="119"/>
      <c r="AI10" s="119"/>
      <c r="AJ10" s="65"/>
      <c r="AK10" s="119"/>
      <c r="AL10" s="119"/>
      <c r="AM10" s="119"/>
      <c r="AN10" s="119"/>
    </row>
    <row r="11" spans="1:41" x14ac:dyDescent="0.2">
      <c r="A11" s="59"/>
      <c r="B11" s="3" t="s">
        <v>2307</v>
      </c>
      <c r="C11" s="59" t="s">
        <v>252</v>
      </c>
      <c r="D11" s="105">
        <v>65</v>
      </c>
      <c r="E11" s="105">
        <v>67</v>
      </c>
      <c r="F11" s="106">
        <v>185</v>
      </c>
      <c r="G11" s="4">
        <v>36929</v>
      </c>
      <c r="H11" s="110">
        <f t="shared" ca="1" si="0"/>
        <v>19.8</v>
      </c>
      <c r="I11" s="59" t="s">
        <v>2308</v>
      </c>
      <c r="J11" s="59">
        <v>1</v>
      </c>
      <c r="K11" s="59">
        <v>2020</v>
      </c>
      <c r="L11" s="59">
        <v>24</v>
      </c>
      <c r="M11" s="59" t="s">
        <v>2309</v>
      </c>
      <c r="N11" s="59" t="s">
        <v>244</v>
      </c>
      <c r="O11" s="59" t="s">
        <v>2304</v>
      </c>
      <c r="P11" s="11">
        <v>2193480</v>
      </c>
      <c r="Q11" s="11">
        <v>2303040</v>
      </c>
      <c r="R11" s="50">
        <v>2412840</v>
      </c>
      <c r="S11" s="50">
        <f>R11*1.749</f>
        <v>4220057.16</v>
      </c>
      <c r="T11" s="49">
        <f>S11*3</f>
        <v>12660171.48</v>
      </c>
      <c r="U11" s="59"/>
      <c r="V11" s="59"/>
      <c r="W11" s="59"/>
      <c r="X11" s="69"/>
      <c r="Y11" s="69"/>
      <c r="Z11" s="65"/>
      <c r="AA11" s="119"/>
      <c r="AB11" s="119"/>
      <c r="AC11" s="119"/>
      <c r="AD11" s="119"/>
      <c r="AE11" s="119"/>
      <c r="AF11" s="65"/>
      <c r="AG11" s="119"/>
      <c r="AH11" s="119"/>
      <c r="AI11" s="119"/>
      <c r="AJ11" s="65"/>
      <c r="AK11" s="119"/>
      <c r="AL11" s="119"/>
      <c r="AM11" s="119"/>
      <c r="AN11" s="119"/>
    </row>
    <row r="12" spans="1:41" x14ac:dyDescent="0.2">
      <c r="A12" s="3">
        <v>10</v>
      </c>
      <c r="B12" s="3" t="s">
        <v>762</v>
      </c>
      <c r="C12" s="3" t="s">
        <v>234</v>
      </c>
      <c r="D12" s="105">
        <v>72</v>
      </c>
      <c r="E12" s="105">
        <v>78</v>
      </c>
      <c r="F12" s="106">
        <v>220</v>
      </c>
      <c r="G12" s="4">
        <v>36480</v>
      </c>
      <c r="H12" s="110">
        <f t="shared" ca="1" si="0"/>
        <v>21</v>
      </c>
      <c r="I12" s="3" t="s">
        <v>763</v>
      </c>
      <c r="J12" s="3">
        <v>2</v>
      </c>
      <c r="K12" s="109">
        <v>2019</v>
      </c>
      <c r="L12" s="109">
        <v>44</v>
      </c>
      <c r="M12" s="3" t="s">
        <v>764</v>
      </c>
      <c r="N12" s="3" t="s">
        <v>495</v>
      </c>
      <c r="O12" s="3" t="s">
        <v>2615</v>
      </c>
      <c r="P12" s="175">
        <v>2058240</v>
      </c>
      <c r="Q12" s="175">
        <v>2161152</v>
      </c>
      <c r="R12" s="52"/>
      <c r="S12" s="12"/>
      <c r="T12" s="12"/>
      <c r="U12" s="12"/>
      <c r="V12" s="3"/>
      <c r="W12" s="135"/>
      <c r="X12" s="69"/>
      <c r="Y12" s="69"/>
      <c r="Z12" s="65"/>
      <c r="AA12" s="119"/>
      <c r="AB12" s="119"/>
      <c r="AC12" s="119"/>
      <c r="AD12" s="119"/>
      <c r="AE12" s="119"/>
      <c r="AF12" s="65"/>
      <c r="AG12" s="119"/>
      <c r="AH12" s="119"/>
      <c r="AI12" s="119"/>
      <c r="AJ12" s="65"/>
      <c r="AK12" s="119"/>
      <c r="AL12" s="119"/>
      <c r="AM12" s="119"/>
      <c r="AN12" s="119"/>
    </row>
    <row r="13" spans="1:41" x14ac:dyDescent="0.2">
      <c r="A13" s="3">
        <v>35</v>
      </c>
      <c r="B13" s="3" t="s">
        <v>758</v>
      </c>
      <c r="C13" s="3" t="s">
        <v>252</v>
      </c>
      <c r="D13" s="105">
        <v>66</v>
      </c>
      <c r="E13" s="105">
        <v>611</v>
      </c>
      <c r="F13" s="106">
        <v>205</v>
      </c>
      <c r="G13" s="4">
        <v>35363</v>
      </c>
      <c r="H13" s="110">
        <f t="shared" ca="1" si="0"/>
        <v>24</v>
      </c>
      <c r="I13" s="3" t="s">
        <v>759</v>
      </c>
      <c r="J13" s="3">
        <v>4</v>
      </c>
      <c r="K13" s="109">
        <v>2017</v>
      </c>
      <c r="L13" s="109"/>
      <c r="M13" s="3" t="s">
        <v>760</v>
      </c>
      <c r="N13" s="3" t="s">
        <v>495</v>
      </c>
      <c r="O13" s="3" t="s">
        <v>1962</v>
      </c>
      <c r="P13" s="56">
        <v>1762796</v>
      </c>
      <c r="Q13" s="56">
        <v>1910860</v>
      </c>
      <c r="R13" s="51">
        <v>1948864</v>
      </c>
      <c r="S13" s="22"/>
      <c r="T13" s="12"/>
      <c r="U13" s="12"/>
      <c r="V13" s="3"/>
      <c r="W13" s="135" t="s">
        <v>761</v>
      </c>
      <c r="X13" s="69">
        <v>1</v>
      </c>
      <c r="Y13" s="69">
        <v>21</v>
      </c>
      <c r="Z13" s="65">
        <f>15/21</f>
        <v>0.7142857142857143</v>
      </c>
      <c r="AA13" s="119">
        <v>105.6</v>
      </c>
      <c r="AB13" s="119">
        <v>107.1</v>
      </c>
      <c r="AC13" s="119">
        <f t="shared" si="1"/>
        <v>-1.5</v>
      </c>
      <c r="AD13" s="119">
        <v>11.1</v>
      </c>
      <c r="AE13" s="119">
        <v>9.3000000000000007</v>
      </c>
      <c r="AF13" s="65">
        <v>0.44900000000000001</v>
      </c>
      <c r="AG13" s="119">
        <v>19.8</v>
      </c>
      <c r="AH13" s="119">
        <v>-0.1</v>
      </c>
      <c r="AI13" s="119">
        <v>0.2</v>
      </c>
      <c r="AJ13" s="65">
        <v>1.9E-2</v>
      </c>
      <c r="AK13" s="119">
        <v>-4.4000000000000004</v>
      </c>
      <c r="AL13" s="119">
        <v>-0.8</v>
      </c>
      <c r="AM13" s="119">
        <v>-0.2</v>
      </c>
      <c r="AN13" s="119">
        <v>5.6</v>
      </c>
    </row>
    <row r="14" spans="1:41" x14ac:dyDescent="0.2">
      <c r="A14" s="3">
        <v>11</v>
      </c>
      <c r="B14" s="3" t="s">
        <v>42</v>
      </c>
      <c r="C14" s="3" t="s">
        <v>247</v>
      </c>
      <c r="D14" s="105">
        <v>62</v>
      </c>
      <c r="E14" s="105">
        <v>65</v>
      </c>
      <c r="F14" s="106">
        <v>183</v>
      </c>
      <c r="G14" s="4">
        <v>34877</v>
      </c>
      <c r="H14" s="110">
        <f t="shared" ca="1" si="0"/>
        <v>25.4</v>
      </c>
      <c r="I14" s="3" t="s">
        <v>228</v>
      </c>
      <c r="J14" s="3">
        <v>4</v>
      </c>
      <c r="K14" s="109">
        <v>2017</v>
      </c>
      <c r="L14" s="109">
        <v>51</v>
      </c>
      <c r="M14" s="3" t="s">
        <v>747</v>
      </c>
      <c r="N14" s="3" t="s">
        <v>748</v>
      </c>
      <c r="O14" s="3" t="s">
        <v>2571</v>
      </c>
      <c r="P14" s="16">
        <v>1723707</v>
      </c>
      <c r="Q14" s="14">
        <v>1856061</v>
      </c>
      <c r="R14" s="3"/>
      <c r="S14" s="12"/>
      <c r="T14" s="12"/>
      <c r="U14" s="12"/>
      <c r="V14" s="3"/>
      <c r="W14" s="136" t="s">
        <v>284</v>
      </c>
      <c r="X14" s="69">
        <v>1</v>
      </c>
      <c r="Y14" s="69">
        <v>65</v>
      </c>
      <c r="Z14" s="65">
        <f>43/65</f>
        <v>0.66153846153846152</v>
      </c>
      <c r="AA14" s="119">
        <v>109.2</v>
      </c>
      <c r="AB14" s="119">
        <v>107.5</v>
      </c>
      <c r="AC14" s="119">
        <f t="shared" si="1"/>
        <v>1.7000000000000028</v>
      </c>
      <c r="AD14" s="119">
        <v>21.6</v>
      </c>
      <c r="AE14" s="119">
        <v>14.9</v>
      </c>
      <c r="AF14" s="65">
        <v>0.53700000000000003</v>
      </c>
      <c r="AG14" s="119">
        <v>17.2</v>
      </c>
      <c r="AH14" s="119">
        <v>2.2000000000000002</v>
      </c>
      <c r="AI14" s="119">
        <v>1.2</v>
      </c>
      <c r="AJ14" s="65">
        <v>0.11700000000000001</v>
      </c>
      <c r="AK14" s="119">
        <v>0.2</v>
      </c>
      <c r="AL14" s="119">
        <v>-0.1</v>
      </c>
      <c r="AM14" s="119">
        <v>0.8</v>
      </c>
      <c r="AN14" s="119">
        <v>10</v>
      </c>
    </row>
    <row r="15" spans="1:41" x14ac:dyDescent="0.2">
      <c r="A15" s="3"/>
      <c r="B15" s="3" t="s">
        <v>2582</v>
      </c>
      <c r="C15" s="3" t="s">
        <v>234</v>
      </c>
      <c r="D15" s="105">
        <v>70</v>
      </c>
      <c r="E15" s="105">
        <v>73</v>
      </c>
      <c r="F15" s="106">
        <v>249</v>
      </c>
      <c r="G15" s="4">
        <v>35920</v>
      </c>
      <c r="H15" s="110">
        <f t="shared" ca="1" si="0"/>
        <v>22.5</v>
      </c>
      <c r="I15" s="3" t="s">
        <v>2594</v>
      </c>
      <c r="J15" s="3">
        <v>3</v>
      </c>
      <c r="K15" s="109">
        <v>2017</v>
      </c>
      <c r="L15" s="109">
        <v>43</v>
      </c>
      <c r="M15" s="3" t="s">
        <v>2436</v>
      </c>
      <c r="N15" s="3" t="s">
        <v>276</v>
      </c>
      <c r="O15" s="3" t="s">
        <v>2445</v>
      </c>
      <c r="P15" s="175">
        <v>1620564</v>
      </c>
      <c r="Q15" s="252">
        <v>1701593</v>
      </c>
      <c r="R15" s="234"/>
      <c r="S15" s="12"/>
      <c r="T15" s="12"/>
      <c r="U15" s="12"/>
      <c r="V15" s="3"/>
      <c r="W15" s="136"/>
      <c r="X15" s="69"/>
      <c r="Y15" s="69"/>
      <c r="Z15" s="65"/>
      <c r="AA15" s="119"/>
      <c r="AB15" s="119"/>
      <c r="AC15" s="119"/>
      <c r="AD15" s="119"/>
      <c r="AE15" s="119"/>
      <c r="AF15" s="65"/>
      <c r="AG15" s="119"/>
      <c r="AH15" s="119"/>
      <c r="AI15" s="119"/>
      <c r="AJ15" s="65"/>
      <c r="AK15" s="119"/>
      <c r="AL15" s="119"/>
      <c r="AM15" s="119"/>
      <c r="AN15" s="119"/>
    </row>
    <row r="16" spans="1:41" x14ac:dyDescent="0.2">
      <c r="A16" s="3">
        <v>31</v>
      </c>
      <c r="B16" s="3" t="s">
        <v>752</v>
      </c>
      <c r="C16" s="3" t="s">
        <v>234</v>
      </c>
      <c r="D16" s="105">
        <v>68</v>
      </c>
      <c r="E16" s="105">
        <v>611</v>
      </c>
      <c r="F16" s="106">
        <v>236</v>
      </c>
      <c r="G16" s="4">
        <v>35530</v>
      </c>
      <c r="H16" s="110">
        <f t="shared" ca="1" si="0"/>
        <v>23.6</v>
      </c>
      <c r="I16" s="3" t="s">
        <v>753</v>
      </c>
      <c r="J16" s="3">
        <v>2</v>
      </c>
      <c r="K16" s="109">
        <v>2017</v>
      </c>
      <c r="L16" s="109">
        <v>49</v>
      </c>
      <c r="M16" s="3" t="s">
        <v>754</v>
      </c>
      <c r="N16" s="3" t="s">
        <v>495</v>
      </c>
      <c r="O16" s="3" t="s">
        <v>750</v>
      </c>
      <c r="P16" s="11">
        <v>1517981</v>
      </c>
      <c r="Q16" s="15">
        <v>1782621</v>
      </c>
      <c r="R16" s="49">
        <v>2228276</v>
      </c>
      <c r="S16" s="12"/>
      <c r="T16" s="12"/>
      <c r="U16" s="12"/>
      <c r="V16" s="3"/>
      <c r="W16" s="135" t="s">
        <v>755</v>
      </c>
      <c r="X16" s="69">
        <v>4</v>
      </c>
      <c r="Y16" s="69">
        <v>14</v>
      </c>
      <c r="Z16" s="65">
        <f>7/14</f>
        <v>0.5</v>
      </c>
      <c r="AA16" s="119">
        <v>104.1</v>
      </c>
      <c r="AB16" s="119">
        <v>110.1</v>
      </c>
      <c r="AC16" s="119">
        <f t="shared" si="1"/>
        <v>-6</v>
      </c>
      <c r="AD16" s="119">
        <v>3.2</v>
      </c>
      <c r="AE16" s="119">
        <v>11.4</v>
      </c>
      <c r="AF16" s="65">
        <v>0.50700000000000001</v>
      </c>
      <c r="AG16" s="119">
        <v>19.100000000000001</v>
      </c>
      <c r="AH16" s="119">
        <v>0</v>
      </c>
      <c r="AI16" s="119">
        <v>0</v>
      </c>
      <c r="AJ16" s="65">
        <v>6.9000000000000006E-2</v>
      </c>
      <c r="AK16" s="119">
        <v>-3.5</v>
      </c>
      <c r="AL16" s="119">
        <v>-1.1000000000000001</v>
      </c>
      <c r="AM16" s="119">
        <v>0</v>
      </c>
      <c r="AN16" s="119">
        <v>5.2</v>
      </c>
    </row>
    <row r="17" spans="1:40" x14ac:dyDescent="0.2">
      <c r="A17" s="3"/>
      <c r="B17" s="3" t="s">
        <v>2397</v>
      </c>
      <c r="C17" s="3" t="s">
        <v>247</v>
      </c>
      <c r="D17" s="105">
        <v>511</v>
      </c>
      <c r="E17" s="105">
        <v>511</v>
      </c>
      <c r="F17" s="106">
        <v>180</v>
      </c>
      <c r="G17" s="4">
        <v>36283</v>
      </c>
      <c r="H17" s="110">
        <f t="shared" ca="1" si="0"/>
        <v>21.5</v>
      </c>
      <c r="I17" s="3" t="s">
        <v>1164</v>
      </c>
      <c r="J17" s="3">
        <v>1</v>
      </c>
      <c r="K17" s="109">
        <v>2020</v>
      </c>
      <c r="L17" s="109"/>
      <c r="M17" s="3" t="s">
        <v>2436</v>
      </c>
      <c r="N17" s="3" t="s">
        <v>288</v>
      </c>
      <c r="O17" s="3" t="s">
        <v>2516</v>
      </c>
      <c r="P17" s="3" t="s">
        <v>288</v>
      </c>
      <c r="Q17" s="34"/>
      <c r="R17" s="12"/>
      <c r="S17" s="12"/>
      <c r="T17" s="12"/>
      <c r="U17" s="12"/>
      <c r="V17" s="3"/>
      <c r="W17" s="135"/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0" x14ac:dyDescent="0.2">
      <c r="A18" s="3"/>
      <c r="B18" s="3" t="s">
        <v>2592</v>
      </c>
      <c r="C18" s="3" t="s">
        <v>241</v>
      </c>
      <c r="D18" s="105">
        <v>69</v>
      </c>
      <c r="E18" s="105"/>
      <c r="F18" s="106">
        <v>210</v>
      </c>
      <c r="G18" s="4">
        <v>34007</v>
      </c>
      <c r="H18" s="110">
        <f t="shared" ca="1" si="0"/>
        <v>27.8</v>
      </c>
      <c r="I18" s="3" t="s">
        <v>2593</v>
      </c>
      <c r="J18" s="3">
        <v>1</v>
      </c>
      <c r="K18" s="109">
        <v>2015</v>
      </c>
      <c r="L18" s="109"/>
      <c r="M18" s="3" t="s">
        <v>2681</v>
      </c>
      <c r="N18" s="3" t="s">
        <v>288</v>
      </c>
      <c r="O18" s="3" t="s">
        <v>2516</v>
      </c>
      <c r="P18" s="3" t="s">
        <v>288</v>
      </c>
      <c r="Q18" s="34"/>
      <c r="R18" s="12"/>
      <c r="S18" s="12"/>
      <c r="T18" s="12"/>
      <c r="U18" s="12"/>
      <c r="V18" s="3"/>
      <c r="W18" s="135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0" x14ac:dyDescent="0.2">
      <c r="B19" s="2" t="s">
        <v>290</v>
      </c>
      <c r="H19" s="110"/>
      <c r="K19" s="109"/>
      <c r="L19" s="109"/>
      <c r="M19" s="16"/>
      <c r="N19" s="16"/>
      <c r="O19" s="16"/>
      <c r="P19" s="11"/>
      <c r="Q19" s="11"/>
      <c r="R19" s="11"/>
      <c r="S19" s="11"/>
      <c r="T19" s="3"/>
      <c r="U19" s="3"/>
      <c r="V19" s="3"/>
      <c r="W19" s="135"/>
      <c r="X19" s="69"/>
      <c r="Y19" s="69"/>
      <c r="Z19" s="65"/>
      <c r="AA19" s="119"/>
      <c r="AB19" s="119"/>
      <c r="AC19" s="119"/>
      <c r="AD19" s="119"/>
      <c r="AE19" s="119"/>
      <c r="AF19" s="65"/>
      <c r="AG19" s="119"/>
      <c r="AH19" s="123"/>
      <c r="AI19" s="123"/>
      <c r="AJ19" s="124"/>
      <c r="AK19" s="123"/>
      <c r="AL19" s="123"/>
      <c r="AM19" s="123"/>
      <c r="AN19" s="123"/>
    </row>
    <row r="20" spans="1:40" x14ac:dyDescent="0.2">
      <c r="B20" s="149"/>
      <c r="H20" s="110"/>
      <c r="K20" s="133"/>
      <c r="L20" s="109"/>
      <c r="M20" s="16"/>
      <c r="N20" s="16"/>
      <c r="O20" s="16"/>
      <c r="P20" s="11"/>
      <c r="Q20" s="11"/>
      <c r="R20" s="16"/>
      <c r="S20" s="16"/>
      <c r="T20" s="16"/>
      <c r="W20" s="135"/>
      <c r="X20" s="134"/>
      <c r="Y20" s="134"/>
      <c r="Z20" s="124"/>
      <c r="AG20" s="123"/>
      <c r="AH20" s="123"/>
      <c r="AI20" s="123"/>
      <c r="AJ20" s="124"/>
      <c r="AK20" s="123"/>
      <c r="AL20" s="123"/>
      <c r="AM20" s="123"/>
      <c r="AN20" s="123"/>
    </row>
    <row r="21" spans="1:40" x14ac:dyDescent="0.2">
      <c r="A21" s="3">
        <v>30</v>
      </c>
      <c r="B21" s="3" t="s">
        <v>44</v>
      </c>
      <c r="C21" s="3" t="s">
        <v>252</v>
      </c>
      <c r="D21" s="105">
        <v>64</v>
      </c>
      <c r="E21" s="105">
        <v>67</v>
      </c>
      <c r="F21" s="106">
        <v>200</v>
      </c>
      <c r="G21" s="4">
        <v>33434</v>
      </c>
      <c r="H21" s="110">
        <f ca="1">ROUNDDOWN(YEARFRAC($G$24,G21),1)</f>
        <v>29.3</v>
      </c>
      <c r="I21" s="3" t="s">
        <v>273</v>
      </c>
      <c r="J21" s="3">
        <v>8</v>
      </c>
      <c r="K21" s="109">
        <v>2013</v>
      </c>
      <c r="L21" s="109"/>
      <c r="M21" s="3" t="s">
        <v>756</v>
      </c>
      <c r="N21" s="3"/>
      <c r="O21" s="3"/>
      <c r="P21" s="14">
        <v>1620564</v>
      </c>
      <c r="Q21" s="3"/>
      <c r="R21" s="3"/>
      <c r="S21" s="12"/>
      <c r="T21" s="12"/>
      <c r="U21" s="12"/>
      <c r="V21" s="3"/>
      <c r="W21" s="135" t="s">
        <v>757</v>
      </c>
      <c r="X21" s="69">
        <v>3</v>
      </c>
      <c r="Y21" s="69">
        <v>41</v>
      </c>
      <c r="Z21" s="65">
        <f>31/41</f>
        <v>0.75609756097560976</v>
      </c>
      <c r="AA21" s="119">
        <v>102.7</v>
      </c>
      <c r="AB21" s="119">
        <v>102.7</v>
      </c>
      <c r="AC21" s="119">
        <f t="shared" ref="AC21" si="3">AA21-AB21</f>
        <v>0</v>
      </c>
      <c r="AD21" s="119">
        <v>11.1</v>
      </c>
      <c r="AE21" s="119">
        <v>9</v>
      </c>
      <c r="AF21" s="65">
        <v>0.52700000000000002</v>
      </c>
      <c r="AG21" s="119">
        <v>16.100000000000001</v>
      </c>
      <c r="AH21" s="119">
        <v>0.3</v>
      </c>
      <c r="AI21" s="119">
        <v>0.4</v>
      </c>
      <c r="AJ21" s="65">
        <v>7.1999999999999995E-2</v>
      </c>
      <c r="AK21" s="119">
        <v>-1.1000000000000001</v>
      </c>
      <c r="AL21" s="119">
        <v>-1</v>
      </c>
      <c r="AM21" s="119">
        <v>0</v>
      </c>
      <c r="AN21" s="119">
        <v>5.8</v>
      </c>
    </row>
    <row r="22" spans="1:40" x14ac:dyDescent="0.2">
      <c r="A22" s="3">
        <v>25</v>
      </c>
      <c r="B22" s="3" t="s">
        <v>1859</v>
      </c>
      <c r="C22" s="3" t="s">
        <v>234</v>
      </c>
      <c r="D22" s="105">
        <v>68</v>
      </c>
      <c r="E22" s="105">
        <v>71</v>
      </c>
      <c r="F22" s="106">
        <v>255</v>
      </c>
      <c r="G22" s="4">
        <v>35696</v>
      </c>
      <c r="H22" s="110">
        <f ca="1">ROUNDDOWN(YEARFRAC($G$24,G22),1)</f>
        <v>23.1</v>
      </c>
      <c r="I22" s="3" t="s">
        <v>1860</v>
      </c>
      <c r="J22" s="3">
        <v>2</v>
      </c>
      <c r="K22" s="109">
        <v>2019</v>
      </c>
      <c r="L22" s="109"/>
      <c r="M22" s="3" t="s">
        <v>1870</v>
      </c>
      <c r="N22" s="3"/>
      <c r="O22" s="3"/>
      <c r="P22" s="14">
        <v>1620564</v>
      </c>
      <c r="Q22" s="54"/>
      <c r="R22" s="12"/>
      <c r="S22" s="12"/>
      <c r="T22" s="12"/>
      <c r="U22" s="12"/>
      <c r="V22" s="3"/>
      <c r="W22" s="135"/>
      <c r="X22" s="69"/>
      <c r="Y22" s="69"/>
      <c r="Z22" s="65"/>
      <c r="AA22" s="119"/>
      <c r="AB22" s="119"/>
      <c r="AC22" s="119"/>
      <c r="AD22" s="119"/>
      <c r="AE22" s="119"/>
      <c r="AF22" s="65"/>
      <c r="AG22" s="119"/>
      <c r="AH22" s="119"/>
      <c r="AI22" s="119"/>
      <c r="AJ22" s="65"/>
      <c r="AK22" s="119"/>
      <c r="AL22" s="119"/>
      <c r="AM22" s="119"/>
      <c r="AN22" s="119"/>
    </row>
    <row r="23" spans="1:40" x14ac:dyDescent="0.2">
      <c r="H23" s="110"/>
      <c r="K23" s="133"/>
      <c r="L23" s="109"/>
      <c r="M23" s="16"/>
      <c r="N23" s="16"/>
      <c r="O23" s="16"/>
      <c r="P23" s="11"/>
      <c r="Q23" s="11"/>
      <c r="R23" s="16"/>
      <c r="S23" s="16"/>
      <c r="T23" s="16"/>
      <c r="W23" s="135"/>
      <c r="X23" s="134"/>
      <c r="Y23" s="134"/>
      <c r="Z23" s="124"/>
      <c r="AG23" s="123"/>
      <c r="AH23" s="123"/>
      <c r="AI23" s="123"/>
      <c r="AJ23" s="124"/>
      <c r="AK23" s="123"/>
      <c r="AL23" s="123"/>
      <c r="AM23" s="123"/>
      <c r="AN23" s="123"/>
    </row>
    <row r="24" spans="1:40" x14ac:dyDescent="0.2">
      <c r="E24" s="62"/>
      <c r="F24" s="66"/>
      <c r="G24" s="62">
        <f ca="1">TODAY()</f>
        <v>44162</v>
      </c>
      <c r="H24" s="63">
        <f ca="1">AVERAGE(H2:H16)</f>
        <v>25.313333333333333</v>
      </c>
      <c r="J24" s="63">
        <f>AVERAGE(J2:J16)</f>
        <v>4.666666666666667</v>
      </c>
      <c r="K24" s="78"/>
      <c r="L24" s="185"/>
      <c r="M24" s="78"/>
      <c r="N24" s="75"/>
      <c r="O24" s="75"/>
      <c r="P24" s="73"/>
      <c r="R24" s="7"/>
      <c r="W24" s="135"/>
      <c r="AG24" s="123"/>
      <c r="AH24" s="123"/>
      <c r="AI24" s="123"/>
      <c r="AJ24" s="124"/>
      <c r="AK24" s="123"/>
      <c r="AL24" s="123"/>
      <c r="AM24" s="123"/>
      <c r="AN24" s="123"/>
    </row>
    <row r="25" spans="1:40" x14ac:dyDescent="0.2">
      <c r="E25" s="62"/>
      <c r="F25" s="66"/>
      <c r="G25" s="62"/>
      <c r="H25" s="63">
        <f ca="1">MEDIAN(H2:H16)</f>
        <v>24</v>
      </c>
      <c r="J25" s="63">
        <f>MEDIAN(J2:J16)</f>
        <v>4</v>
      </c>
      <c r="K25" s="78"/>
      <c r="L25" s="185"/>
      <c r="M25" s="78"/>
      <c r="N25" s="75"/>
      <c r="O25" s="75"/>
      <c r="P25" s="73"/>
      <c r="R25" s="7"/>
      <c r="W25" s="135"/>
      <c r="AG25" s="123"/>
      <c r="AH25" s="123"/>
      <c r="AI25" s="123"/>
      <c r="AJ25" s="124"/>
      <c r="AK25" s="123"/>
      <c r="AL25" s="123"/>
      <c r="AM25" s="123"/>
      <c r="AN25" s="123"/>
    </row>
    <row r="26" spans="1:40" x14ac:dyDescent="0.2">
      <c r="A26" s="186"/>
      <c r="B26" s="5" t="s">
        <v>1985</v>
      </c>
      <c r="C26" s="59"/>
      <c r="H26" s="63"/>
      <c r="J26" s="36"/>
      <c r="K26" s="118"/>
      <c r="L26" s="118"/>
      <c r="M26" s="75"/>
      <c r="N26" s="75"/>
      <c r="O26" s="75"/>
      <c r="P26" s="64">
        <f>SUM(P2:P17)-P13+1200000</f>
        <v>126505310</v>
      </c>
      <c r="Q26" s="7"/>
      <c r="W26" s="135"/>
      <c r="AK26" s="123"/>
      <c r="AL26" s="123"/>
      <c r="AM26" s="123"/>
      <c r="AN26" s="123"/>
    </row>
    <row r="27" spans="1:40" x14ac:dyDescent="0.2">
      <c r="B27" s="3" t="s">
        <v>1876</v>
      </c>
      <c r="C27" s="59">
        <v>14</v>
      </c>
      <c r="J27" s="3"/>
      <c r="K27" s="78"/>
      <c r="L27" s="118"/>
      <c r="M27" s="75"/>
      <c r="N27" s="75"/>
      <c r="O27" s="76"/>
      <c r="P27" s="121">
        <f>SUM(P2:P19)</f>
        <v>127068106</v>
      </c>
      <c r="R27" s="7"/>
      <c r="W27" s="135"/>
    </row>
    <row r="28" spans="1:40" x14ac:dyDescent="0.2">
      <c r="B28" s="3" t="s">
        <v>2457</v>
      </c>
      <c r="C28" s="59">
        <v>1</v>
      </c>
      <c r="J28" s="4"/>
      <c r="K28" s="3"/>
      <c r="L28" s="118"/>
      <c r="M28" s="75"/>
      <c r="N28" s="75"/>
      <c r="O28" s="75"/>
      <c r="P28" s="121"/>
      <c r="W28" s="135"/>
    </row>
    <row r="29" spans="1:40" x14ac:dyDescent="0.2">
      <c r="B29" s="3" t="s">
        <v>2539</v>
      </c>
      <c r="C29" s="59">
        <v>2</v>
      </c>
      <c r="J29" s="4"/>
      <c r="K29" s="3"/>
      <c r="L29" s="118"/>
      <c r="M29" s="75"/>
      <c r="N29" s="75"/>
      <c r="O29" s="75"/>
      <c r="P29" s="121"/>
      <c r="W29" s="135"/>
    </row>
    <row r="30" spans="1:40" x14ac:dyDescent="0.2">
      <c r="B30" s="3" t="s">
        <v>2606</v>
      </c>
      <c r="C30" s="64">
        <v>9525000</v>
      </c>
      <c r="D30" s="62">
        <v>44522</v>
      </c>
      <c r="J30" s="4"/>
      <c r="K30" s="3"/>
      <c r="L30" s="118"/>
      <c r="M30" s="75"/>
      <c r="N30" s="75"/>
      <c r="O30" s="75"/>
      <c r="P30" s="121"/>
      <c r="W30" s="135"/>
    </row>
    <row r="31" spans="1:40" x14ac:dyDescent="0.2">
      <c r="B31" s="3" t="s">
        <v>2525</v>
      </c>
      <c r="C31" s="64">
        <v>3321030</v>
      </c>
      <c r="D31" s="249">
        <v>44232</v>
      </c>
      <c r="J31" s="4"/>
      <c r="K31" s="3"/>
      <c r="L31" s="118"/>
      <c r="M31" s="75"/>
      <c r="N31" s="75"/>
      <c r="O31" s="22" t="s">
        <v>292</v>
      </c>
      <c r="P31" s="22" t="e">
        <f>#REF!</f>
        <v>#REF!</v>
      </c>
      <c r="W31" s="135"/>
    </row>
    <row r="32" spans="1:40" x14ac:dyDescent="0.2">
      <c r="B32" s="3" t="s">
        <v>495</v>
      </c>
      <c r="C32" s="64">
        <f>9258000-P7-P12</f>
        <v>0</v>
      </c>
      <c r="D32" t="s">
        <v>2666</v>
      </c>
      <c r="E32" s="59"/>
      <c r="F32" s="59"/>
      <c r="G32" s="59"/>
      <c r="J32" s="3"/>
      <c r="K32" s="117"/>
      <c r="L32" s="75"/>
      <c r="M32" s="75"/>
      <c r="N32" s="75"/>
      <c r="O32" s="22" t="s">
        <v>294</v>
      </c>
      <c r="P32" s="22" t="e">
        <f>#REF!</f>
        <v>#REF!</v>
      </c>
      <c r="Q32" s="7"/>
    </row>
    <row r="33" spans="2:17" x14ac:dyDescent="0.2">
      <c r="B33" s="3" t="s">
        <v>514</v>
      </c>
      <c r="C33" s="64">
        <f>3623000-P9</f>
        <v>623000</v>
      </c>
      <c r="D33" s="62" t="s">
        <v>2435</v>
      </c>
      <c r="E33" s="59"/>
      <c r="F33" s="59"/>
      <c r="G33" s="59"/>
      <c r="J33" s="3"/>
      <c r="K33" s="117"/>
      <c r="L33" s="75"/>
      <c r="M33" s="75"/>
      <c r="N33" s="75"/>
      <c r="O33" s="22" t="s">
        <v>2667</v>
      </c>
      <c r="P33" s="22">
        <v>138928000</v>
      </c>
      <c r="Q33" s="7"/>
    </row>
    <row r="34" spans="2:17" x14ac:dyDescent="0.2">
      <c r="B34" s="24" t="s">
        <v>293</v>
      </c>
      <c r="C34" s="64">
        <v>0</v>
      </c>
      <c r="D34" s="59"/>
      <c r="J34" s="3"/>
      <c r="M34" s="75"/>
      <c r="N34" s="75"/>
      <c r="O34" s="75"/>
    </row>
    <row r="35" spans="2:17" x14ac:dyDescent="0.2">
      <c r="B35" s="3" t="s">
        <v>295</v>
      </c>
      <c r="C35" s="64">
        <v>0</v>
      </c>
      <c r="J35" s="3"/>
      <c r="M35" s="75"/>
      <c r="N35" s="75"/>
      <c r="O35" s="75"/>
    </row>
    <row r="36" spans="2:17" x14ac:dyDescent="0.2">
      <c r="J36" s="22"/>
      <c r="M36" s="75"/>
      <c r="N36" s="75"/>
      <c r="O36" s="75"/>
    </row>
    <row r="37" spans="2:17" x14ac:dyDescent="0.2">
      <c r="B37" s="149" t="s">
        <v>1875</v>
      </c>
      <c r="J37" s="22"/>
      <c r="M37" s="75"/>
      <c r="N37" s="75"/>
      <c r="O37" s="75"/>
    </row>
    <row r="38" spans="2:17" x14ac:dyDescent="0.2">
      <c r="B38" s="3" t="s">
        <v>296</v>
      </c>
      <c r="C38" s="41">
        <f>46/(46+27)</f>
        <v>0.63013698630136983</v>
      </c>
      <c r="D38" s="3" t="s">
        <v>724</v>
      </c>
      <c r="E38" s="3"/>
      <c r="J38" s="3"/>
      <c r="M38" s="75"/>
      <c r="N38" s="75"/>
      <c r="O38" s="76"/>
    </row>
    <row r="39" spans="2:17" x14ac:dyDescent="0.2">
      <c r="B39" s="3" t="s">
        <v>298</v>
      </c>
      <c r="C39" s="110">
        <v>112.6</v>
      </c>
      <c r="D39" s="3" t="s">
        <v>1964</v>
      </c>
      <c r="E39" s="3"/>
      <c r="M39" s="75"/>
      <c r="N39" s="16"/>
      <c r="O39" s="75"/>
    </row>
    <row r="40" spans="2:17" x14ac:dyDescent="0.2">
      <c r="B40" s="3" t="s">
        <v>299</v>
      </c>
      <c r="C40" s="110">
        <v>110.4</v>
      </c>
      <c r="D40" s="3" t="s">
        <v>1965</v>
      </c>
      <c r="E40" s="3"/>
      <c r="M40" s="75"/>
      <c r="N40" s="16"/>
      <c r="O40" s="75"/>
    </row>
    <row r="41" spans="2:17" x14ac:dyDescent="0.2">
      <c r="B41" s="3" t="s">
        <v>300</v>
      </c>
      <c r="C41" s="110">
        <f>C39-C40</f>
        <v>2.1999999999999886</v>
      </c>
      <c r="D41" s="3" t="s">
        <v>1687</v>
      </c>
      <c r="E41" s="3"/>
      <c r="M41" s="75"/>
      <c r="N41" s="16"/>
      <c r="O41" s="75"/>
    </row>
    <row r="42" spans="2:17" x14ac:dyDescent="0.2">
      <c r="B42" s="23" t="s">
        <v>301</v>
      </c>
      <c r="C42" s="63">
        <v>97.64</v>
      </c>
      <c r="D42" s="3" t="s">
        <v>1966</v>
      </c>
      <c r="J42" s="129"/>
    </row>
    <row r="43" spans="2:17" x14ac:dyDescent="0.2">
      <c r="B43" s="3"/>
      <c r="C43" s="3"/>
      <c r="D43" s="3"/>
      <c r="E43" s="3"/>
      <c r="M43" s="75"/>
      <c r="N43" s="75"/>
      <c r="O43" s="75"/>
    </row>
    <row r="44" spans="2:17" x14ac:dyDescent="0.2">
      <c r="B44" s="2" t="s">
        <v>302</v>
      </c>
      <c r="C44" s="3"/>
      <c r="D44" s="3"/>
      <c r="E44" s="3"/>
      <c r="M44" s="75"/>
      <c r="N44" s="75"/>
      <c r="O44" s="75"/>
    </row>
    <row r="45" spans="2:17" x14ac:dyDescent="0.2">
      <c r="B45" s="2" t="s">
        <v>1089</v>
      </c>
      <c r="C45" s="3"/>
      <c r="D45" s="3"/>
      <c r="E45" s="3"/>
      <c r="M45" s="75"/>
      <c r="N45" s="75"/>
      <c r="O45" s="75"/>
    </row>
    <row r="46" spans="2:17" x14ac:dyDescent="0.2">
      <c r="B46" s="10"/>
      <c r="C46" s="3"/>
      <c r="D46" s="3"/>
      <c r="E46" s="3"/>
      <c r="M46" s="75"/>
      <c r="N46" s="75"/>
      <c r="O46" s="75"/>
    </row>
    <row r="47" spans="2:17" x14ac:dyDescent="0.2">
      <c r="B47" s="2" t="s">
        <v>310</v>
      </c>
      <c r="C47" s="3"/>
      <c r="D47" s="3"/>
      <c r="E47" s="3"/>
    </row>
    <row r="48" spans="2:17" x14ac:dyDescent="0.2">
      <c r="B48" s="2" t="s">
        <v>2009</v>
      </c>
      <c r="C48" s="3"/>
      <c r="D48" s="3"/>
      <c r="E48" s="3"/>
    </row>
    <row r="49" spans="2:10" x14ac:dyDescent="0.2">
      <c r="B49" s="2" t="s">
        <v>2008</v>
      </c>
      <c r="C49" s="3"/>
      <c r="D49" s="3"/>
      <c r="E49" s="3"/>
    </row>
    <row r="50" spans="2:10" x14ac:dyDescent="0.2">
      <c r="B50" s="2" t="s">
        <v>2487</v>
      </c>
      <c r="C50" s="3"/>
      <c r="D50" s="3"/>
      <c r="E50" s="3"/>
    </row>
    <row r="51" spans="2:10" x14ac:dyDescent="0.2">
      <c r="B51" s="2"/>
      <c r="C51" s="3"/>
      <c r="D51" s="3"/>
      <c r="E51" s="3"/>
    </row>
    <row r="52" spans="2:10" x14ac:dyDescent="0.2">
      <c r="B52" s="5" t="s">
        <v>1989</v>
      </c>
      <c r="C52" s="3"/>
      <c r="D52" s="3"/>
      <c r="E52" s="3"/>
    </row>
    <row r="53" spans="2:10" x14ac:dyDescent="0.2">
      <c r="B53" s="39" t="s">
        <v>314</v>
      </c>
      <c r="C53" s="3">
        <v>46</v>
      </c>
      <c r="D53" s="3">
        <v>27</v>
      </c>
      <c r="E53" s="3" t="s">
        <v>724</v>
      </c>
      <c r="G53" t="s">
        <v>765</v>
      </c>
      <c r="J53" t="s">
        <v>2124</v>
      </c>
    </row>
    <row r="54" spans="2:10" x14ac:dyDescent="0.2">
      <c r="B54" s="39" t="s">
        <v>317</v>
      </c>
      <c r="C54" s="3">
        <v>54</v>
      </c>
      <c r="D54" s="3">
        <v>28</v>
      </c>
      <c r="E54" s="3" t="s">
        <v>767</v>
      </c>
      <c r="G54" t="s">
        <v>765</v>
      </c>
      <c r="J54" t="s">
        <v>768</v>
      </c>
    </row>
    <row r="55" spans="2:10" x14ac:dyDescent="0.2">
      <c r="B55" s="39" t="s">
        <v>319</v>
      </c>
      <c r="C55" s="3">
        <v>46</v>
      </c>
      <c r="D55" s="3">
        <v>36</v>
      </c>
      <c r="E55" s="3" t="s">
        <v>769</v>
      </c>
      <c r="G55" t="s">
        <v>765</v>
      </c>
      <c r="J55" s="141" t="s">
        <v>316</v>
      </c>
    </row>
    <row r="56" spans="2:10" x14ac:dyDescent="0.2">
      <c r="B56" s="39" t="s">
        <v>322</v>
      </c>
      <c r="C56" s="3">
        <v>40</v>
      </c>
      <c r="D56" s="3">
        <v>42</v>
      </c>
      <c r="E56" s="3" t="s">
        <v>769</v>
      </c>
      <c r="G56" t="s">
        <v>765</v>
      </c>
      <c r="J56" s="141" t="s">
        <v>316</v>
      </c>
    </row>
    <row r="57" spans="2:10" x14ac:dyDescent="0.2">
      <c r="B57" s="39" t="s">
        <v>325</v>
      </c>
      <c r="C57" s="3">
        <v>33</v>
      </c>
      <c r="D57" s="3">
        <v>49</v>
      </c>
      <c r="E57" s="3" t="s">
        <v>722</v>
      </c>
      <c r="G57" t="s">
        <v>765</v>
      </c>
      <c r="J57" s="141" t="s">
        <v>316</v>
      </c>
    </row>
    <row r="58" spans="2:10" x14ac:dyDescent="0.2">
      <c r="B58" s="39" t="s">
        <v>328</v>
      </c>
      <c r="C58" s="3">
        <v>30</v>
      </c>
      <c r="D58" s="3">
        <v>52</v>
      </c>
      <c r="E58" s="3" t="s">
        <v>770</v>
      </c>
      <c r="G58" t="s">
        <v>771</v>
      </c>
      <c r="J58" s="141" t="s">
        <v>316</v>
      </c>
    </row>
    <row r="59" spans="2:10" x14ac:dyDescent="0.2">
      <c r="B59" s="39" t="s">
        <v>331</v>
      </c>
      <c r="C59" s="3">
        <v>36</v>
      </c>
      <c r="D59" s="3">
        <v>46</v>
      </c>
      <c r="E59" s="3" t="s">
        <v>716</v>
      </c>
      <c r="G59" t="s">
        <v>772</v>
      </c>
      <c r="J59" s="141" t="s">
        <v>316</v>
      </c>
    </row>
    <row r="60" spans="2:10" x14ac:dyDescent="0.2">
      <c r="B60" s="39" t="s">
        <v>334</v>
      </c>
      <c r="C60" s="3">
        <v>57</v>
      </c>
      <c r="D60" s="3">
        <v>25</v>
      </c>
      <c r="E60" s="3" t="s">
        <v>724</v>
      </c>
      <c r="G60" t="s">
        <v>773</v>
      </c>
      <c r="J60" t="s">
        <v>774</v>
      </c>
    </row>
    <row r="61" spans="2:10" x14ac:dyDescent="0.2">
      <c r="B61" s="39" t="s">
        <v>338</v>
      </c>
      <c r="C61" s="3">
        <v>38</v>
      </c>
      <c r="D61" s="3">
        <v>26</v>
      </c>
      <c r="E61" s="3" t="s">
        <v>717</v>
      </c>
      <c r="G61" t="s">
        <v>773</v>
      </c>
      <c r="J61" t="s">
        <v>775</v>
      </c>
    </row>
    <row r="62" spans="2:10" x14ac:dyDescent="0.2">
      <c r="B62" s="39" t="s">
        <v>340</v>
      </c>
      <c r="C62" s="3">
        <v>50</v>
      </c>
      <c r="D62" s="3">
        <v>32</v>
      </c>
      <c r="E62" s="3" t="s">
        <v>776</v>
      </c>
      <c r="G62" t="s">
        <v>773</v>
      </c>
      <c r="J62" t="s">
        <v>718</v>
      </c>
    </row>
    <row r="63" spans="2:10" x14ac:dyDescent="0.2">
      <c r="B63" s="3" t="s">
        <v>342</v>
      </c>
      <c r="C63" s="3">
        <f>SUM(C53:C62)</f>
        <v>430</v>
      </c>
      <c r="D63" s="3">
        <f>SUM(D53:D62)</f>
        <v>363</v>
      </c>
      <c r="E63" s="74">
        <f>C63/(C63+D63)</f>
        <v>0.54224464060529631</v>
      </c>
    </row>
    <row r="64" spans="2:10" x14ac:dyDescent="0.2">
      <c r="B64" s="3"/>
      <c r="C64" s="3"/>
      <c r="D64" s="3"/>
      <c r="E64" s="41"/>
    </row>
  </sheetData>
  <pageMargins left="0.7" right="0.7" top="0.75" bottom="0.75" header="0.3" footer="0.3"/>
  <ignoredErrors>
    <ignoredError sqref="J25" formulaRange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C3E9-9217-EB49-9FCA-A1DF4630EA42}">
  <dimension ref="A1:AQ70"/>
  <sheetViews>
    <sheetView zoomScaleNormal="100" workbookViewId="0"/>
  </sheetViews>
  <sheetFormatPr baseColWidth="10" defaultColWidth="10.83203125" defaultRowHeight="16" x14ac:dyDescent="0.2"/>
  <cols>
    <col min="1" max="1" width="4.83203125" style="59" customWidth="1"/>
    <col min="2" max="2" width="18.5" style="59" customWidth="1"/>
    <col min="3" max="3" width="11.83203125" style="59" customWidth="1"/>
    <col min="4" max="4" width="7.83203125" style="59" customWidth="1"/>
    <col min="5" max="5" width="11.33203125" style="59" customWidth="1"/>
    <col min="6" max="6" width="8" style="59" customWidth="1"/>
    <col min="7" max="7" width="10.6640625" style="59" customWidth="1"/>
    <col min="8" max="8" width="7.33203125" style="59" customWidth="1"/>
    <col min="9" max="9" width="24.6640625" style="59" customWidth="1"/>
    <col min="10" max="10" width="10.83203125" style="59" customWidth="1"/>
    <col min="11" max="11" width="12.6640625" style="59" customWidth="1"/>
    <col min="12" max="12" width="5.1640625" style="59" customWidth="1"/>
    <col min="13" max="13" width="35.33203125" style="59" customWidth="1"/>
    <col min="14" max="14" width="19.33203125" style="59" customWidth="1"/>
    <col min="15" max="15" width="37.5" style="59" customWidth="1"/>
    <col min="16" max="16" width="13.83203125" style="59" customWidth="1"/>
    <col min="17" max="17" width="14" style="59" customWidth="1"/>
    <col min="18" max="19" width="13.83203125" style="59" customWidth="1"/>
    <col min="20" max="20" width="12.33203125" style="59" customWidth="1"/>
    <col min="21" max="21" width="10" style="59" customWidth="1"/>
    <col min="22" max="22" width="156.83203125" style="59" customWidth="1"/>
    <col min="23" max="23" width="21.33203125" style="59" customWidth="1"/>
    <col min="24" max="24" width="9.5" style="59" customWidth="1"/>
    <col min="25" max="25" width="3.1640625" style="59" customWidth="1"/>
    <col min="26" max="26" width="7.83203125" style="59" customWidth="1"/>
    <col min="27" max="28" width="5.83203125" style="59" customWidth="1"/>
    <col min="29" max="29" width="7.33203125" style="59" customWidth="1"/>
    <col min="30" max="30" width="5.1640625" style="59" customWidth="1"/>
    <col min="31" max="31" width="4.83203125" style="59" customWidth="1"/>
    <col min="32" max="32" width="6.1640625" style="59" customWidth="1"/>
    <col min="33" max="33" width="7.83203125" style="59" customWidth="1"/>
    <col min="34" max="34" width="5" style="59" customWidth="1"/>
    <col min="35" max="35" width="4.83203125" style="59" customWidth="1"/>
    <col min="36" max="36" width="6.5" style="59" customWidth="1"/>
    <col min="37" max="37" width="5.83203125" style="59" customWidth="1"/>
    <col min="38" max="38" width="6.1640625" style="59" customWidth="1"/>
    <col min="39" max="39" width="5.83203125" style="59" customWidth="1"/>
    <col min="40" max="40" width="4.33203125" style="59" customWidth="1"/>
    <col min="41" max="16384" width="10.83203125" style="59"/>
  </cols>
  <sheetData>
    <row r="1" spans="1:43" x14ac:dyDescent="0.2">
      <c r="A1" s="169" t="s">
        <v>2125</v>
      </c>
      <c r="B1" s="169" t="s">
        <v>2126</v>
      </c>
      <c r="C1" s="169" t="s">
        <v>2127</v>
      </c>
      <c r="D1" s="169" t="s">
        <v>2128</v>
      </c>
      <c r="E1" s="169" t="s">
        <v>2129</v>
      </c>
      <c r="F1" s="169" t="s">
        <v>2130</v>
      </c>
      <c r="G1" s="169" t="s">
        <v>2131</v>
      </c>
      <c r="H1" s="169" t="s">
        <v>2132</v>
      </c>
      <c r="I1" s="169" t="s">
        <v>2133</v>
      </c>
      <c r="J1" s="169" t="s">
        <v>2134</v>
      </c>
      <c r="K1" s="169" t="s">
        <v>2135</v>
      </c>
      <c r="L1" s="169" t="s">
        <v>2136</v>
      </c>
      <c r="M1" s="169" t="s">
        <v>2137</v>
      </c>
      <c r="N1" s="169" t="s">
        <v>2138</v>
      </c>
      <c r="O1" s="169" t="s">
        <v>2139</v>
      </c>
      <c r="P1" s="169" t="s">
        <v>2140</v>
      </c>
      <c r="Q1" s="169" t="s">
        <v>2141</v>
      </c>
      <c r="R1" s="169" t="s">
        <v>2142</v>
      </c>
      <c r="S1" s="169" t="s">
        <v>2143</v>
      </c>
      <c r="T1" s="169" t="s">
        <v>2144</v>
      </c>
      <c r="U1" s="169" t="s">
        <v>2145</v>
      </c>
      <c r="V1" s="169" t="s">
        <v>2146</v>
      </c>
      <c r="W1" s="169" t="s">
        <v>2147</v>
      </c>
      <c r="X1" s="169" t="s">
        <v>2127</v>
      </c>
      <c r="Y1" s="169" t="s">
        <v>2148</v>
      </c>
      <c r="Z1" s="169" t="s">
        <v>2149</v>
      </c>
      <c r="AA1" s="169" t="s">
        <v>2150</v>
      </c>
      <c r="AB1" s="169" t="s">
        <v>2151</v>
      </c>
      <c r="AC1" s="169" t="s">
        <v>2152</v>
      </c>
      <c r="AD1" s="169" t="s">
        <v>2153</v>
      </c>
      <c r="AE1" s="169" t="s">
        <v>2154</v>
      </c>
      <c r="AF1" s="169" t="s">
        <v>2155</v>
      </c>
      <c r="AG1" s="169" t="s">
        <v>2156</v>
      </c>
      <c r="AH1" s="169" t="s">
        <v>2157</v>
      </c>
      <c r="AI1" s="169" t="s">
        <v>2158</v>
      </c>
      <c r="AJ1" s="169" t="s">
        <v>2159</v>
      </c>
      <c r="AK1" s="169" t="s">
        <v>2160</v>
      </c>
      <c r="AL1" s="169" t="s">
        <v>2161</v>
      </c>
      <c r="AM1" s="169" t="s">
        <v>2162</v>
      </c>
      <c r="AN1" s="169" t="s">
        <v>2163</v>
      </c>
      <c r="AO1" s="3"/>
      <c r="AP1"/>
    </row>
    <row r="2" spans="1:43" x14ac:dyDescent="0.2">
      <c r="A2" s="3">
        <v>23</v>
      </c>
      <c r="B2" s="3" t="s">
        <v>777</v>
      </c>
      <c r="C2" s="3" t="s">
        <v>234</v>
      </c>
      <c r="D2" s="105">
        <v>69</v>
      </c>
      <c r="E2" s="105">
        <v>611</v>
      </c>
      <c r="F2" s="106">
        <v>250</v>
      </c>
      <c r="G2" s="4">
        <v>32583</v>
      </c>
      <c r="H2" s="110">
        <f t="shared" ref="H2:H16" ca="1" si="0">ROUNDDOWN(YEARFRAC($G$28,G2),1)</f>
        <v>31.6</v>
      </c>
      <c r="I2" s="3" t="s">
        <v>248</v>
      </c>
      <c r="J2" s="3">
        <v>12</v>
      </c>
      <c r="K2" s="109">
        <v>2009</v>
      </c>
      <c r="L2" s="109">
        <v>1</v>
      </c>
      <c r="M2" s="3" t="s">
        <v>778</v>
      </c>
      <c r="N2" s="3" t="s">
        <v>779</v>
      </c>
      <c r="O2" s="3" t="s">
        <v>2016</v>
      </c>
      <c r="P2" s="11">
        <v>36810996</v>
      </c>
      <c r="Q2" s="47">
        <v>38957028</v>
      </c>
      <c r="R2" s="14">
        <v>45937500</v>
      </c>
      <c r="S2" s="12"/>
      <c r="T2" s="28"/>
      <c r="V2" s="59" t="s">
        <v>780</v>
      </c>
      <c r="W2" s="59" t="s">
        <v>781</v>
      </c>
      <c r="X2" s="69">
        <v>4</v>
      </c>
      <c r="Y2" s="69">
        <v>18</v>
      </c>
      <c r="Z2" s="65">
        <f>8/18</f>
        <v>0.44444444444444442</v>
      </c>
      <c r="AA2" s="119">
        <v>109.3</v>
      </c>
      <c r="AB2" s="119">
        <v>111.9</v>
      </c>
      <c r="AC2" s="119">
        <f t="shared" ref="AC2:AC12" si="1">AA2-AB2</f>
        <v>-2.6000000000000085</v>
      </c>
      <c r="AD2" s="119">
        <v>28.5</v>
      </c>
      <c r="AE2" s="119">
        <v>11.9</v>
      </c>
      <c r="AF2" s="65">
        <v>0.47599999999999998</v>
      </c>
      <c r="AG2" s="119">
        <v>28.4</v>
      </c>
      <c r="AH2" s="119">
        <v>-0.4</v>
      </c>
      <c r="AI2" s="119">
        <v>0.2</v>
      </c>
      <c r="AJ2" s="65">
        <v>-1.2E-2</v>
      </c>
      <c r="AK2" s="119">
        <v>1.7</v>
      </c>
      <c r="AL2" s="119">
        <v>-2.6</v>
      </c>
      <c r="AM2" s="119">
        <v>-0.3</v>
      </c>
      <c r="AN2" s="119">
        <v>8.4</v>
      </c>
    </row>
    <row r="3" spans="1:43" x14ac:dyDescent="0.2">
      <c r="A3" s="3"/>
      <c r="B3" s="3" t="s">
        <v>39</v>
      </c>
      <c r="C3" s="3" t="s">
        <v>241</v>
      </c>
      <c r="D3" s="105">
        <v>68</v>
      </c>
      <c r="E3" s="105">
        <v>73</v>
      </c>
      <c r="F3" s="106">
        <v>210</v>
      </c>
      <c r="G3" s="4">
        <v>34405</v>
      </c>
      <c r="H3" s="110">
        <f t="shared" ca="1" si="0"/>
        <v>26.7</v>
      </c>
      <c r="I3" s="3" t="s">
        <v>733</v>
      </c>
      <c r="J3" s="3">
        <v>7</v>
      </c>
      <c r="K3" s="109">
        <v>2014</v>
      </c>
      <c r="L3" s="109">
        <v>39</v>
      </c>
      <c r="M3" s="3" t="s">
        <v>2620</v>
      </c>
      <c r="N3" s="3" t="s">
        <v>346</v>
      </c>
      <c r="O3" s="3" t="s">
        <v>2475</v>
      </c>
      <c r="P3" s="16">
        <v>19050000</v>
      </c>
      <c r="Q3" s="16">
        <v>20002500</v>
      </c>
      <c r="R3" s="57">
        <v>20955000</v>
      </c>
      <c r="S3" s="51">
        <f>R3*1.5</f>
        <v>31432500</v>
      </c>
      <c r="T3" s="12"/>
      <c r="U3" s="12"/>
      <c r="V3" s="3"/>
      <c r="W3" s="135" t="s">
        <v>735</v>
      </c>
      <c r="X3" s="69">
        <v>4</v>
      </c>
      <c r="Y3" s="69">
        <v>64</v>
      </c>
      <c r="Z3" s="65">
        <f>42/64</f>
        <v>0.65625</v>
      </c>
      <c r="AA3" s="119">
        <v>109.1</v>
      </c>
      <c r="AB3" s="119">
        <v>111.2</v>
      </c>
      <c r="AC3" s="119">
        <f t="shared" si="1"/>
        <v>-2.1000000000000085</v>
      </c>
      <c r="AD3" s="119">
        <v>26.2</v>
      </c>
      <c r="AE3" s="119">
        <v>14.2</v>
      </c>
      <c r="AF3" s="65">
        <v>0.58499999999999996</v>
      </c>
      <c r="AG3" s="119">
        <v>17.8</v>
      </c>
      <c r="AH3" s="119">
        <v>2.4</v>
      </c>
      <c r="AI3" s="119">
        <v>1.7</v>
      </c>
      <c r="AJ3" s="65">
        <v>0.11600000000000001</v>
      </c>
      <c r="AK3" s="119">
        <v>-0.1</v>
      </c>
      <c r="AL3" s="119">
        <v>-0.4</v>
      </c>
      <c r="AM3" s="119">
        <v>0.7</v>
      </c>
      <c r="AN3" s="119">
        <v>8.3000000000000007</v>
      </c>
      <c r="AO3"/>
      <c r="AP3"/>
      <c r="AQ3"/>
    </row>
    <row r="4" spans="1:43" x14ac:dyDescent="0.2">
      <c r="A4" s="3"/>
      <c r="B4" s="3" t="s">
        <v>198</v>
      </c>
      <c r="C4" s="3" t="s">
        <v>230</v>
      </c>
      <c r="D4" s="105">
        <v>65</v>
      </c>
      <c r="E4" s="105">
        <v>67</v>
      </c>
      <c r="F4" s="106">
        <v>185</v>
      </c>
      <c r="G4" s="4">
        <v>33720</v>
      </c>
      <c r="H4" s="110">
        <f t="shared" ca="1" si="0"/>
        <v>28.5</v>
      </c>
      <c r="I4" s="3" t="s">
        <v>675</v>
      </c>
      <c r="J4" s="3">
        <v>6</v>
      </c>
      <c r="K4" s="109">
        <v>2015</v>
      </c>
      <c r="L4" s="109">
        <v>20</v>
      </c>
      <c r="M4" s="3" t="s">
        <v>676</v>
      </c>
      <c r="N4" s="3" t="s">
        <v>2605</v>
      </c>
      <c r="O4" s="3" t="s">
        <v>1969</v>
      </c>
      <c r="P4" s="16">
        <v>9000000</v>
      </c>
      <c r="Q4" s="11">
        <v>8526316</v>
      </c>
      <c r="R4" s="14">
        <f>Q4*1.9</f>
        <v>16200000.399999999</v>
      </c>
      <c r="S4" s="12"/>
      <c r="T4" s="12"/>
      <c r="U4" s="3"/>
      <c r="V4" s="3" t="s">
        <v>1836</v>
      </c>
      <c r="W4" t="s">
        <v>677</v>
      </c>
      <c r="X4" s="69">
        <v>2</v>
      </c>
      <c r="Y4" s="69">
        <v>65</v>
      </c>
      <c r="Z4" s="65">
        <f>39/65</f>
        <v>0.6</v>
      </c>
      <c r="AA4" s="119">
        <v>110.8</v>
      </c>
      <c r="AB4" s="119">
        <v>108.8</v>
      </c>
      <c r="AC4" s="119">
        <f t="shared" si="1"/>
        <v>2</v>
      </c>
      <c r="AD4" s="119">
        <v>21.7</v>
      </c>
      <c r="AE4" s="119">
        <v>16.100000000000001</v>
      </c>
      <c r="AF4" s="65">
        <v>0.56299999999999994</v>
      </c>
      <c r="AG4" s="119">
        <v>14.8</v>
      </c>
      <c r="AH4" s="119">
        <v>2.6</v>
      </c>
      <c r="AI4" s="119">
        <v>1.8</v>
      </c>
      <c r="AJ4" s="65">
        <v>0.14799999999999999</v>
      </c>
      <c r="AK4" s="119">
        <v>0.4</v>
      </c>
      <c r="AL4" s="119">
        <v>2</v>
      </c>
      <c r="AM4" s="119">
        <v>1.6</v>
      </c>
      <c r="AN4" s="119">
        <v>11</v>
      </c>
      <c r="AO4"/>
      <c r="AP4"/>
    </row>
    <row r="5" spans="1:43" x14ac:dyDescent="0.2">
      <c r="A5" s="3"/>
      <c r="B5" s="3" t="s">
        <v>38</v>
      </c>
      <c r="C5" s="3" t="s">
        <v>234</v>
      </c>
      <c r="D5" s="105">
        <v>611</v>
      </c>
      <c r="E5" s="105">
        <v>611</v>
      </c>
      <c r="F5" s="106">
        <v>254</v>
      </c>
      <c r="G5" s="4">
        <v>32937</v>
      </c>
      <c r="H5" s="110">
        <f t="shared" ca="1" si="0"/>
        <v>30.7</v>
      </c>
      <c r="I5" s="3" t="s">
        <v>253</v>
      </c>
      <c r="J5" s="3">
        <v>8</v>
      </c>
      <c r="K5" s="109">
        <v>2013</v>
      </c>
      <c r="L5" s="109">
        <v>22</v>
      </c>
      <c r="M5" s="3" t="s">
        <v>2572</v>
      </c>
      <c r="N5" s="3" t="s">
        <v>279</v>
      </c>
      <c r="O5" s="11" t="s">
        <v>2439</v>
      </c>
      <c r="P5" s="57">
        <v>7936508</v>
      </c>
      <c r="Q5" s="22">
        <v>8333333</v>
      </c>
      <c r="R5" s="204">
        <v>8730159</v>
      </c>
      <c r="S5" s="240">
        <f>R5*1.9</f>
        <v>16587302.1</v>
      </c>
      <c r="T5" s="12"/>
      <c r="U5" s="12"/>
      <c r="V5" s="3"/>
      <c r="W5" s="135" t="s">
        <v>545</v>
      </c>
      <c r="X5" s="69">
        <v>5</v>
      </c>
      <c r="Y5" s="69">
        <v>53</v>
      </c>
      <c r="Z5" s="65">
        <f>35/53</f>
        <v>0.660377358490566</v>
      </c>
      <c r="AA5" s="119">
        <v>107.2</v>
      </c>
      <c r="AB5" s="119">
        <v>106.4</v>
      </c>
      <c r="AC5" s="119">
        <f t="shared" si="1"/>
        <v>0.79999999999999716</v>
      </c>
      <c r="AD5" s="119">
        <v>17</v>
      </c>
      <c r="AE5" s="119">
        <v>19.100000000000001</v>
      </c>
      <c r="AF5" s="65">
        <v>0.61499999999999999</v>
      </c>
      <c r="AG5" s="119">
        <v>18.399999999999999</v>
      </c>
      <c r="AH5" s="119">
        <v>1.7</v>
      </c>
      <c r="AI5" s="119">
        <v>1.3</v>
      </c>
      <c r="AJ5" s="65">
        <v>0.16200000000000001</v>
      </c>
      <c r="AK5" s="119">
        <v>0.2</v>
      </c>
      <c r="AL5" s="119">
        <v>2</v>
      </c>
      <c r="AM5" s="119">
        <v>1</v>
      </c>
      <c r="AN5" s="119">
        <v>12.2</v>
      </c>
      <c r="AO5"/>
      <c r="AP5"/>
      <c r="AQ5"/>
    </row>
    <row r="6" spans="1:43" x14ac:dyDescent="0.2">
      <c r="A6" s="3">
        <v>25</v>
      </c>
      <c r="B6" s="3" t="s">
        <v>791</v>
      </c>
      <c r="C6" s="3" t="s">
        <v>247</v>
      </c>
      <c r="D6" s="105">
        <v>62</v>
      </c>
      <c r="E6" s="105">
        <v>68</v>
      </c>
      <c r="F6" s="106">
        <v>200</v>
      </c>
      <c r="G6" s="4">
        <v>32420</v>
      </c>
      <c r="H6" s="110">
        <f t="shared" ca="1" si="0"/>
        <v>32.1</v>
      </c>
      <c r="I6" s="3" t="s">
        <v>223</v>
      </c>
      <c r="J6" s="3">
        <v>13</v>
      </c>
      <c r="K6" s="109">
        <v>2008</v>
      </c>
      <c r="L6" s="109">
        <v>1</v>
      </c>
      <c r="M6" s="3" t="s">
        <v>409</v>
      </c>
      <c r="N6" s="3" t="s">
        <v>495</v>
      </c>
      <c r="O6" s="3" t="s">
        <v>2017</v>
      </c>
      <c r="P6" s="11">
        <v>7682926</v>
      </c>
      <c r="Q6" s="14">
        <f>P6*1.3</f>
        <v>9987803.8000000007</v>
      </c>
      <c r="R6" s="3"/>
      <c r="S6" s="3"/>
      <c r="T6" s="188"/>
      <c r="W6" s="59" t="s">
        <v>792</v>
      </c>
      <c r="X6" s="69">
        <v>1</v>
      </c>
      <c r="Y6" s="69">
        <v>50</v>
      </c>
      <c r="Z6" s="65">
        <f>17/50</f>
        <v>0.34</v>
      </c>
      <c r="AA6" s="119">
        <v>108.8</v>
      </c>
      <c r="AB6" s="119">
        <v>112.2</v>
      </c>
      <c r="AC6" s="119">
        <f t="shared" si="1"/>
        <v>-3.4000000000000057</v>
      </c>
      <c r="AD6" s="119">
        <v>26</v>
      </c>
      <c r="AE6" s="119">
        <v>21.1</v>
      </c>
      <c r="AF6" s="65">
        <v>0.55500000000000005</v>
      </c>
      <c r="AG6" s="119">
        <v>31.6</v>
      </c>
      <c r="AH6" s="119">
        <v>1.9</v>
      </c>
      <c r="AI6" s="119">
        <v>0.6</v>
      </c>
      <c r="AJ6" s="65">
        <v>9.2999999999999999E-2</v>
      </c>
      <c r="AK6" s="119">
        <v>4</v>
      </c>
      <c r="AL6" s="119">
        <v>-1.7</v>
      </c>
      <c r="AM6" s="119">
        <v>1.4</v>
      </c>
      <c r="AN6" s="119">
        <v>14</v>
      </c>
    </row>
    <row r="7" spans="1:43" x14ac:dyDescent="0.2">
      <c r="B7" s="3" t="s">
        <v>2257</v>
      </c>
      <c r="C7" s="59" t="s">
        <v>247</v>
      </c>
      <c r="D7" s="105">
        <v>65</v>
      </c>
      <c r="E7" s="105">
        <v>68</v>
      </c>
      <c r="F7" s="106">
        <v>176</v>
      </c>
      <c r="G7" s="4">
        <v>37099</v>
      </c>
      <c r="H7" s="110">
        <f t="shared" ca="1" si="0"/>
        <v>19.3</v>
      </c>
      <c r="I7" s="59" t="s">
        <v>226</v>
      </c>
      <c r="J7" s="59">
        <v>1</v>
      </c>
      <c r="K7" s="109">
        <v>2020</v>
      </c>
      <c r="L7" s="109">
        <v>7</v>
      </c>
      <c r="M7" s="3" t="s">
        <v>2258</v>
      </c>
      <c r="N7" s="22" t="s">
        <v>244</v>
      </c>
      <c r="O7" s="16" t="s">
        <v>2259</v>
      </c>
      <c r="P7" s="11">
        <v>5307120</v>
      </c>
      <c r="Q7" s="11">
        <v>5572680</v>
      </c>
      <c r="R7" s="50">
        <v>5837760</v>
      </c>
      <c r="S7" s="50">
        <f>R7*1.27</f>
        <v>7413955.2000000002</v>
      </c>
      <c r="T7" s="49">
        <f>S7*3</f>
        <v>22241865.600000001</v>
      </c>
      <c r="X7" s="69"/>
      <c r="Y7" s="69"/>
      <c r="Z7" s="65"/>
      <c r="AA7" s="119"/>
      <c r="AB7" s="119"/>
      <c r="AC7" s="119"/>
      <c r="AD7" s="119"/>
      <c r="AE7" s="119"/>
      <c r="AF7" s="65"/>
      <c r="AG7" s="119"/>
      <c r="AH7" s="119"/>
      <c r="AI7" s="119"/>
      <c r="AJ7" s="65"/>
      <c r="AK7" s="119"/>
      <c r="AL7" s="119"/>
      <c r="AM7" s="119"/>
      <c r="AN7" s="119"/>
    </row>
    <row r="8" spans="1:43" x14ac:dyDescent="0.2">
      <c r="A8" s="3">
        <v>45</v>
      </c>
      <c r="B8" s="3" t="s">
        <v>798</v>
      </c>
      <c r="C8" s="3" t="s">
        <v>241</v>
      </c>
      <c r="D8" s="105">
        <v>68</v>
      </c>
      <c r="E8" s="105">
        <v>611</v>
      </c>
      <c r="F8" s="106">
        <v>230</v>
      </c>
      <c r="G8" s="4">
        <v>36883</v>
      </c>
      <c r="H8" s="110">
        <f t="shared" ca="1" si="0"/>
        <v>19.899999999999999</v>
      </c>
      <c r="I8" s="3" t="s">
        <v>799</v>
      </c>
      <c r="J8" s="3">
        <v>2</v>
      </c>
      <c r="K8" s="109">
        <v>2019</v>
      </c>
      <c r="L8" s="109">
        <v>15</v>
      </c>
      <c r="M8" s="3" t="s">
        <v>800</v>
      </c>
      <c r="N8" s="3" t="s">
        <v>244</v>
      </c>
      <c r="O8" s="11" t="s">
        <v>2019</v>
      </c>
      <c r="P8" s="11">
        <v>3449400</v>
      </c>
      <c r="Q8" s="50">
        <v>3613680</v>
      </c>
      <c r="R8" s="50">
        <v>5539771</v>
      </c>
      <c r="S8" s="49">
        <v>16619313</v>
      </c>
      <c r="T8" s="25"/>
      <c r="W8" s="59" t="s">
        <v>801</v>
      </c>
      <c r="X8" s="69">
        <v>4</v>
      </c>
      <c r="Y8" s="69">
        <v>38</v>
      </c>
      <c r="Z8" s="65">
        <f>10/38</f>
        <v>0.26315789473684209</v>
      </c>
      <c r="AA8" s="119">
        <v>104</v>
      </c>
      <c r="AB8" s="119">
        <v>114.8</v>
      </c>
      <c r="AC8" s="119">
        <f t="shared" si="1"/>
        <v>-10.799999999999997</v>
      </c>
      <c r="AD8" s="119">
        <v>19.8</v>
      </c>
      <c r="AE8" s="119">
        <v>6.2</v>
      </c>
      <c r="AF8" s="65">
        <v>0.47399999999999998</v>
      </c>
      <c r="AG8" s="119">
        <v>16.899999999999999</v>
      </c>
      <c r="AH8" s="119">
        <v>-0.8</v>
      </c>
      <c r="AI8" s="119">
        <v>0.5</v>
      </c>
      <c r="AJ8" s="65">
        <v>-0.02</v>
      </c>
      <c r="AK8" s="119">
        <v>-5.2</v>
      </c>
      <c r="AL8" s="119">
        <v>-1.5</v>
      </c>
      <c r="AM8" s="119">
        <v>-0.9</v>
      </c>
      <c r="AN8" s="119">
        <v>3.9</v>
      </c>
    </row>
    <row r="9" spans="1:43" x14ac:dyDescent="0.2">
      <c r="A9" s="82"/>
      <c r="B9" s="70" t="s">
        <v>2284</v>
      </c>
      <c r="C9" s="82" t="s">
        <v>234</v>
      </c>
      <c r="D9" s="105">
        <v>69</v>
      </c>
      <c r="E9" s="105">
        <v>74</v>
      </c>
      <c r="F9" s="106">
        <v>250</v>
      </c>
      <c r="G9" s="85">
        <v>37033</v>
      </c>
      <c r="H9" s="82">
        <f t="shared" ca="1" si="0"/>
        <v>19.5</v>
      </c>
      <c r="I9" s="82" t="s">
        <v>1280</v>
      </c>
      <c r="J9" s="82">
        <v>1</v>
      </c>
      <c r="K9" s="82">
        <v>2020</v>
      </c>
      <c r="L9" s="82">
        <v>16</v>
      </c>
      <c r="M9" s="82" t="s">
        <v>2285</v>
      </c>
      <c r="N9" s="82" t="s">
        <v>244</v>
      </c>
      <c r="O9" s="193" t="s">
        <v>2182</v>
      </c>
      <c r="P9" s="87">
        <v>3121080</v>
      </c>
      <c r="Q9" s="87">
        <v>3277080</v>
      </c>
      <c r="R9" s="160">
        <v>3433320</v>
      </c>
      <c r="S9" s="160">
        <f>R9*1.534</f>
        <v>5266712.88</v>
      </c>
      <c r="T9" s="161">
        <f>S9*3</f>
        <v>15800138.640000001</v>
      </c>
      <c r="U9" s="82"/>
      <c r="V9" s="82"/>
      <c r="W9" s="82"/>
      <c r="X9" s="95"/>
      <c r="Y9" s="95"/>
      <c r="Z9" s="94"/>
      <c r="AA9" s="86"/>
      <c r="AB9" s="86"/>
      <c r="AC9" s="86"/>
      <c r="AD9" s="119"/>
      <c r="AE9" s="119"/>
      <c r="AF9" s="65"/>
      <c r="AG9" s="119"/>
      <c r="AH9" s="119"/>
      <c r="AI9" s="119"/>
      <c r="AJ9" s="65"/>
      <c r="AK9" s="119"/>
      <c r="AL9" s="119"/>
      <c r="AM9" s="119"/>
      <c r="AN9" s="119"/>
    </row>
    <row r="10" spans="1:43" x14ac:dyDescent="0.2">
      <c r="A10" s="3"/>
      <c r="B10" s="3" t="s">
        <v>2291</v>
      </c>
      <c r="C10" s="3" t="s">
        <v>241</v>
      </c>
      <c r="D10" s="105">
        <v>68</v>
      </c>
      <c r="E10" s="105">
        <v>611</v>
      </c>
      <c r="F10" s="106">
        <v>216</v>
      </c>
      <c r="G10" s="4">
        <v>36259</v>
      </c>
      <c r="H10" s="110">
        <f t="shared" ca="1" si="0"/>
        <v>21.6</v>
      </c>
      <c r="I10" s="3" t="s">
        <v>559</v>
      </c>
      <c r="J10" s="3">
        <v>1</v>
      </c>
      <c r="K10" s="54">
        <v>2020</v>
      </c>
      <c r="L10" s="109">
        <v>19</v>
      </c>
      <c r="M10" s="16" t="s">
        <v>2292</v>
      </c>
      <c r="N10" s="16" t="s">
        <v>244</v>
      </c>
      <c r="O10" s="16" t="s">
        <v>2293</v>
      </c>
      <c r="P10" s="22">
        <v>2689920</v>
      </c>
      <c r="Q10" s="22">
        <v>2824320</v>
      </c>
      <c r="R10" s="214">
        <v>2959080</v>
      </c>
      <c r="S10" s="214">
        <v>4556983</v>
      </c>
      <c r="T10" s="68">
        <f>S10*3</f>
        <v>13670949</v>
      </c>
      <c r="U10" s="2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119"/>
    </row>
    <row r="11" spans="1:43" x14ac:dyDescent="0.2">
      <c r="A11" s="3"/>
      <c r="B11" s="3" t="s">
        <v>430</v>
      </c>
      <c r="C11" s="3" t="s">
        <v>241</v>
      </c>
      <c r="D11" s="105">
        <v>69</v>
      </c>
      <c r="E11" s="105">
        <v>69</v>
      </c>
      <c r="F11" s="106">
        <v>217</v>
      </c>
      <c r="G11" s="4">
        <v>36288</v>
      </c>
      <c r="H11" s="110">
        <f t="shared" ca="1" si="0"/>
        <v>21.5</v>
      </c>
      <c r="I11" s="3" t="s">
        <v>431</v>
      </c>
      <c r="J11" s="3">
        <v>3</v>
      </c>
      <c r="K11" s="109">
        <v>2018</v>
      </c>
      <c r="L11" s="109">
        <v>29</v>
      </c>
      <c r="M11" s="3" t="s">
        <v>2478</v>
      </c>
      <c r="N11" s="3" t="s">
        <v>2175</v>
      </c>
      <c r="O11" s="3" t="s">
        <v>1904</v>
      </c>
      <c r="P11" s="22">
        <v>2002800</v>
      </c>
      <c r="Q11" s="214">
        <v>3615054</v>
      </c>
      <c r="R11" s="68">
        <v>10856162</v>
      </c>
      <c r="S11" s="212"/>
      <c r="T11" s="213"/>
      <c r="U11" s="22"/>
      <c r="V11" s="3"/>
      <c r="W11" s="3" t="s">
        <v>432</v>
      </c>
      <c r="X11" s="107">
        <v>4</v>
      </c>
      <c r="Y11" s="107">
        <v>35</v>
      </c>
      <c r="Z11" s="41">
        <f>17/35</f>
        <v>0.48571428571428571</v>
      </c>
      <c r="AA11" s="110">
        <v>100.1</v>
      </c>
      <c r="AB11" s="110">
        <v>105.5</v>
      </c>
      <c r="AC11" s="110">
        <f t="shared" si="1"/>
        <v>-5.4000000000000057</v>
      </c>
      <c r="AD11" s="110">
        <v>11.5</v>
      </c>
      <c r="AE11" s="110">
        <v>8.4</v>
      </c>
      <c r="AF11" s="41">
        <v>0.46700000000000003</v>
      </c>
      <c r="AG11" s="110">
        <v>19.399999999999999</v>
      </c>
      <c r="AH11" s="110">
        <v>-0.4</v>
      </c>
      <c r="AI11" s="110">
        <v>0.4</v>
      </c>
      <c r="AJ11" s="41">
        <v>6.0000000000000001E-3</v>
      </c>
      <c r="AK11" s="110">
        <v>-4.0999999999999996</v>
      </c>
      <c r="AL11" s="110">
        <v>-0.7</v>
      </c>
      <c r="AM11" s="110">
        <v>-0.3</v>
      </c>
      <c r="AN11" s="110">
        <v>6.6</v>
      </c>
    </row>
    <row r="12" spans="1:43" x14ac:dyDescent="0.2">
      <c r="A12" s="3"/>
      <c r="B12" s="3" t="s">
        <v>115</v>
      </c>
      <c r="C12" s="2" t="s">
        <v>234</v>
      </c>
      <c r="D12" s="105">
        <v>610</v>
      </c>
      <c r="E12" s="105">
        <v>75</v>
      </c>
      <c r="F12" s="106">
        <v>270</v>
      </c>
      <c r="G12" s="4">
        <v>35048</v>
      </c>
      <c r="H12" s="119">
        <f t="shared" ca="1" si="0"/>
        <v>24.9</v>
      </c>
      <c r="I12" t="s">
        <v>253</v>
      </c>
      <c r="J12" s="3">
        <v>6</v>
      </c>
      <c r="K12" s="107">
        <v>2015</v>
      </c>
      <c r="L12" s="107">
        <v>3</v>
      </c>
      <c r="M12" s="3" t="s">
        <v>2586</v>
      </c>
      <c r="N12" s="3" t="s">
        <v>276</v>
      </c>
      <c r="O12" s="7" t="s">
        <v>2615</v>
      </c>
      <c r="P12" s="16">
        <v>1882867</v>
      </c>
      <c r="Q12" s="16">
        <v>2130023</v>
      </c>
      <c r="R12" s="234"/>
      <c r="S12" s="12"/>
      <c r="T12" s="12"/>
      <c r="U12"/>
      <c r="V12"/>
      <c r="W12" s="132" t="s">
        <v>238</v>
      </c>
      <c r="X12" s="107">
        <v>5</v>
      </c>
      <c r="Y12" s="107">
        <v>28</v>
      </c>
      <c r="Z12" s="41">
        <f>9/28</f>
        <v>0.32142857142857145</v>
      </c>
      <c r="AA12" s="110">
        <v>104.3</v>
      </c>
      <c r="AB12" s="110">
        <v>116</v>
      </c>
      <c r="AC12" s="110">
        <f t="shared" si="1"/>
        <v>-11.700000000000003</v>
      </c>
      <c r="AD12" s="110">
        <v>15.1</v>
      </c>
      <c r="AE12" s="110">
        <v>17.8</v>
      </c>
      <c r="AF12" s="41">
        <v>0.63100000000000001</v>
      </c>
      <c r="AG12" s="110">
        <v>19.8</v>
      </c>
      <c r="AH12" s="110">
        <v>0.7</v>
      </c>
      <c r="AI12" s="110">
        <v>0.4</v>
      </c>
      <c r="AJ12" s="41">
        <v>0.129</v>
      </c>
      <c r="AK12" s="110">
        <v>-0.8</v>
      </c>
      <c r="AL12" s="110">
        <v>0.6</v>
      </c>
      <c r="AM12" s="110">
        <v>0.2</v>
      </c>
      <c r="AN12" s="110">
        <v>10.5</v>
      </c>
    </row>
    <row r="13" spans="1:43" x14ac:dyDescent="0.2">
      <c r="A13" s="3">
        <v>19</v>
      </c>
      <c r="B13" s="3" t="s">
        <v>811</v>
      </c>
      <c r="C13" s="3" t="s">
        <v>241</v>
      </c>
      <c r="D13" s="105">
        <v>67</v>
      </c>
      <c r="E13" s="105">
        <v>65</v>
      </c>
      <c r="F13" s="106">
        <v>205</v>
      </c>
      <c r="G13" s="4">
        <v>35591</v>
      </c>
      <c r="H13" s="110">
        <f t="shared" ca="1" si="0"/>
        <v>23.4</v>
      </c>
      <c r="I13" s="3" t="s">
        <v>498</v>
      </c>
      <c r="J13" s="3">
        <v>3</v>
      </c>
      <c r="K13" s="109">
        <v>2018</v>
      </c>
      <c r="L13" s="109">
        <v>47</v>
      </c>
      <c r="M13" s="3" t="s">
        <v>812</v>
      </c>
      <c r="N13" s="3" t="s">
        <v>813</v>
      </c>
      <c r="O13" s="3" t="s">
        <v>2571</v>
      </c>
      <c r="P13" s="16">
        <v>1663861</v>
      </c>
      <c r="Q13" s="49">
        <v>2122822</v>
      </c>
      <c r="R13" s="12"/>
      <c r="S13" s="12"/>
      <c r="T13" s="28"/>
      <c r="W13" s="59" t="s">
        <v>814</v>
      </c>
      <c r="X13" s="69">
        <v>3</v>
      </c>
      <c r="Y13" s="69">
        <v>56</v>
      </c>
      <c r="Z13" s="65">
        <f>17/56</f>
        <v>0.30357142857142855</v>
      </c>
      <c r="AA13" s="119">
        <v>108.6</v>
      </c>
      <c r="AB13" s="119">
        <v>109.2</v>
      </c>
      <c r="AC13" s="119">
        <f t="shared" ref="AC13:AC15" si="2">AA13-AB13</f>
        <v>-0.60000000000000853</v>
      </c>
      <c r="AD13" s="119">
        <v>22.6</v>
      </c>
      <c r="AE13" s="119">
        <v>11.2</v>
      </c>
      <c r="AF13" s="65">
        <v>0.57799999999999996</v>
      </c>
      <c r="AG13" s="119">
        <v>17.100000000000001</v>
      </c>
      <c r="AH13" s="119">
        <v>1</v>
      </c>
      <c r="AI13" s="119">
        <v>0.6</v>
      </c>
      <c r="AJ13" s="65">
        <v>0.06</v>
      </c>
      <c r="AK13" s="119">
        <v>-0.7</v>
      </c>
      <c r="AL13" s="119">
        <v>-1.2</v>
      </c>
      <c r="AM13" s="119">
        <v>0</v>
      </c>
      <c r="AN13" s="119">
        <v>6.9</v>
      </c>
    </row>
    <row r="14" spans="1:43" x14ac:dyDescent="0.2">
      <c r="A14" s="95"/>
      <c r="B14" s="97" t="s">
        <v>86</v>
      </c>
      <c r="C14" s="97" t="s">
        <v>241</v>
      </c>
      <c r="D14" s="83">
        <v>68</v>
      </c>
      <c r="E14" s="83">
        <v>610</v>
      </c>
      <c r="F14" s="84">
        <v>207</v>
      </c>
      <c r="G14" s="85">
        <v>35471</v>
      </c>
      <c r="H14" s="86">
        <f t="shared" ca="1" si="0"/>
        <v>23.7</v>
      </c>
      <c r="I14" s="97" t="s">
        <v>498</v>
      </c>
      <c r="J14" s="95">
        <v>4</v>
      </c>
      <c r="K14" s="95">
        <v>2017</v>
      </c>
      <c r="L14" s="95">
        <v>4</v>
      </c>
      <c r="M14" s="97" t="s">
        <v>2616</v>
      </c>
      <c r="N14" s="97" t="s">
        <v>276</v>
      </c>
      <c r="O14" s="93" t="s">
        <v>2438</v>
      </c>
      <c r="P14" s="184">
        <v>1620564</v>
      </c>
      <c r="Q14" s="246"/>
      <c r="R14" s="82"/>
      <c r="S14" s="92"/>
      <c r="T14" s="82"/>
      <c r="U14" s="82"/>
      <c r="V14" s="97"/>
      <c r="W14" s="97" t="s">
        <v>1119</v>
      </c>
      <c r="X14" s="95">
        <v>3</v>
      </c>
      <c r="Y14" s="82">
        <v>18</v>
      </c>
      <c r="Z14" s="94">
        <f>9/18</f>
        <v>0.5</v>
      </c>
      <c r="AA14" s="86">
        <v>109.1</v>
      </c>
      <c r="AB14" s="86">
        <v>105.9</v>
      </c>
      <c r="AC14" s="86">
        <f t="shared" si="2"/>
        <v>3.1999999999999886</v>
      </c>
      <c r="AD14" s="86">
        <v>18.8</v>
      </c>
      <c r="AE14" s="86">
        <v>14</v>
      </c>
      <c r="AF14" s="94">
        <v>0.53900000000000003</v>
      </c>
      <c r="AG14" s="86">
        <v>23.2</v>
      </c>
      <c r="AH14" s="86">
        <v>0</v>
      </c>
      <c r="AI14" s="86">
        <v>0.4</v>
      </c>
      <c r="AJ14" s="94">
        <v>6.2E-2</v>
      </c>
      <c r="AK14" s="86">
        <v>-1.1000000000000001</v>
      </c>
      <c r="AL14" s="86">
        <v>1.2</v>
      </c>
      <c r="AM14" s="86">
        <v>0.2</v>
      </c>
      <c r="AN14" s="86">
        <v>8.8000000000000007</v>
      </c>
    </row>
    <row r="15" spans="1:43" x14ac:dyDescent="0.2">
      <c r="A15" s="3"/>
      <c r="B15" s="3" t="s">
        <v>122</v>
      </c>
      <c r="C15" s="3" t="s">
        <v>230</v>
      </c>
      <c r="D15" s="105">
        <v>64</v>
      </c>
      <c r="E15" s="105">
        <v>67</v>
      </c>
      <c r="F15" s="106">
        <v>207</v>
      </c>
      <c r="G15" s="4">
        <v>32110</v>
      </c>
      <c r="H15" s="110">
        <f ca="1">ROUNDDOWN(YEARFRAC($G$28,G15),1)</f>
        <v>32.9</v>
      </c>
      <c r="I15" s="3" t="s">
        <v>275</v>
      </c>
      <c r="J15" s="3">
        <v>12</v>
      </c>
      <c r="K15" s="3">
        <v>2009</v>
      </c>
      <c r="L15" s="59">
        <v>28</v>
      </c>
      <c r="M15" s="3" t="s">
        <v>2502</v>
      </c>
      <c r="N15" s="97" t="s">
        <v>276</v>
      </c>
      <c r="O15" s="93" t="s">
        <v>2438</v>
      </c>
      <c r="P15" s="184">
        <v>1620564</v>
      </c>
      <c r="Q15" s="246"/>
      <c r="R15" s="3"/>
      <c r="S15" s="3"/>
      <c r="T15"/>
      <c r="U15"/>
      <c r="V15"/>
      <c r="W15" t="s">
        <v>1344</v>
      </c>
      <c r="X15" s="69">
        <v>2</v>
      </c>
      <c r="Y15" s="69">
        <v>36</v>
      </c>
      <c r="Z15" s="65">
        <f>9/36</f>
        <v>0.25</v>
      </c>
      <c r="AA15" s="119">
        <v>102.4</v>
      </c>
      <c r="AB15" s="119">
        <v>105.5</v>
      </c>
      <c r="AC15" s="119">
        <f t="shared" si="2"/>
        <v>-3.0999999999999943</v>
      </c>
      <c r="AD15" s="119">
        <v>15.5</v>
      </c>
      <c r="AE15" s="119">
        <v>8.5</v>
      </c>
      <c r="AF15" s="65">
        <v>0.50900000000000001</v>
      </c>
      <c r="AG15" s="119">
        <v>15</v>
      </c>
      <c r="AH15" s="119">
        <v>0.2</v>
      </c>
      <c r="AI15" s="119">
        <v>0.2</v>
      </c>
      <c r="AJ15" s="65">
        <v>3.5000000000000003E-2</v>
      </c>
      <c r="AK15" s="119">
        <v>-1.9</v>
      </c>
      <c r="AL15" s="119">
        <v>-1</v>
      </c>
      <c r="AM15" s="119">
        <v>-0.1</v>
      </c>
      <c r="AN15" s="119">
        <v>6.8</v>
      </c>
      <c r="AO15"/>
      <c r="AP15"/>
      <c r="AQ15"/>
    </row>
    <row r="16" spans="1:43" x14ac:dyDescent="0.2">
      <c r="A16" s="3"/>
      <c r="B16" s="3" t="s">
        <v>2338</v>
      </c>
      <c r="C16" s="3" t="s">
        <v>2280</v>
      </c>
      <c r="D16" s="105">
        <v>62</v>
      </c>
      <c r="E16" s="105">
        <v>68</v>
      </c>
      <c r="F16" s="106">
        <v>183</v>
      </c>
      <c r="G16" s="4">
        <v>36334</v>
      </c>
      <c r="H16" s="110">
        <f t="shared" ca="1" si="0"/>
        <v>21.4</v>
      </c>
      <c r="I16" s="3" t="s">
        <v>566</v>
      </c>
      <c r="J16" s="3">
        <v>1</v>
      </c>
      <c r="K16" s="54">
        <v>2020</v>
      </c>
      <c r="L16" s="109">
        <v>38</v>
      </c>
      <c r="M16" s="16" t="s">
        <v>2339</v>
      </c>
      <c r="N16" s="16" t="s">
        <v>288</v>
      </c>
      <c r="O16" s="16" t="s">
        <v>2516</v>
      </c>
      <c r="P16" s="22" t="s">
        <v>288</v>
      </c>
      <c r="Q16" s="22"/>
      <c r="R16" s="57"/>
      <c r="S16" s="57"/>
      <c r="T16" s="57"/>
      <c r="U16" s="57"/>
      <c r="V16" s="3"/>
      <c r="W16" s="3"/>
      <c r="X16" s="3"/>
      <c r="Y16" s="3"/>
      <c r="Z16" s="3"/>
      <c r="AA16" s="3"/>
      <c r="AB16" s="119"/>
      <c r="AC16" s="119"/>
      <c r="AD16" s="119"/>
      <c r="AE16" s="119"/>
      <c r="AF16" s="65"/>
      <c r="AG16" s="119"/>
      <c r="AH16" s="119"/>
      <c r="AI16" s="119"/>
      <c r="AJ16" s="65"/>
      <c r="AK16" s="119"/>
      <c r="AL16" s="119"/>
      <c r="AM16" s="119"/>
      <c r="AN16" s="119"/>
    </row>
    <row r="17" spans="1:41" x14ac:dyDescent="0.2">
      <c r="B17" s="59" t="s">
        <v>290</v>
      </c>
      <c r="D17" s="105"/>
      <c r="E17" s="105"/>
      <c r="F17" s="106"/>
      <c r="G17" s="4"/>
      <c r="H17" s="110"/>
      <c r="K17" s="109"/>
      <c r="L17" s="109"/>
      <c r="M17" s="54"/>
      <c r="N17" s="54"/>
      <c r="O17" s="54"/>
      <c r="P17" s="22">
        <f>2866667+1038461+1068200</f>
        <v>4973328</v>
      </c>
      <c r="Q17" s="22">
        <f>2866667+1038461+1068200</f>
        <v>4973328</v>
      </c>
      <c r="R17" s="22">
        <f>2866667+1038461+1068200</f>
        <v>4973328</v>
      </c>
      <c r="S17" s="22">
        <f>2866667+1038461</f>
        <v>3905128</v>
      </c>
      <c r="T17" s="22">
        <f>2866667+1038461</f>
        <v>3905128</v>
      </c>
      <c r="X17" s="69"/>
      <c r="Y17" s="69"/>
      <c r="Z17" s="65"/>
      <c r="AA17" s="119"/>
      <c r="AB17" s="119"/>
      <c r="AC17" s="119"/>
      <c r="AD17" s="119"/>
      <c r="AE17" s="119"/>
      <c r="AF17" s="65"/>
      <c r="AG17" s="119"/>
      <c r="AH17" s="119"/>
      <c r="AI17" s="119"/>
      <c r="AJ17" s="65"/>
      <c r="AK17" s="119"/>
      <c r="AL17" s="119"/>
      <c r="AM17" s="119"/>
      <c r="AN17" s="119"/>
    </row>
    <row r="18" spans="1:41" ht="17" x14ac:dyDescent="0.2">
      <c r="B18" s="3"/>
      <c r="H18" s="35"/>
      <c r="K18" s="57"/>
      <c r="L18" s="16"/>
      <c r="M18" s="3"/>
      <c r="N18" s="22"/>
      <c r="O18" s="16"/>
      <c r="P18" s="11"/>
      <c r="Q18" s="11"/>
      <c r="R18" s="16"/>
      <c r="S18" s="16"/>
      <c r="T18" s="16"/>
      <c r="X18" s="69"/>
      <c r="Y18" s="69"/>
      <c r="Z18" s="65"/>
      <c r="AA18" s="119"/>
      <c r="AB18" s="119"/>
      <c r="AC18" s="119"/>
      <c r="AD18" s="119"/>
      <c r="AE18" s="119"/>
      <c r="AF18" s="65"/>
      <c r="AG18" s="119"/>
      <c r="AH18" s="119"/>
      <c r="AI18" s="119"/>
      <c r="AJ18" s="65"/>
      <c r="AK18" s="119"/>
      <c r="AL18" s="119"/>
      <c r="AM18" s="119"/>
      <c r="AN18" s="119"/>
    </row>
    <row r="19" spans="1:41" x14ac:dyDescent="0.2">
      <c r="A19" s="3"/>
      <c r="B19" s="3" t="s">
        <v>1506</v>
      </c>
      <c r="C19" s="3" t="s">
        <v>252</v>
      </c>
      <c r="D19" s="105">
        <v>63</v>
      </c>
      <c r="E19" s="105">
        <v>610</v>
      </c>
      <c r="F19" s="106">
        <v>205</v>
      </c>
      <c r="G19" s="4">
        <v>36315</v>
      </c>
      <c r="H19" s="110">
        <f t="shared" ref="H19:H26" ca="1" si="3">ROUNDDOWN(YEARFRAC($G$28,G19),1)</f>
        <v>21.4</v>
      </c>
      <c r="I19" s="3" t="s">
        <v>641</v>
      </c>
      <c r="J19" s="3">
        <v>3</v>
      </c>
      <c r="K19" s="3">
        <v>2018</v>
      </c>
      <c r="L19" s="3">
        <v>16</v>
      </c>
      <c r="M19" s="3" t="s">
        <v>2226</v>
      </c>
      <c r="N19" s="3"/>
      <c r="O19" s="3"/>
      <c r="P19" s="14"/>
      <c r="Q19" s="16"/>
      <c r="R19" s="16"/>
      <c r="S19" s="3"/>
      <c r="T19" s="3"/>
      <c r="U19" s="3"/>
      <c r="V19" s="3"/>
      <c r="W19" s="3" t="s">
        <v>1507</v>
      </c>
      <c r="X19" s="107">
        <v>3</v>
      </c>
      <c r="Y19" s="107">
        <v>7</v>
      </c>
      <c r="Z19" s="41">
        <f>3/7</f>
        <v>0.42857142857142855</v>
      </c>
      <c r="AA19" s="110">
        <v>102.8</v>
      </c>
      <c r="AB19" s="110">
        <v>115.1</v>
      </c>
      <c r="AC19" s="110">
        <f t="shared" ref="AC19" si="4">AA19-AB19</f>
        <v>-12.299999999999997</v>
      </c>
      <c r="AD19" s="110">
        <v>4.5999999999999996</v>
      </c>
      <c r="AE19" s="110">
        <v>1.1000000000000001</v>
      </c>
      <c r="AF19" s="41">
        <v>0.313</v>
      </c>
      <c r="AG19" s="110">
        <v>19.899999999999999</v>
      </c>
      <c r="AH19" s="110">
        <v>-0.1</v>
      </c>
      <c r="AI19" s="110">
        <v>0.1</v>
      </c>
      <c r="AJ19" s="41">
        <v>-0.11799999999999999</v>
      </c>
      <c r="AK19" s="110">
        <v>-10.8</v>
      </c>
      <c r="AL19" s="110">
        <v>0.8</v>
      </c>
      <c r="AM19" s="110">
        <v>-0.1</v>
      </c>
      <c r="AN19" s="110">
        <v>-0.8</v>
      </c>
    </row>
    <row r="20" spans="1:41" x14ac:dyDescent="0.2">
      <c r="A20" s="3">
        <v>20</v>
      </c>
      <c r="B20" s="3" t="s">
        <v>45</v>
      </c>
      <c r="C20" s="3" t="s">
        <v>247</v>
      </c>
      <c r="D20" s="105">
        <v>62</v>
      </c>
      <c r="E20" s="105">
        <v>67</v>
      </c>
      <c r="F20" s="106">
        <v>182</v>
      </c>
      <c r="G20" s="4">
        <v>33574</v>
      </c>
      <c r="H20" s="110">
        <f t="shared" ca="1" si="3"/>
        <v>28.9</v>
      </c>
      <c r="I20" s="3" t="s">
        <v>266</v>
      </c>
      <c r="J20" s="3">
        <v>10</v>
      </c>
      <c r="K20" s="109">
        <v>2011</v>
      </c>
      <c r="L20" s="109">
        <v>8</v>
      </c>
      <c r="M20" s="3" t="s">
        <v>782</v>
      </c>
      <c r="N20" s="3"/>
      <c r="O20" s="11"/>
      <c r="P20" s="14"/>
      <c r="Q20" s="3"/>
      <c r="R20" s="3"/>
      <c r="S20" s="237"/>
      <c r="T20" s="237"/>
      <c r="U20" s="237"/>
      <c r="W20" s="59" t="s">
        <v>784</v>
      </c>
      <c r="X20" s="69">
        <v>1</v>
      </c>
      <c r="Y20" s="69">
        <v>9</v>
      </c>
      <c r="Z20" s="65">
        <f>1/9</f>
        <v>0.1111111111111111</v>
      </c>
      <c r="AA20" s="119">
        <v>112.2</v>
      </c>
      <c r="AB20" s="119">
        <v>117.2</v>
      </c>
      <c r="AC20" s="119">
        <f t="shared" ref="AC20:AC26" si="5">AA20-AB20</f>
        <v>-5</v>
      </c>
      <c r="AD20" s="119">
        <v>24.6</v>
      </c>
      <c r="AE20" s="119">
        <v>11.9</v>
      </c>
      <c r="AF20" s="65">
        <v>0.57599999999999996</v>
      </c>
      <c r="AG20" s="119">
        <v>22.2</v>
      </c>
      <c r="AH20" s="119">
        <v>0.1</v>
      </c>
      <c r="AI20" s="119">
        <v>0.1</v>
      </c>
      <c r="AJ20" s="65">
        <v>4.5999999999999999E-2</v>
      </c>
      <c r="AK20" s="119">
        <v>0.5</v>
      </c>
      <c r="AL20" s="119">
        <v>-2.5</v>
      </c>
      <c r="AM20" s="119">
        <v>0</v>
      </c>
      <c r="AN20" s="119">
        <v>7.6</v>
      </c>
    </row>
    <row r="21" spans="1:41" x14ac:dyDescent="0.2">
      <c r="A21" s="3">
        <v>31</v>
      </c>
      <c r="B21" s="3" t="s">
        <v>47</v>
      </c>
      <c r="C21" s="3" t="s">
        <v>234</v>
      </c>
      <c r="D21" s="105">
        <v>69</v>
      </c>
      <c r="E21" s="105">
        <v>76</v>
      </c>
      <c r="F21" s="106">
        <v>219</v>
      </c>
      <c r="G21" s="4">
        <v>33235</v>
      </c>
      <c r="H21" s="110">
        <f t="shared" ca="1" si="3"/>
        <v>29.9</v>
      </c>
      <c r="I21" s="3" t="s">
        <v>275</v>
      </c>
      <c r="J21" s="3">
        <v>9</v>
      </c>
      <c r="K21" s="109">
        <v>2012</v>
      </c>
      <c r="L21" s="109">
        <v>14</v>
      </c>
      <c r="M21" s="3" t="s">
        <v>782</v>
      </c>
      <c r="N21" s="3"/>
      <c r="O21" s="3"/>
      <c r="P21" s="14"/>
      <c r="Q21" s="3"/>
      <c r="R21" s="241"/>
      <c r="S21" s="237"/>
      <c r="T21" s="237"/>
      <c r="U21" s="237"/>
      <c r="W21" s="59" t="s">
        <v>788</v>
      </c>
      <c r="X21" s="69">
        <v>4</v>
      </c>
      <c r="Y21" s="69">
        <v>11</v>
      </c>
      <c r="Z21" s="65">
        <f>1/11</f>
        <v>9.0909090909090912E-2</v>
      </c>
      <c r="AA21" s="119">
        <v>104.2</v>
      </c>
      <c r="AB21" s="119">
        <v>103.9</v>
      </c>
      <c r="AC21" s="119">
        <f t="shared" si="5"/>
        <v>0.29999999999999716</v>
      </c>
      <c r="AD21" s="119">
        <v>17.100000000000001</v>
      </c>
      <c r="AE21" s="119">
        <v>17.100000000000001</v>
      </c>
      <c r="AF21" s="65">
        <v>0.67</v>
      </c>
      <c r="AG21" s="119">
        <v>16.7</v>
      </c>
      <c r="AH21" s="119">
        <v>0.2</v>
      </c>
      <c r="AI21" s="119">
        <v>0.2</v>
      </c>
      <c r="AJ21" s="65">
        <v>0.11</v>
      </c>
      <c r="AK21" s="119">
        <v>-1.1000000000000001</v>
      </c>
      <c r="AL21" s="119">
        <v>1.7</v>
      </c>
      <c r="AM21" s="119">
        <v>0.1</v>
      </c>
      <c r="AN21" s="119">
        <v>11.5</v>
      </c>
    </row>
    <row r="22" spans="1:41" x14ac:dyDescent="0.2">
      <c r="A22" s="3">
        <v>7</v>
      </c>
      <c r="B22" s="3" t="s">
        <v>49</v>
      </c>
      <c r="C22" s="3" t="s">
        <v>234</v>
      </c>
      <c r="D22" s="105">
        <v>70</v>
      </c>
      <c r="E22" s="105">
        <v>73</v>
      </c>
      <c r="F22" s="106">
        <v>221</v>
      </c>
      <c r="G22" s="4">
        <v>35486</v>
      </c>
      <c r="H22" s="110">
        <f t="shared" ca="1" si="3"/>
        <v>23.7</v>
      </c>
      <c r="I22" s="3" t="s">
        <v>795</v>
      </c>
      <c r="J22" s="3">
        <v>5</v>
      </c>
      <c r="K22" s="109">
        <v>2016</v>
      </c>
      <c r="L22" s="109">
        <v>10</v>
      </c>
      <c r="M22" s="3" t="s">
        <v>796</v>
      </c>
      <c r="N22" s="3"/>
      <c r="O22" s="3"/>
      <c r="P22" s="14"/>
      <c r="Q22" s="3"/>
      <c r="R22" s="3"/>
      <c r="S22" s="3"/>
      <c r="T22" s="25"/>
      <c r="W22" s="59" t="s">
        <v>797</v>
      </c>
      <c r="X22" s="69">
        <v>5</v>
      </c>
      <c r="Y22" s="69">
        <v>60</v>
      </c>
      <c r="Z22" s="65">
        <f>20/60</f>
        <v>0.33333333333333331</v>
      </c>
      <c r="AA22" s="119">
        <v>103.8</v>
      </c>
      <c r="AB22" s="119">
        <v>111.9</v>
      </c>
      <c r="AC22" s="119">
        <f t="shared" si="5"/>
        <v>-8.1000000000000085</v>
      </c>
      <c r="AD22" s="119">
        <v>12.9</v>
      </c>
      <c r="AE22" s="119">
        <v>13.7</v>
      </c>
      <c r="AF22" s="65">
        <v>0.58199999999999996</v>
      </c>
      <c r="AG22" s="119">
        <v>16.100000000000001</v>
      </c>
      <c r="AH22" s="119">
        <v>0.7</v>
      </c>
      <c r="AI22" s="119">
        <v>0.8</v>
      </c>
      <c r="AJ22" s="65">
        <v>9.6000000000000002E-2</v>
      </c>
      <c r="AK22" s="119">
        <v>-2</v>
      </c>
      <c r="AL22" s="119">
        <v>0.7</v>
      </c>
      <c r="AM22" s="119">
        <v>0.1</v>
      </c>
      <c r="AN22" s="119">
        <v>7.6</v>
      </c>
    </row>
    <row r="23" spans="1:41" x14ac:dyDescent="0.2">
      <c r="A23" s="3">
        <v>52</v>
      </c>
      <c r="B23" s="3" t="s">
        <v>51</v>
      </c>
      <c r="C23" s="3" t="s">
        <v>241</v>
      </c>
      <c r="D23" s="105">
        <v>65</v>
      </c>
      <c r="E23" s="105">
        <v>71</v>
      </c>
      <c r="F23" s="106">
        <v>179</v>
      </c>
      <c r="G23" s="4">
        <v>33325</v>
      </c>
      <c r="H23" s="110">
        <f t="shared" ca="1" si="3"/>
        <v>29.6</v>
      </c>
      <c r="I23" s="3" t="s">
        <v>804</v>
      </c>
      <c r="J23" s="3">
        <v>5</v>
      </c>
      <c r="K23" s="109">
        <v>2014</v>
      </c>
      <c r="L23" s="109">
        <v>58</v>
      </c>
      <c r="M23" s="3" t="s">
        <v>805</v>
      </c>
      <c r="N23" s="3"/>
      <c r="O23" s="3"/>
      <c r="P23" s="14"/>
      <c r="Q23" s="3"/>
      <c r="R23" s="3"/>
      <c r="S23" s="3"/>
      <c r="T23" s="25"/>
      <c r="W23" s="59" t="s">
        <v>806</v>
      </c>
      <c r="X23" s="69">
        <v>2</v>
      </c>
      <c r="Y23" s="69">
        <v>4</v>
      </c>
      <c r="Z23" s="65">
        <f>0/4</f>
        <v>0</v>
      </c>
      <c r="AA23" s="119">
        <v>106.8</v>
      </c>
      <c r="AB23" s="119">
        <v>125</v>
      </c>
      <c r="AC23" s="119">
        <f t="shared" si="5"/>
        <v>-18.200000000000003</v>
      </c>
      <c r="AD23" s="119">
        <v>24.6</v>
      </c>
      <c r="AE23" s="119">
        <v>6.5</v>
      </c>
      <c r="AF23" s="65">
        <v>0.44600000000000001</v>
      </c>
      <c r="AG23" s="119">
        <v>25.7</v>
      </c>
      <c r="AH23" s="119">
        <v>0.1</v>
      </c>
      <c r="AI23" s="119">
        <v>0</v>
      </c>
      <c r="AJ23" s="65">
        <v>-5.2999999999999999E-2</v>
      </c>
      <c r="AK23" s="119">
        <v>-5.6</v>
      </c>
      <c r="AL23" s="119">
        <v>-4.2</v>
      </c>
      <c r="AM23" s="119">
        <v>-0.2</v>
      </c>
      <c r="AN23" s="119">
        <v>5</v>
      </c>
    </row>
    <row r="24" spans="1:41" x14ac:dyDescent="0.2">
      <c r="A24" s="3">
        <v>14</v>
      </c>
      <c r="B24" s="3" t="s">
        <v>815</v>
      </c>
      <c r="C24" s="3" t="s">
        <v>252</v>
      </c>
      <c r="D24" s="105">
        <v>67</v>
      </c>
      <c r="E24" s="105">
        <v>70</v>
      </c>
      <c r="F24" s="106">
        <v>205</v>
      </c>
      <c r="G24" s="4">
        <v>36256</v>
      </c>
      <c r="H24" s="110">
        <f t="shared" ca="1" si="3"/>
        <v>21.6</v>
      </c>
      <c r="I24" s="3" t="s">
        <v>763</v>
      </c>
      <c r="J24" s="3">
        <v>2</v>
      </c>
      <c r="K24" s="109">
        <v>2019</v>
      </c>
      <c r="L24" s="115"/>
      <c r="M24" s="3" t="s">
        <v>816</v>
      </c>
      <c r="N24" s="3"/>
      <c r="O24" s="3"/>
      <c r="P24" s="14"/>
      <c r="Q24" s="3"/>
      <c r="R24" s="3"/>
      <c r="S24" s="3"/>
      <c r="T24" s="25"/>
      <c r="W24" s="59" t="s">
        <v>817</v>
      </c>
      <c r="X24" s="69">
        <v>3</v>
      </c>
      <c r="Y24" s="69">
        <v>10</v>
      </c>
      <c r="Z24" s="65">
        <f>3/10</f>
        <v>0.3</v>
      </c>
      <c r="AA24" s="119">
        <v>109.4</v>
      </c>
      <c r="AB24" s="119">
        <v>98.4</v>
      </c>
      <c r="AC24" s="119">
        <f t="shared" si="5"/>
        <v>11</v>
      </c>
      <c r="AD24" s="119">
        <v>6.2</v>
      </c>
      <c r="AE24" s="119">
        <v>6.3</v>
      </c>
      <c r="AF24" s="65">
        <v>0.44800000000000001</v>
      </c>
      <c r="AG24" s="119">
        <v>17.100000000000001</v>
      </c>
      <c r="AH24" s="119">
        <v>-0.1</v>
      </c>
      <c r="AI24" s="119">
        <v>0</v>
      </c>
      <c r="AJ24" s="65">
        <v>-7.0000000000000001E-3</v>
      </c>
      <c r="AK24" s="119">
        <v>-5.0999999999999996</v>
      </c>
      <c r="AL24" s="119">
        <v>-1.1000000000000001</v>
      </c>
      <c r="AM24" s="119">
        <v>-0.1</v>
      </c>
      <c r="AN24" s="119">
        <v>4.3</v>
      </c>
    </row>
    <row r="25" spans="1:41" x14ac:dyDescent="0.2">
      <c r="A25" s="107"/>
      <c r="B25" s="3" t="s">
        <v>191</v>
      </c>
      <c r="C25" s="3" t="s">
        <v>234</v>
      </c>
      <c r="D25" s="105">
        <v>70</v>
      </c>
      <c r="E25" s="105">
        <v>74</v>
      </c>
      <c r="F25" s="106">
        <v>245</v>
      </c>
      <c r="G25" s="4">
        <v>32732</v>
      </c>
      <c r="H25" s="110">
        <f t="shared" ca="1" si="3"/>
        <v>31.2</v>
      </c>
      <c r="I25" s="3" t="s">
        <v>224</v>
      </c>
      <c r="J25" s="3">
        <v>8</v>
      </c>
      <c r="K25" s="107">
        <v>2013</v>
      </c>
      <c r="L25" s="109"/>
      <c r="M25" s="3" t="s">
        <v>2407</v>
      </c>
      <c r="N25" s="3"/>
      <c r="O25" s="3"/>
      <c r="P25" s="14"/>
      <c r="Q25" s="19"/>
      <c r="R25" s="19"/>
      <c r="S25" s="3"/>
      <c r="T25" s="3"/>
      <c r="U25" s="3"/>
      <c r="V25" s="24"/>
      <c r="W25" s="5" t="s">
        <v>238</v>
      </c>
      <c r="X25" s="107">
        <v>5</v>
      </c>
      <c r="Y25" s="107">
        <v>10</v>
      </c>
      <c r="Z25" s="41">
        <f>4/10</f>
        <v>0.4</v>
      </c>
      <c r="AA25" s="110">
        <v>114.1</v>
      </c>
      <c r="AB25" s="110">
        <v>112</v>
      </c>
      <c r="AC25" s="110">
        <f t="shared" si="5"/>
        <v>2.0999999999999943</v>
      </c>
      <c r="AD25" s="110">
        <v>23.3</v>
      </c>
      <c r="AE25" s="110">
        <v>11.4</v>
      </c>
      <c r="AF25" s="3">
        <v>0.46300000000000002</v>
      </c>
      <c r="AG25" s="3">
        <v>17.399999999999999</v>
      </c>
      <c r="AH25" s="3">
        <v>-0.2</v>
      </c>
      <c r="AI25" s="3">
        <v>0.3</v>
      </c>
      <c r="AJ25" s="41">
        <v>3.2000000000000001E-2</v>
      </c>
      <c r="AK25" s="110">
        <v>-4.5</v>
      </c>
      <c r="AL25" s="110">
        <v>0.1</v>
      </c>
      <c r="AM25" s="110">
        <v>-0.1</v>
      </c>
      <c r="AN25" s="110">
        <v>7.9</v>
      </c>
      <c r="AO25" s="3"/>
    </row>
    <row r="26" spans="1:41" x14ac:dyDescent="0.2">
      <c r="A26" s="3"/>
      <c r="B26" s="3" t="s">
        <v>1025</v>
      </c>
      <c r="C26" s="3" t="s">
        <v>252</v>
      </c>
      <c r="D26" s="105">
        <v>64</v>
      </c>
      <c r="E26" s="105">
        <v>66</v>
      </c>
      <c r="F26" s="106">
        <v>205</v>
      </c>
      <c r="G26" s="4">
        <v>33448</v>
      </c>
      <c r="H26" s="110">
        <f t="shared" ca="1" si="3"/>
        <v>29.3</v>
      </c>
      <c r="I26" s="3" t="s">
        <v>1026</v>
      </c>
      <c r="J26" s="3">
        <v>5</v>
      </c>
      <c r="K26" s="109">
        <v>2013</v>
      </c>
      <c r="L26" s="109"/>
      <c r="M26" s="3" t="s">
        <v>2294</v>
      </c>
      <c r="N26" s="3"/>
      <c r="O26" s="3"/>
      <c r="P26" s="14"/>
      <c r="Q26" s="16"/>
      <c r="R26" s="16"/>
      <c r="S26" s="12"/>
      <c r="V26"/>
      <c r="W26" t="s">
        <v>1027</v>
      </c>
      <c r="X26" s="69">
        <v>3</v>
      </c>
      <c r="Y26" s="69">
        <v>50</v>
      </c>
      <c r="Z26" s="65">
        <f>33/50</f>
        <v>0.66</v>
      </c>
      <c r="AA26" s="119">
        <v>108.2</v>
      </c>
      <c r="AB26" s="119">
        <v>107.5</v>
      </c>
      <c r="AC26" s="119">
        <f t="shared" si="5"/>
        <v>0.70000000000000284</v>
      </c>
      <c r="AD26" s="119">
        <v>15</v>
      </c>
      <c r="AE26" s="119">
        <v>6.5</v>
      </c>
      <c r="AF26" s="65">
        <v>0.47199999999999998</v>
      </c>
      <c r="AG26" s="119">
        <v>10.5</v>
      </c>
      <c r="AH26" s="119">
        <v>-0.1</v>
      </c>
      <c r="AI26" s="119">
        <v>1</v>
      </c>
      <c r="AJ26" s="65">
        <v>5.3999999999999999E-2</v>
      </c>
      <c r="AK26" s="119">
        <v>-3.8</v>
      </c>
      <c r="AL26" s="119">
        <v>0.8</v>
      </c>
      <c r="AM26" s="119">
        <v>-0.2</v>
      </c>
      <c r="AN26" s="119">
        <v>4.5</v>
      </c>
      <c r="AO26"/>
    </row>
    <row r="27" spans="1:41" x14ac:dyDescent="0.2">
      <c r="A27" s="3"/>
      <c r="B27" s="3"/>
      <c r="C27" s="3"/>
      <c r="D27" s="105"/>
      <c r="E27" s="105"/>
      <c r="F27" s="106"/>
      <c r="G27" s="4"/>
      <c r="H27" s="110"/>
      <c r="I27" s="3"/>
      <c r="J27" s="3"/>
      <c r="K27" s="109"/>
      <c r="L27" s="109"/>
      <c r="M27" s="3"/>
      <c r="N27" s="3"/>
      <c r="O27" s="3"/>
      <c r="P27" s="16"/>
      <c r="Q27" s="3"/>
      <c r="R27" s="3"/>
      <c r="S27" s="3"/>
      <c r="T27" s="25"/>
      <c r="X27" s="69"/>
      <c r="Y27" s="69"/>
      <c r="Z27" s="65"/>
      <c r="AA27" s="119"/>
      <c r="AB27" s="119"/>
      <c r="AC27" s="119"/>
      <c r="AD27" s="119"/>
      <c r="AE27" s="119"/>
      <c r="AF27" s="65"/>
      <c r="AG27" s="119"/>
      <c r="AH27" s="119"/>
      <c r="AI27" s="119"/>
      <c r="AJ27" s="65"/>
      <c r="AK27" s="119"/>
      <c r="AL27" s="119"/>
      <c r="AM27" s="119"/>
      <c r="AN27" s="119"/>
    </row>
    <row r="28" spans="1:41" x14ac:dyDescent="0.2">
      <c r="E28" s="62"/>
      <c r="F28" s="63"/>
      <c r="G28" s="62">
        <f ca="1">TODAY()</f>
        <v>44162</v>
      </c>
      <c r="H28" s="130">
        <f ca="1">AVERAGE(H2:H14)</f>
        <v>24.876923076923074</v>
      </c>
      <c r="J28" s="63">
        <f>AVERAGE(J2:J14)</f>
        <v>5.1538461538461542</v>
      </c>
      <c r="K28" s="57"/>
      <c r="L28" s="54"/>
      <c r="M28" s="22"/>
      <c r="N28" s="22"/>
      <c r="O28" s="57"/>
      <c r="P28" s="3"/>
      <c r="Q28" s="3"/>
      <c r="R28" s="3"/>
      <c r="S28" s="3"/>
      <c r="X28" s="69"/>
      <c r="Y28" s="69"/>
      <c r="Z28" s="65"/>
      <c r="AA28" s="119"/>
      <c r="AB28" s="119"/>
      <c r="AC28" s="119"/>
      <c r="AD28" s="119"/>
      <c r="AE28" s="119"/>
      <c r="AF28" s="65"/>
      <c r="AG28" s="119"/>
      <c r="AH28" s="119"/>
      <c r="AI28" s="119"/>
      <c r="AJ28" s="65"/>
      <c r="AK28" s="119"/>
      <c r="AL28" s="119"/>
      <c r="AM28" s="119"/>
      <c r="AN28" s="119"/>
    </row>
    <row r="29" spans="1:41" x14ac:dyDescent="0.2">
      <c r="B29" s="3"/>
      <c r="H29" s="130">
        <f ca="1">MEDIAN(H2:H14)</f>
        <v>23.7</v>
      </c>
      <c r="J29" s="36">
        <f>MEDIAN(J2:J14)</f>
        <v>4</v>
      </c>
      <c r="K29" s="117"/>
      <c r="L29" s="118"/>
      <c r="M29" s="3"/>
      <c r="N29" s="22"/>
      <c r="O29" s="78"/>
      <c r="P29" s="64"/>
      <c r="X29" s="69"/>
      <c r="Y29" s="69"/>
      <c r="Z29" s="65"/>
      <c r="AA29" s="119"/>
      <c r="AB29" s="119"/>
      <c r="AC29" s="119"/>
      <c r="AD29" s="119"/>
      <c r="AE29" s="119"/>
      <c r="AF29" s="65"/>
      <c r="AG29" s="119"/>
      <c r="AH29" s="119"/>
      <c r="AI29" s="119"/>
      <c r="AJ29" s="65"/>
      <c r="AK29" s="119"/>
      <c r="AL29" s="119"/>
      <c r="AM29" s="119"/>
      <c r="AN29" s="119"/>
    </row>
    <row r="30" spans="1:41" x14ac:dyDescent="0.2">
      <c r="B30" s="5" t="s">
        <v>1985</v>
      </c>
      <c r="H30" s="130"/>
      <c r="J30" s="36"/>
      <c r="K30" s="117"/>
      <c r="L30" s="118"/>
      <c r="M30" s="3"/>
      <c r="N30" s="22"/>
      <c r="O30" s="78"/>
      <c r="P30" s="121">
        <f>SUM(P2:P17)</f>
        <v>108811934</v>
      </c>
      <c r="X30" s="69"/>
      <c r="Y30" s="69"/>
      <c r="Z30" s="65"/>
      <c r="AA30" s="119"/>
      <c r="AB30" s="119"/>
      <c r="AC30" s="119"/>
      <c r="AD30" s="119"/>
      <c r="AE30" s="119"/>
      <c r="AF30" s="65"/>
      <c r="AG30" s="119"/>
      <c r="AH30" s="119"/>
      <c r="AI30" s="119"/>
      <c r="AJ30" s="65"/>
      <c r="AK30" s="119"/>
      <c r="AL30" s="119"/>
      <c r="AM30" s="119"/>
      <c r="AN30" s="119"/>
    </row>
    <row r="31" spans="1:41" x14ac:dyDescent="0.2">
      <c r="B31" s="3" t="s">
        <v>1876</v>
      </c>
      <c r="C31" s="59">
        <v>14</v>
      </c>
      <c r="J31" s="36"/>
      <c r="K31" s="117"/>
      <c r="L31" s="118"/>
      <c r="M31" s="78"/>
      <c r="N31" s="78"/>
      <c r="O31" s="78"/>
      <c r="P31" s="121"/>
      <c r="R31" s="78"/>
      <c r="S31" s="78"/>
      <c r="T31" s="78"/>
      <c r="X31" s="69"/>
      <c r="Y31" s="69"/>
      <c r="Z31" s="65"/>
      <c r="AA31" s="119"/>
      <c r="AB31" s="119"/>
      <c r="AC31" s="119"/>
      <c r="AD31" s="119"/>
      <c r="AE31" s="119"/>
      <c r="AF31" s="65"/>
      <c r="AG31" s="119"/>
      <c r="AH31" s="119"/>
      <c r="AI31" s="119"/>
      <c r="AJ31" s="65"/>
      <c r="AK31" s="119"/>
      <c r="AL31" s="119"/>
      <c r="AM31" s="119"/>
      <c r="AN31" s="119"/>
    </row>
    <row r="32" spans="1:41" x14ac:dyDescent="0.2">
      <c r="B32" s="3" t="s">
        <v>2457</v>
      </c>
      <c r="C32" s="59">
        <v>0</v>
      </c>
      <c r="J32" s="4"/>
      <c r="K32" s="3"/>
      <c r="L32" s="118"/>
      <c r="M32" s="78"/>
      <c r="N32" s="78"/>
      <c r="O32" s="3" t="s">
        <v>292</v>
      </c>
      <c r="P32" s="22" t="e">
        <f>#REF!</f>
        <v>#REF!</v>
      </c>
      <c r="R32" s="78"/>
      <c r="S32" s="78"/>
      <c r="T32" s="78"/>
      <c r="X32" s="69"/>
      <c r="Y32" s="69"/>
      <c r="AA32" s="119"/>
      <c r="AB32" s="119"/>
      <c r="AC32" s="119"/>
      <c r="AD32" s="119"/>
      <c r="AE32" s="119"/>
      <c r="AF32" s="65"/>
      <c r="AG32" s="119"/>
      <c r="AH32" s="119"/>
      <c r="AI32" s="119"/>
      <c r="AJ32" s="65"/>
      <c r="AK32" s="119"/>
      <c r="AL32" s="119"/>
      <c r="AM32" s="119"/>
      <c r="AN32" s="119"/>
    </row>
    <row r="33" spans="2:40" x14ac:dyDescent="0.2">
      <c r="B33" s="3" t="s">
        <v>2539</v>
      </c>
      <c r="C33" s="59">
        <v>1</v>
      </c>
      <c r="J33" s="4"/>
      <c r="K33" s="3"/>
      <c r="L33" s="118"/>
      <c r="M33" s="78"/>
      <c r="N33" s="78"/>
      <c r="O33" s="22" t="s">
        <v>294</v>
      </c>
      <c r="P33" s="22" t="e">
        <f>#REF!</f>
        <v>#REF!</v>
      </c>
      <c r="R33" s="78"/>
      <c r="S33" s="78"/>
      <c r="T33" s="78"/>
      <c r="X33" s="69"/>
      <c r="Y33" s="69"/>
      <c r="AA33" s="119"/>
      <c r="AB33" s="119"/>
      <c r="AC33" s="119"/>
      <c r="AD33" s="119"/>
      <c r="AE33" s="119"/>
      <c r="AF33" s="65"/>
      <c r="AG33" s="119"/>
      <c r="AH33" s="119"/>
      <c r="AI33" s="119"/>
      <c r="AJ33" s="65"/>
      <c r="AK33" s="119"/>
      <c r="AL33" s="119"/>
      <c r="AM33" s="119"/>
      <c r="AN33" s="119"/>
    </row>
    <row r="34" spans="2:40" x14ac:dyDescent="0.2">
      <c r="B34" s="3" t="s">
        <v>291</v>
      </c>
      <c r="C34" s="60">
        <f>4767000</f>
        <v>4767000</v>
      </c>
      <c r="J34" s="22"/>
      <c r="K34" s="57"/>
      <c r="L34" s="57"/>
      <c r="M34" s="78"/>
      <c r="N34" s="78"/>
      <c r="O34" s="22"/>
      <c r="P34" s="22"/>
      <c r="R34" s="78"/>
      <c r="S34" s="78"/>
      <c r="T34" s="78"/>
      <c r="AG34" s="119"/>
      <c r="AH34" s="119"/>
      <c r="AI34" s="119"/>
      <c r="AJ34" s="65"/>
      <c r="AK34" s="119"/>
      <c r="AL34" s="119"/>
      <c r="AM34" s="119"/>
      <c r="AN34" s="119"/>
    </row>
    <row r="35" spans="2:40" x14ac:dyDescent="0.2">
      <c r="B35" s="24" t="s">
        <v>293</v>
      </c>
      <c r="C35" s="60">
        <v>0</v>
      </c>
      <c r="J35" s="3"/>
      <c r="K35" s="57"/>
      <c r="L35" s="57"/>
      <c r="M35" s="78"/>
      <c r="N35" s="78"/>
      <c r="O35" s="3"/>
      <c r="P35" s="22"/>
      <c r="R35" s="78"/>
      <c r="S35" s="78"/>
      <c r="T35" s="78"/>
      <c r="AJ35" s="65"/>
    </row>
    <row r="36" spans="2:40" x14ac:dyDescent="0.2">
      <c r="B36" s="3" t="s">
        <v>295</v>
      </c>
      <c r="C36" s="60">
        <v>0</v>
      </c>
      <c r="J36" s="3"/>
      <c r="K36" s="57"/>
      <c r="L36" s="57"/>
      <c r="M36" s="78"/>
      <c r="N36" s="78"/>
      <c r="O36" s="3"/>
      <c r="P36" s="22"/>
      <c r="R36" s="78"/>
      <c r="S36" s="78"/>
      <c r="T36" s="78"/>
      <c r="AJ36" s="65"/>
    </row>
    <row r="37" spans="2:40" x14ac:dyDescent="0.2">
      <c r="J37" s="3"/>
      <c r="L37" s="22"/>
      <c r="N37" s="78"/>
      <c r="O37" s="3"/>
      <c r="P37" s="11"/>
      <c r="AJ37" s="65"/>
    </row>
    <row r="38" spans="2:40" x14ac:dyDescent="0.2">
      <c r="B38" s="71" t="s">
        <v>1875</v>
      </c>
      <c r="J38" s="3"/>
      <c r="L38" s="22"/>
      <c r="N38" s="78"/>
      <c r="O38" s="22"/>
      <c r="P38" s="11"/>
      <c r="AJ38" s="65"/>
    </row>
    <row r="39" spans="2:40" x14ac:dyDescent="0.2">
      <c r="B39" s="3" t="s">
        <v>296</v>
      </c>
      <c r="C39" s="41">
        <f>20/66</f>
        <v>0.30303030303030304</v>
      </c>
      <c r="D39" s="3" t="s">
        <v>586</v>
      </c>
      <c r="E39" s="3"/>
      <c r="J39" s="22"/>
      <c r="N39" s="78"/>
      <c r="O39" s="22"/>
      <c r="AJ39" s="65"/>
    </row>
    <row r="40" spans="2:40" x14ac:dyDescent="0.2">
      <c r="B40" s="3" t="s">
        <v>298</v>
      </c>
      <c r="C40" s="110">
        <v>108.8</v>
      </c>
      <c r="D40" s="3" t="s">
        <v>2010</v>
      </c>
      <c r="E40" s="3"/>
      <c r="N40" s="78"/>
      <c r="O40" s="78"/>
    </row>
    <row r="41" spans="2:40" x14ac:dyDescent="0.2">
      <c r="B41" s="3" t="s">
        <v>299</v>
      </c>
      <c r="C41" s="110">
        <v>112.3</v>
      </c>
      <c r="D41" s="3" t="s">
        <v>1991</v>
      </c>
      <c r="E41" s="3"/>
      <c r="N41" s="78"/>
      <c r="O41" s="78"/>
    </row>
    <row r="42" spans="2:40" x14ac:dyDescent="0.2">
      <c r="B42" s="3" t="s">
        <v>300</v>
      </c>
      <c r="C42" s="110">
        <f>C40-C41</f>
        <v>-3.5</v>
      </c>
      <c r="D42" s="3" t="s">
        <v>2006</v>
      </c>
      <c r="E42" s="3"/>
      <c r="N42" s="78"/>
      <c r="O42" s="78"/>
    </row>
    <row r="43" spans="2:40" x14ac:dyDescent="0.2">
      <c r="B43" s="3" t="s">
        <v>301</v>
      </c>
      <c r="C43" s="36">
        <v>97.86</v>
      </c>
      <c r="D43" s="3" t="s">
        <v>1952</v>
      </c>
      <c r="E43" s="3"/>
      <c r="N43" s="78"/>
      <c r="O43" s="78"/>
    </row>
    <row r="44" spans="2:40" x14ac:dyDescent="0.2">
      <c r="B44" s="3"/>
      <c r="C44" s="3"/>
      <c r="D44" s="3"/>
      <c r="E44" s="3"/>
    </row>
    <row r="45" spans="2:40" x14ac:dyDescent="0.2">
      <c r="B45" s="2" t="s">
        <v>302</v>
      </c>
      <c r="C45" s="3"/>
      <c r="D45" s="3"/>
      <c r="E45" s="3"/>
    </row>
    <row r="46" spans="2:40" x14ac:dyDescent="0.2">
      <c r="B46" s="3" t="s">
        <v>2171</v>
      </c>
      <c r="C46" s="3"/>
      <c r="D46" s="3"/>
      <c r="E46" s="3"/>
    </row>
    <row r="47" spans="2:40" x14ac:dyDescent="0.2">
      <c r="B47" s="2" t="s">
        <v>2014</v>
      </c>
      <c r="C47" s="3"/>
      <c r="D47" s="3"/>
      <c r="E47" s="3"/>
    </row>
    <row r="48" spans="2:40" x14ac:dyDescent="0.2">
      <c r="B48" s="2" t="s">
        <v>2015</v>
      </c>
      <c r="C48" s="3"/>
      <c r="D48" s="3"/>
      <c r="E48" s="3"/>
    </row>
    <row r="49" spans="2:10" x14ac:dyDescent="0.2">
      <c r="B49" s="10"/>
      <c r="C49" s="3"/>
      <c r="D49" s="3"/>
      <c r="E49" s="3"/>
    </row>
    <row r="50" spans="2:10" x14ac:dyDescent="0.2">
      <c r="B50" s="2" t="s">
        <v>310</v>
      </c>
      <c r="C50" s="3"/>
      <c r="D50" s="3"/>
      <c r="E50" s="3"/>
    </row>
    <row r="51" spans="2:10" x14ac:dyDescent="0.2">
      <c r="B51" s="2" t="s">
        <v>2231</v>
      </c>
      <c r="C51" s="3"/>
      <c r="D51" s="3"/>
      <c r="E51" s="3"/>
    </row>
    <row r="52" spans="2:10" x14ac:dyDescent="0.2">
      <c r="B52" s="2" t="s">
        <v>2011</v>
      </c>
      <c r="C52" s="3"/>
      <c r="D52" s="3"/>
      <c r="E52" s="3"/>
    </row>
    <row r="53" spans="2:10" x14ac:dyDescent="0.2">
      <c r="B53" s="2" t="s">
        <v>2012</v>
      </c>
      <c r="C53" s="3"/>
      <c r="D53" s="3"/>
      <c r="E53" s="3"/>
    </row>
    <row r="54" spans="2:10" x14ac:dyDescent="0.2">
      <c r="B54" s="2" t="s">
        <v>2013</v>
      </c>
      <c r="C54" s="3"/>
      <c r="D54" s="3"/>
      <c r="E54" s="3"/>
    </row>
    <row r="55" spans="2:10" x14ac:dyDescent="0.2">
      <c r="B55" s="2" t="s">
        <v>2412</v>
      </c>
      <c r="C55" s="3"/>
      <c r="D55" s="3"/>
      <c r="E55" s="3"/>
    </row>
    <row r="56" spans="2:10" x14ac:dyDescent="0.2">
      <c r="B56" s="2" t="s">
        <v>2413</v>
      </c>
      <c r="C56" s="3"/>
      <c r="D56" s="3"/>
      <c r="E56" s="3"/>
    </row>
    <row r="57" spans="2:10" x14ac:dyDescent="0.2">
      <c r="B57" s="2" t="s">
        <v>2414</v>
      </c>
      <c r="C57" s="3"/>
      <c r="D57" s="3"/>
      <c r="E57" s="3"/>
    </row>
    <row r="58" spans="2:10" x14ac:dyDescent="0.2">
      <c r="B58" s="2"/>
      <c r="C58" s="3"/>
      <c r="D58" s="3"/>
      <c r="E58" s="3"/>
    </row>
    <row r="59" spans="2:10" x14ac:dyDescent="0.2">
      <c r="B59" s="194" t="s">
        <v>1989</v>
      </c>
      <c r="C59" s="3"/>
      <c r="D59" s="3"/>
      <c r="E59" s="3"/>
    </row>
    <row r="60" spans="2:10" x14ac:dyDescent="0.2">
      <c r="B60" s="39" t="s">
        <v>314</v>
      </c>
      <c r="C60" s="3">
        <v>20</v>
      </c>
      <c r="D60" s="3">
        <v>46</v>
      </c>
      <c r="E60" s="3" t="s">
        <v>586</v>
      </c>
      <c r="G60" s="59" t="s">
        <v>821</v>
      </c>
      <c r="J60" s="145" t="s">
        <v>316</v>
      </c>
    </row>
    <row r="61" spans="2:10" x14ac:dyDescent="0.2">
      <c r="B61" s="39" t="s">
        <v>317</v>
      </c>
      <c r="C61" s="3">
        <v>41</v>
      </c>
      <c r="D61" s="3">
        <v>41</v>
      </c>
      <c r="E61" s="3" t="s">
        <v>332</v>
      </c>
      <c r="G61" s="59" t="s">
        <v>821</v>
      </c>
      <c r="J61" s="59" t="s">
        <v>822</v>
      </c>
    </row>
    <row r="62" spans="2:10" x14ac:dyDescent="0.2">
      <c r="B62" s="39" t="s">
        <v>319</v>
      </c>
      <c r="C62" s="3">
        <v>39</v>
      </c>
      <c r="D62" s="3">
        <v>43</v>
      </c>
      <c r="E62" s="3" t="s">
        <v>521</v>
      </c>
      <c r="G62" s="59" t="s">
        <v>823</v>
      </c>
      <c r="J62" s="145" t="s">
        <v>316</v>
      </c>
    </row>
    <row r="63" spans="2:10" x14ac:dyDescent="0.2">
      <c r="B63" s="39" t="s">
        <v>322</v>
      </c>
      <c r="C63" s="3">
        <v>37</v>
      </c>
      <c r="D63" s="3">
        <v>45</v>
      </c>
      <c r="E63" s="3" t="s">
        <v>520</v>
      </c>
      <c r="G63" s="59" t="s">
        <v>823</v>
      </c>
      <c r="J63" s="145" t="s">
        <v>316</v>
      </c>
    </row>
    <row r="64" spans="2:10" x14ac:dyDescent="0.2">
      <c r="B64" s="39" t="s">
        <v>325</v>
      </c>
      <c r="C64" s="3">
        <v>44</v>
      </c>
      <c r="D64" s="3">
        <v>38</v>
      </c>
      <c r="E64" s="3" t="s">
        <v>332</v>
      </c>
      <c r="G64" s="59" t="s">
        <v>823</v>
      </c>
      <c r="J64" s="59" t="s">
        <v>401</v>
      </c>
    </row>
    <row r="65" spans="2:10" x14ac:dyDescent="0.2">
      <c r="B65" s="39" t="s">
        <v>328</v>
      </c>
      <c r="C65" s="3">
        <v>32</v>
      </c>
      <c r="D65" s="3">
        <v>50</v>
      </c>
      <c r="E65" s="3" t="s">
        <v>318</v>
      </c>
      <c r="G65" s="59" t="s">
        <v>823</v>
      </c>
      <c r="J65" s="145" t="s">
        <v>316</v>
      </c>
    </row>
    <row r="66" spans="2:10" x14ac:dyDescent="0.2">
      <c r="B66" s="39" t="s">
        <v>331</v>
      </c>
      <c r="C66" s="3">
        <v>29</v>
      </c>
      <c r="D66" s="3">
        <v>53</v>
      </c>
      <c r="E66" s="3" t="s">
        <v>523</v>
      </c>
      <c r="G66" s="59" t="s">
        <v>824</v>
      </c>
      <c r="J66" s="145" t="s">
        <v>316</v>
      </c>
    </row>
    <row r="67" spans="2:10" x14ac:dyDescent="0.2">
      <c r="B67" s="39" t="s">
        <v>334</v>
      </c>
      <c r="C67" s="3">
        <v>29</v>
      </c>
      <c r="D67" s="3">
        <v>53</v>
      </c>
      <c r="E67" s="3" t="s">
        <v>523</v>
      </c>
      <c r="G67" s="59" t="s">
        <v>825</v>
      </c>
      <c r="J67" s="145" t="s">
        <v>316</v>
      </c>
    </row>
    <row r="68" spans="2:10" x14ac:dyDescent="0.2">
      <c r="B68" s="39" t="s">
        <v>338</v>
      </c>
      <c r="C68" s="3">
        <v>25</v>
      </c>
      <c r="D68" s="3">
        <v>41</v>
      </c>
      <c r="E68" s="41" t="s">
        <v>520</v>
      </c>
      <c r="G68" s="59" t="s">
        <v>825</v>
      </c>
      <c r="J68" s="145" t="s">
        <v>316</v>
      </c>
    </row>
    <row r="69" spans="2:10" x14ac:dyDescent="0.2">
      <c r="B69" s="39" t="s">
        <v>340</v>
      </c>
      <c r="C69" s="3">
        <v>30</v>
      </c>
      <c r="D69" s="3">
        <v>52</v>
      </c>
      <c r="E69" s="41" t="s">
        <v>523</v>
      </c>
      <c r="G69" s="59" t="s">
        <v>826</v>
      </c>
      <c r="J69" s="145" t="s">
        <v>316</v>
      </c>
    </row>
    <row r="70" spans="2:10" x14ac:dyDescent="0.2">
      <c r="B70" s="59" t="s">
        <v>342</v>
      </c>
      <c r="C70" s="59">
        <f>SUM(C60:C69)</f>
        <v>326</v>
      </c>
      <c r="D70" s="59">
        <f>SUM(D60:D69)</f>
        <v>462</v>
      </c>
      <c r="E70" s="65">
        <f>C70/(C70+D70)</f>
        <v>0.4137055837563452</v>
      </c>
    </row>
  </sheetData>
  <hyperlinks>
    <hyperlink ref="B60" r:id="rId1" xr:uid="{CAE0EE8F-AA61-EF47-B044-ED15AAD4572A}"/>
    <hyperlink ref="B61" r:id="rId2" xr:uid="{05863FC0-0CD0-AF4F-B3C4-78C697B0B041}"/>
    <hyperlink ref="B62" r:id="rId3" xr:uid="{7D595221-E8DE-7947-BA58-40C17FB2F642}"/>
    <hyperlink ref="B63" r:id="rId4" xr:uid="{DB912159-2494-4D49-A36F-BA270729EA73}"/>
    <hyperlink ref="B64" r:id="rId5" xr:uid="{A446FD62-034E-B745-9750-42E30E76492B}"/>
    <hyperlink ref="B65" r:id="rId6" xr:uid="{C6C36857-2B99-2949-A9E2-23F50631789F}"/>
    <hyperlink ref="B66" r:id="rId7" display="https://www.basketball-reference.com/teams/DET/2014.html" xr:uid="{821CB905-E912-E44E-8589-CDC47C224442}"/>
    <hyperlink ref="B67" r:id="rId8" xr:uid="{F319A316-3447-5947-A444-1BA8A8FAC067}"/>
    <hyperlink ref="B68" r:id="rId9" display="https://www.basketball-reference.com/teams/DET/2012.html" xr:uid="{89C29915-E766-7D4F-8E65-519E2F0E3B4D}"/>
    <hyperlink ref="B69" r:id="rId10" xr:uid="{F889F807-B985-174D-BC3E-FF9B25FBCCE0}"/>
  </hyperlinks>
  <pageMargins left="0.7" right="0.7" top="0.75" bottom="0.75" header="0.3" footer="0.3"/>
  <ignoredErrors>
    <ignoredError sqref="J31 J28:J29" formulaRange="1"/>
  </ignoredErrors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ATL</vt:lpstr>
      <vt:lpstr>BOS</vt:lpstr>
      <vt:lpstr>BKN</vt:lpstr>
      <vt:lpstr>CHA</vt:lpstr>
      <vt:lpstr>CHI</vt:lpstr>
      <vt:lpstr>CLE</vt:lpstr>
      <vt:lpstr>DAL</vt:lpstr>
      <vt:lpstr>DEN</vt:lpstr>
      <vt:lpstr>DET</vt:lpstr>
      <vt:lpstr>GSW</vt:lpstr>
      <vt:lpstr>HOU</vt:lpstr>
      <vt:lpstr>IND</vt:lpstr>
      <vt:lpstr>LAC</vt:lpstr>
      <vt:lpstr>LAL</vt:lpstr>
      <vt:lpstr>MEM</vt:lpstr>
      <vt:lpstr>MIA</vt:lpstr>
      <vt:lpstr>MIL</vt:lpstr>
      <vt:lpstr>MIN</vt:lpstr>
      <vt:lpstr>NOP</vt:lpstr>
      <vt:lpstr>NYK</vt:lpstr>
      <vt:lpstr>OKC</vt:lpstr>
      <vt:lpstr>ORL</vt:lpstr>
      <vt:lpstr>PHI</vt:lpstr>
      <vt:lpstr>PHX</vt:lpstr>
      <vt:lpstr>POR</vt:lpstr>
      <vt:lpstr>SAC</vt:lpstr>
      <vt:lpstr>SAS</vt:lpstr>
      <vt:lpstr>TOR</vt:lpstr>
      <vt:lpstr>UTA</vt:lpstr>
      <vt:lpstr>WSH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2020-05-10T00:33:44Z</dcterms:created>
  <dcterms:modified xsi:type="dcterms:W3CDTF">2020-11-27T19:27:49Z</dcterms:modified>
  <cp:category/>
  <cp:contentStatus/>
</cp:coreProperties>
</file>