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sheetId="1" r:id="rId4"/>
    <sheet state="visible" name="DAILY STANDUP" sheetId="2" r:id="rId5"/>
    <sheet state="visible" name="QUIZ" sheetId="3" r:id="rId6"/>
    <sheet state="hidden" name="ALL DAILY STANDUP" sheetId="4" r:id="rId7"/>
    <sheet state="hidden" name="ALL QUIZ" sheetId="5" r:id="rId8"/>
  </sheets>
  <definedNames/>
  <calcPr/>
</workbook>
</file>

<file path=xl/sharedStrings.xml><?xml version="1.0" encoding="utf-8"?>
<sst xmlns="http://schemas.openxmlformats.org/spreadsheetml/2006/main" count="48" uniqueCount="31">
  <si>
    <t>PERSONAL REPORT</t>
  </si>
  <si>
    <t>INDRA BUDIMAN</t>
  </si>
  <si>
    <t>TRACK:</t>
  </si>
  <si>
    <t>FULLSTACK MOBILE</t>
  </si>
  <si>
    <t>BATCH:</t>
  </si>
  <si>
    <t>LOCATION:</t>
  </si>
  <si>
    <t>ONLINE</t>
  </si>
  <si>
    <t>Week</t>
  </si>
  <si>
    <t>Score Technical</t>
  </si>
  <si>
    <t>Grade</t>
  </si>
  <si>
    <t>Comment Technical</t>
  </si>
  <si>
    <t>Comment Personal</t>
  </si>
  <si>
    <t>Missing Point Technical</t>
  </si>
  <si>
    <t>-</t>
  </si>
  <si>
    <t xml:space="preserve">AVERAGE: </t>
  </si>
  <si>
    <t xml:space="preserve">GRADE: </t>
  </si>
  <si>
    <r>
      <t xml:space="preserve">Grade minimal untuk disalurkan hiring adalah </t>
    </r>
    <r>
      <rPr>
        <b/>
      </rPr>
      <t>B</t>
    </r>
    <r>
      <t>, di bawah itu mohon segera revisi ke Trainernya masing-masing!</t>
    </r>
  </si>
  <si>
    <t>DAILY STANDUP</t>
  </si>
  <si>
    <t>No</t>
  </si>
  <si>
    <t>Date</t>
  </si>
  <si>
    <t>Yesterday</t>
  </si>
  <si>
    <t>Problem</t>
  </si>
  <si>
    <t>Today</t>
  </si>
  <si>
    <t>WEEKLY QUIZ</t>
  </si>
  <si>
    <t>Quiz Code</t>
  </si>
  <si>
    <t>Link Code</t>
  </si>
  <si>
    <t>Link Flowchart</t>
  </si>
  <si>
    <t>File Flowchart</t>
  </si>
  <si>
    <t>Nilai</t>
  </si>
  <si>
    <t>Catatan</t>
  </si>
  <si>
    <t>Average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</si>
</sst>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3">
    <font>
      <sz val="10.0"/>
      <color rgb="FF000000"/>
      <name val="Arial"/>
    </font>
    <font>
      <b/>
      <sz val="20.0"/>
      <color theme="1"/>
      <name val="Arial"/>
    </font>
    <font>
      <sz val="12.0"/>
      <color rgb="FF000000"/>
      <name val="Arial"/>
    </font>
    <font>
      <color theme="1"/>
      <name val="Arial"/>
    </font>
    <font>
      <b/>
      <sz val="14.0"/>
      <color theme="1"/>
      <name val="Arial"/>
    </font>
    <font>
      <sz val="11.0"/>
      <color rgb="FF3C4043"/>
      <name val="Roboto"/>
    </font>
    <font>
      <b/>
      <color theme="1"/>
      <name val="Arial"/>
    </font>
    <font>
      <sz val="11.0"/>
      <color rgb="FF000000"/>
      <name val="Inconsolata"/>
    </font>
    <font>
      <b/>
      <sz val="14.0"/>
      <color rgb="FF000000"/>
      <name val="Inconsolata"/>
    </font>
    <font>
      <i/>
      <color theme="1"/>
      <name val="Arial"/>
    </font>
    <font>
      <u/>
      <color rgb="FF1155CC"/>
      <name val="Arial"/>
    </font>
    <font>
      <b/>
      <sz val="12.0"/>
      <color theme="1"/>
      <name val="Arial"/>
    </font>
    <font>
      <u/>
      <color rgb="FF0000FF"/>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left" shrinkToFit="0" wrapText="1"/>
    </xf>
    <xf borderId="0" fillId="0" fontId="3" numFmtId="0" xfId="0" applyAlignment="1" applyFont="1">
      <alignment shrinkToFit="0" wrapText="1"/>
    </xf>
    <xf borderId="0" fillId="0" fontId="4" numFmtId="0" xfId="0" applyAlignment="1" applyFont="1">
      <alignment readingOrder="0" shrinkToFit="0" vertical="bottom" wrapText="0"/>
    </xf>
    <xf borderId="0" fillId="0" fontId="1" numFmtId="0" xfId="0" applyAlignment="1" applyFont="1">
      <alignment readingOrder="0" shrinkToFit="0" vertical="bottom" wrapText="0"/>
    </xf>
    <xf borderId="0" fillId="2" fontId="5" numFmtId="0" xfId="0" applyAlignment="1" applyFill="1" applyFont="1">
      <alignment horizontal="left" shrinkToFit="0" wrapText="1"/>
    </xf>
    <xf borderId="0" fillId="0"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readingOrder="0" vertical="bottom"/>
    </xf>
    <xf borderId="0" fillId="0" fontId="6" numFmtId="0" xfId="0" applyAlignment="1" applyFont="1">
      <alignment horizontal="left" readingOrder="0"/>
    </xf>
    <xf borderId="0" fillId="0" fontId="6" numFmtId="0" xfId="0" applyAlignment="1" applyFont="1">
      <alignment vertical="bottom"/>
    </xf>
    <xf borderId="1" fillId="3" fontId="6" numFmtId="0" xfId="0" applyAlignment="1" applyBorder="1" applyFill="1" applyFont="1">
      <alignment vertical="bottom"/>
    </xf>
    <xf borderId="1" fillId="3" fontId="6" numFmtId="0" xfId="0" applyAlignment="1" applyBorder="1" applyFont="1">
      <alignment readingOrder="0" shrinkToFit="0" vertical="bottom" wrapText="1"/>
    </xf>
    <xf borderId="1" fillId="3" fontId="6" numFmtId="0" xfId="0" applyAlignment="1" applyBorder="1" applyFont="1">
      <alignment shrinkToFit="0" vertical="bottom" wrapText="1"/>
    </xf>
    <xf borderId="0" fillId="0" fontId="3" numFmtId="0" xfId="0" applyAlignment="1" applyFont="1">
      <alignment horizontal="right" vertical="bottom"/>
    </xf>
    <xf borderId="1" fillId="0" fontId="3" numFmtId="0" xfId="0" applyAlignment="1" applyBorder="1" applyFont="1">
      <alignment horizontal="right" readingOrder="0" vertical="bottom"/>
    </xf>
    <xf borderId="1" fillId="0" fontId="6" numFmtId="4" xfId="0" applyBorder="1" applyFont="1" applyNumberFormat="1"/>
    <xf borderId="1" fillId="2" fontId="7" numFmtId="0" xfId="0" applyBorder="1" applyFont="1"/>
    <xf borderId="1" fillId="0" fontId="3" numFmtId="0" xfId="0" applyAlignment="1" applyBorder="1" applyFont="1">
      <alignment shrinkToFit="0" wrapText="1"/>
    </xf>
    <xf borderId="1" fillId="4" fontId="3" numFmtId="0" xfId="0" applyAlignment="1" applyBorder="1" applyFill="1" applyFont="1">
      <alignment readingOrder="0" shrinkToFit="0" vertical="bottom" wrapText="1"/>
    </xf>
    <xf borderId="1" fillId="0" fontId="3" numFmtId="0" xfId="0" applyAlignment="1" applyBorder="1" applyFont="1">
      <alignment horizontal="right" vertical="bottom"/>
    </xf>
    <xf borderId="1" fillId="0" fontId="8" numFmtId="2" xfId="0" applyAlignment="1" applyBorder="1" applyFont="1" applyNumberFormat="1">
      <alignment horizontal="left" vertical="bottom"/>
    </xf>
    <xf borderId="1" fillId="0" fontId="3" numFmtId="0" xfId="0" applyAlignment="1" applyBorder="1" applyFont="1">
      <alignment horizontal="right" vertical="bottom"/>
    </xf>
    <xf borderId="1" fillId="0" fontId="4" numFmtId="0" xfId="0" applyAlignment="1" applyBorder="1" applyFont="1">
      <alignment horizontal="left" vertical="bottom"/>
    </xf>
    <xf borderId="0" fillId="0" fontId="9" numFmtId="0" xfId="0" applyAlignment="1" applyFont="1">
      <alignment readingOrder="0" shrinkToFit="0" wrapText="0"/>
    </xf>
    <xf borderId="0" fillId="0" fontId="10" numFmtId="0" xfId="0" applyAlignment="1" applyFont="1">
      <alignment readingOrder="0" shrinkToFit="0" wrapText="1"/>
    </xf>
    <xf borderId="0" fillId="4" fontId="9" numFmtId="0" xfId="0" applyAlignment="1" applyFont="1">
      <alignment readingOrder="0" shrinkToFit="0" wrapText="0"/>
    </xf>
    <xf borderId="0" fillId="4" fontId="3" numFmtId="0" xfId="0" applyAlignment="1" applyFont="1">
      <alignment shrinkToFit="0" wrapText="1"/>
    </xf>
    <xf borderId="0" fillId="0" fontId="3" numFmtId="0" xfId="0" applyAlignment="1" applyFont="1">
      <alignment readingOrder="0" shrinkToFit="0" wrapText="1"/>
    </xf>
    <xf borderId="0" fillId="0" fontId="7" numFmtId="0" xfId="0" applyFont="1"/>
    <xf borderId="1" fillId="0" fontId="6" numFmtId="0" xfId="0" applyAlignment="1" applyBorder="1" applyFont="1">
      <alignment readingOrder="0" shrinkToFit="0" vertical="bottom" wrapText="1"/>
    </xf>
    <xf borderId="1" fillId="0" fontId="6" numFmtId="0" xfId="0" applyAlignment="1" applyBorder="1" applyFont="1">
      <alignment shrinkToFit="0" vertical="bottom" wrapText="1"/>
    </xf>
    <xf borderId="1" fillId="0" fontId="3" numFmtId="0" xfId="0" applyAlignment="1" applyBorder="1" applyFont="1">
      <alignment horizontal="right" readingOrder="0" shrinkToFit="0" vertical="bottom" wrapText="1"/>
    </xf>
    <xf borderId="1" fillId="0" fontId="3" numFmtId="164" xfId="0" applyAlignment="1" applyBorder="1" applyFont="1" applyNumberFormat="1">
      <alignment readingOrder="0" shrinkToFit="0" wrapText="0"/>
    </xf>
    <xf borderId="1" fillId="0" fontId="3" numFmtId="0" xfId="0" applyAlignment="1" applyBorder="1" applyFont="1">
      <alignment readingOrder="0" shrinkToFit="0" wrapText="1"/>
    </xf>
    <xf borderId="1" fillId="0" fontId="3" numFmtId="0" xfId="0" applyAlignment="1" applyBorder="1" applyFont="1">
      <alignment readingOrder="0"/>
    </xf>
    <xf borderId="0" fillId="2" fontId="7" numFmtId="0" xfId="0" applyAlignment="1" applyFont="1">
      <alignment readingOrder="0"/>
    </xf>
    <xf borderId="1" fillId="0" fontId="3" numFmtId="0" xfId="0" applyAlignment="1" applyBorder="1" applyFont="1">
      <alignment readingOrder="0" shrinkToFit="0" wrapText="0"/>
    </xf>
    <xf borderId="1" fillId="0" fontId="3" numFmtId="164" xfId="0" applyAlignment="1" applyBorder="1" applyFont="1" applyNumberFormat="1">
      <alignment readingOrder="0" shrinkToFit="0" wrapText="1"/>
    </xf>
    <xf borderId="1" fillId="0" fontId="11" numFmtId="0" xfId="0" applyAlignment="1" applyBorder="1" applyFont="1">
      <alignment readingOrder="0"/>
    </xf>
    <xf borderId="1" fillId="0" fontId="11" numFmtId="0" xfId="0" applyBorder="1" applyFont="1"/>
    <xf borderId="0" fillId="0" fontId="3" numFmtId="0" xfId="0" applyFont="1"/>
    <xf borderId="0" fillId="0" fontId="3" numFmtId="165" xfId="0" applyFont="1" applyNumberFormat="1"/>
    <xf borderId="0" fillId="0" fontId="3" numFmtId="14" xfId="0" applyFont="1" applyNumberFormat="1"/>
    <xf borderId="0" fillId="0" fontId="3" numFmtId="0" xfId="0" applyAlignment="1" applyFont="1">
      <alignment readingOrder="0"/>
    </xf>
    <xf borderId="0" fillId="0" fontId="12" numFmtId="0" xfId="0" applyFont="1"/>
  </cellXfs>
  <cellStyles count="1">
    <cellStyle xfId="0" name="Normal" builtinId="0"/>
  </cellStyles>
  <dxfs count="3">
    <dxf>
      <font/>
      <fill>
        <patternFill patternType="solid">
          <fgColor rgb="FFF4CCCC"/>
          <bgColor rgb="FFF4CCCC"/>
        </patternFill>
      </fill>
      <border/>
    </dxf>
    <dxf>
      <font/>
      <fill>
        <patternFill patternType="solid">
          <fgColor rgb="FFEA9999"/>
          <bgColor rgb="FFEA9999"/>
        </patternFill>
      </fill>
      <border/>
    </dxf>
    <dx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REPORT!$C$22</c:f>
            </c:strRef>
          </c:tx>
          <c:spPr>
            <a:ln cmpd="sng" w="19050">
              <a:solidFill>
                <a:schemeClr val="accent1"/>
              </a:solidFill>
            </a:ln>
          </c:spPr>
          <c:marker>
            <c:symbol val="circle"/>
            <c:size val="7"/>
            <c:spPr>
              <a:solidFill>
                <a:schemeClr val="accent1"/>
              </a:solidFill>
              <a:ln cmpd="sng">
                <a:solidFill>
                  <a:schemeClr val="accent1"/>
                </a:solidFill>
              </a:ln>
            </c:spPr>
          </c:marker>
          <c:dLbls>
            <c:numFmt formatCode="General" sourceLinked="1"/>
            <c:txPr>
              <a:bodyPr/>
              <a:lstStyle/>
              <a:p>
                <a:pPr lvl="0">
                  <a:defRPr b="0"/>
                </a:pPr>
              </a:p>
            </c:txPr>
            <c:showLegendKey val="0"/>
            <c:showVal val="1"/>
            <c:showCatName val="0"/>
            <c:showSerName val="0"/>
            <c:showPercent val="0"/>
            <c:showBubbleSize val="0"/>
          </c:dLbls>
          <c:cat>
            <c:strRef>
              <c:f>REPORT!$B$23:$B$37</c:f>
            </c:strRef>
          </c:cat>
          <c:val>
            <c:numRef>
              <c:f>REPORT!$C$23:$C$37</c:f>
              <c:numCache/>
            </c:numRef>
          </c:val>
          <c:smooth val="0"/>
        </c:ser>
        <c:axId val="693819548"/>
        <c:axId val="1169167424"/>
      </c:lineChart>
      <c:catAx>
        <c:axId val="693819548"/>
        <c:scaling>
          <c:orientation val="minMax"/>
          <c:max val="1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1169167424"/>
      </c:catAx>
      <c:valAx>
        <c:axId val="1169167424"/>
        <c:scaling>
          <c:orientation val="minMax"/>
          <c:max val="12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693819548"/>
      </c:valAx>
    </c:plotArea>
    <c:legend>
      <c:legendPos val="r"/>
      <c:overlay val="0"/>
      <c:txPr>
        <a:bodyPr/>
        <a:lstStyle/>
        <a:p>
          <a:pPr lvl="0">
            <a:defRPr b="0" i="0">
              <a:solidFill>
                <a:srgbClr val="1A1A1A"/>
              </a:solidFill>
              <a:latin typeface="+mn-lt"/>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6</xdr:row>
      <xdr:rowOff>95250</xdr:rowOff>
    </xdr:from>
    <xdr:ext cx="11934825" cy="26670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90" Type="http://schemas.openxmlformats.org/officeDocument/2006/relationships/hyperlink" Target="https://repl.it/@danielwetan/Weekly-Quiz-4-Arkademy" TargetMode="External"/><Relationship Id="rId194" Type="http://schemas.openxmlformats.org/officeDocument/2006/relationships/hyperlink" Target="https://drive.google.com/file/e/1mJBva2qMSIM41_sjdhsjdhsjdhjdsh/view?usp=sharing" TargetMode="External"/><Relationship Id="rId193" Type="http://schemas.openxmlformats.org/officeDocument/2006/relationships/hyperlink" Target="https://repl.it/repls/SecondBogusActiveserverpages" TargetMode="External"/><Relationship Id="rId192" Type="http://schemas.openxmlformats.org/officeDocument/2006/relationships/hyperlink" Target="https://drive.google.com/file/d/14YAp3T7Oalze49Ypc722AxF420N7fdYc/view?usp=sharing" TargetMode="External"/><Relationship Id="rId191" Type="http://schemas.openxmlformats.org/officeDocument/2006/relationships/hyperlink" Target="https://repl.it/@DimasMokodompit/Weekly-Quiz-4" TargetMode="External"/><Relationship Id="rId187" Type="http://schemas.openxmlformats.org/officeDocument/2006/relationships/hyperlink" Target="https://repl.it/@prioarief/ARKWH4" TargetMode="External"/><Relationship Id="rId186" Type="http://schemas.openxmlformats.org/officeDocument/2006/relationships/hyperlink" Target="https://drive.google.com/file/d/1NcENUhFKih40wZm81P85ewHPHdf-SRQd/view?usp=sharing" TargetMode="External"/><Relationship Id="rId185" Type="http://schemas.openxmlformats.org/officeDocument/2006/relationships/hyperlink" Target="https://repl.it/@luthfiwidya/WeekltQuiz4" TargetMode="External"/><Relationship Id="rId184" Type="http://schemas.openxmlformats.org/officeDocument/2006/relationships/hyperlink" Target="https://drive.google.com/file/d/15-CnON7bjFJNPJFoT9WKcNgql65HQ2zi/view?usp=sharing" TargetMode="External"/><Relationship Id="rId189" Type="http://schemas.openxmlformats.org/officeDocument/2006/relationships/hyperlink" Target="https://playcode.io/636067/" TargetMode="External"/><Relationship Id="rId188" Type="http://schemas.openxmlformats.org/officeDocument/2006/relationships/hyperlink" Target="https://drive.google.com/file/d/1L9HI--BKhKTFqEicgIC_9UaJTOzzZX1K/view?usp=sharing" TargetMode="External"/><Relationship Id="rId183" Type="http://schemas.openxmlformats.org/officeDocument/2006/relationships/hyperlink" Target="https://repl.it/join/duquwuvc-knocknockguessw" TargetMode="External"/><Relationship Id="rId182" Type="http://schemas.openxmlformats.org/officeDocument/2006/relationships/hyperlink" Target="https://drive.google.com/file/d/1XnQl5quxsA47qrWSMk_-OFP-CpZ41TGe/view?usp=sharing" TargetMode="External"/><Relationship Id="rId181" Type="http://schemas.openxmlformats.org/officeDocument/2006/relationships/hyperlink" Target="https://playcode.io/636037/" TargetMode="External"/><Relationship Id="rId180" Type="http://schemas.openxmlformats.org/officeDocument/2006/relationships/hyperlink" Target="https://drive.google.com/file/d/17V6AF_tmLOFsADgO4idCq-XrEWuXWL5B/view?usp=sharing" TargetMode="External"/><Relationship Id="rId176" Type="http://schemas.openxmlformats.org/officeDocument/2006/relationships/hyperlink" Target="https://drive.google.com/file/d/1Wflf2s6BtmZdVLlBqy2P_IUL8SfG4zbJ/view?usp=sharing" TargetMode="External"/><Relationship Id="rId175" Type="http://schemas.openxmlformats.org/officeDocument/2006/relationships/hyperlink" Target="https://repl.it/@dickyjulian/Find-Shoes" TargetMode="External"/><Relationship Id="rId174" Type="http://schemas.openxmlformats.org/officeDocument/2006/relationships/hyperlink" Target="https://drive.google.com/file/d/1PzEMT3aMFJcAgYE8z_IEAB3_sAv0wnuv/view?usp=sharing" TargetMode="External"/><Relationship Id="rId173" Type="http://schemas.openxmlformats.org/officeDocument/2006/relationships/hyperlink" Target="https://repl.it/@bgsilham/QuizWeek4-IlhamBagasSaputra" TargetMode="External"/><Relationship Id="rId179" Type="http://schemas.openxmlformats.org/officeDocument/2006/relationships/hyperlink" Target="https://repl.it/@AdninRifandioff/Weekly-Quiz-Week-4" TargetMode="External"/><Relationship Id="rId178" Type="http://schemas.openxmlformats.org/officeDocument/2006/relationships/hyperlink" Target="https://drive.google.com/file/d/1JNipyYE6MsWkcS-PQmVzQ4j46vQKeFQy/view?usp=sharing" TargetMode="External"/><Relationship Id="rId177" Type="http://schemas.openxmlformats.org/officeDocument/2006/relationships/hyperlink" Target="https://repl.it/@AkhirPekan/QuizWeek4" TargetMode="External"/><Relationship Id="rId198" Type="http://schemas.openxmlformats.org/officeDocument/2006/relationships/hyperlink" Target="https://playcode.io/639581/" TargetMode="External"/><Relationship Id="rId197" Type="http://schemas.openxmlformats.org/officeDocument/2006/relationships/hyperlink" Target="https://repl.it/@MuhamadAdam/Anagram" TargetMode="External"/><Relationship Id="rId196" Type="http://schemas.openxmlformats.org/officeDocument/2006/relationships/hyperlink" Target="https://drive.google.com/open?id=1W1NegMc19RLLP-pF_pXiFL53aM1KpYo7" TargetMode="External"/><Relationship Id="rId195" Type="http://schemas.openxmlformats.org/officeDocument/2006/relationships/hyperlink" Target="https://repl.it/@fajarpng/quis-w4" TargetMode="External"/><Relationship Id="rId199" Type="http://schemas.openxmlformats.org/officeDocument/2006/relationships/hyperlink" Target="https://repl.it/@AdninRifandioff/Weekly-Quiz-Week-5" TargetMode="External"/><Relationship Id="rId150" Type="http://schemas.openxmlformats.org/officeDocument/2006/relationships/hyperlink" Target="https://repl.it/@luthfiwidya/WeeklyQuiz3" TargetMode="External"/><Relationship Id="rId392" Type="http://schemas.openxmlformats.org/officeDocument/2006/relationships/hyperlink" Target="https://repl.it/@bagaskaramadhan/ReversePyramid" TargetMode="External"/><Relationship Id="rId391" Type="http://schemas.openxmlformats.org/officeDocument/2006/relationships/hyperlink" Target="https://drive.google.com/drive/folders/1E3BdoBxlDa8p5fv-N6CHpiDmisNqkMRU?usp=sharing" TargetMode="External"/><Relationship Id="rId390" Type="http://schemas.openxmlformats.org/officeDocument/2006/relationships/hyperlink" Target="https://repl.it/@Shofira/quiz2" TargetMode="External"/><Relationship Id="rId1" Type="http://schemas.openxmlformats.org/officeDocument/2006/relationships/hyperlink" Target="https://repl.it/@MuhamadAdam/ARKWH1" TargetMode="External"/><Relationship Id="rId2" Type="http://schemas.openxmlformats.org/officeDocument/2006/relationships/hyperlink" Target="https://drive.google.com/file/d/1i-NAxzbg4UjdWqCXq5bleBcXfB5stMwQ/view?usp=sharing" TargetMode="External"/><Relationship Id="rId3" Type="http://schemas.openxmlformats.org/officeDocument/2006/relationships/hyperlink" Target="https://repl.it/@bgsilham/QuizWeek1-IlhamBagasSaputra" TargetMode="External"/><Relationship Id="rId149" Type="http://schemas.openxmlformats.org/officeDocument/2006/relationships/hyperlink" Target="https://repl.it/@RinaLia/Quiz3" TargetMode="External"/><Relationship Id="rId4" Type="http://schemas.openxmlformats.org/officeDocument/2006/relationships/hyperlink" Target="https://drive.google.com/file/d/1n_k0DSpDljLA-Zux0IfLd1TjvpE1yDUj/view?usp=sharing" TargetMode="External"/><Relationship Id="rId148" Type="http://schemas.openxmlformats.org/officeDocument/2006/relationships/hyperlink" Target="https://drive.google.com/file/d/1MTuEt6sxUEYHscLDrmsaaFT9cDcc8p6u/view?usp=sharing" TargetMode="External"/><Relationship Id="rId9" Type="http://schemas.openxmlformats.org/officeDocument/2006/relationships/hyperlink" Target="https://playcode.io/622360/" TargetMode="External"/><Relationship Id="rId143" Type="http://schemas.openxmlformats.org/officeDocument/2006/relationships/hyperlink" Target="https://drive.google.com/file/d/1_8BAEYfDBzHXr1c_4gLjBKc0O2e6094R/view?usp=sharing" TargetMode="External"/><Relationship Id="rId385" Type="http://schemas.openxmlformats.org/officeDocument/2006/relationships/hyperlink" Target="https://repl.it/@Wsngr/quiz2" TargetMode="External"/><Relationship Id="rId142" Type="http://schemas.openxmlformats.org/officeDocument/2006/relationships/hyperlink" Target="https://repl.it/@ALIFKI/Weekly-Quiz-3" TargetMode="External"/><Relationship Id="rId384" Type="http://schemas.openxmlformats.org/officeDocument/2006/relationships/hyperlink" Target="https://drive.google.com/open?id=12mJO4Jwtxe2-S0yVVxVwYHXAlR-z6_Q8" TargetMode="External"/><Relationship Id="rId141" Type="http://schemas.openxmlformats.org/officeDocument/2006/relationships/hyperlink" Target="https://drive.google.com/file/d/1WBPG_zX22OjDj6UFefDDRHXgUsYf0o-j/view?usp=sharing" TargetMode="External"/><Relationship Id="rId383" Type="http://schemas.openxmlformats.org/officeDocument/2006/relationships/hyperlink" Target="https://drive.google.com/file/d/1iwe7dht2bn3O8O0QZz-ZF5lan32KVY3j/view?usp=sharing" TargetMode="External"/><Relationship Id="rId140" Type="http://schemas.openxmlformats.org/officeDocument/2006/relationships/hyperlink" Target="https://repl.it/@DimasMokodompit/Weekly-Quiz-Week-3" TargetMode="External"/><Relationship Id="rId382" Type="http://schemas.openxmlformats.org/officeDocument/2006/relationships/hyperlink" Target="https://repl.it/@rphertiansa/ARKWH2" TargetMode="External"/><Relationship Id="rId5" Type="http://schemas.openxmlformats.org/officeDocument/2006/relationships/hyperlink" Target="https://playcode.io/622367/" TargetMode="External"/><Relationship Id="rId147" Type="http://schemas.openxmlformats.org/officeDocument/2006/relationships/hyperlink" Target="https://repl.it/@AkhirPekan/WeeklyQuizbani" TargetMode="External"/><Relationship Id="rId389" Type="http://schemas.openxmlformats.org/officeDocument/2006/relationships/hyperlink" Target="https://repl.it/join/ratpgsnd-farhandz" TargetMode="External"/><Relationship Id="rId6" Type="http://schemas.openxmlformats.org/officeDocument/2006/relationships/hyperlink" Target="https://drive.google.com/file/d/1IGdBbA8tk1BhO9p_jbqoy5hWERbwQTq_/view?usp=sharing" TargetMode="External"/><Relationship Id="rId146" Type="http://schemas.openxmlformats.org/officeDocument/2006/relationships/hyperlink" Target="https://repl.it/@herenacreative/PassionateLawfulProcessors" TargetMode="External"/><Relationship Id="rId388" Type="http://schemas.openxmlformats.org/officeDocument/2006/relationships/hyperlink" Target="https://drive.google.com/file/d/1foA_qsJIfi9sB4ZK6Iq7UOPf7aiW9Es0/view?usp=sharing" TargetMode="External"/><Relationship Id="rId7" Type="http://schemas.openxmlformats.org/officeDocument/2006/relationships/hyperlink" Target="https://repl.it/@byasaa/Quiz-Arkademy-Week-1" TargetMode="External"/><Relationship Id="rId145" Type="http://schemas.openxmlformats.org/officeDocument/2006/relationships/hyperlink" Target="https://drive.google.com/file/d/1hVtwCZxDXRfWB5euiOMGK56cfyTWKq9k/view?usp=sharing" TargetMode="External"/><Relationship Id="rId387" Type="http://schemas.openxmlformats.org/officeDocument/2006/relationships/hyperlink" Target="https://repl.it/@SATRIA05/quiz-week2" TargetMode="External"/><Relationship Id="rId8" Type="http://schemas.openxmlformats.org/officeDocument/2006/relationships/hyperlink" Target="https://drive.google.com/file/d/1dd_8tqwvqB-9rfzqKBdk95GM340QOGOD/view?usp=sharing" TargetMode="External"/><Relationship Id="rId144" Type="http://schemas.openxmlformats.org/officeDocument/2006/relationships/hyperlink" Target="https://repl.it/@prioarief/arkwh3" TargetMode="External"/><Relationship Id="rId386" Type="http://schemas.openxmlformats.org/officeDocument/2006/relationships/hyperlink" Target="https://drive.google.com/open?id=1i93nhQ6JhLwgjMkcRSNqGPI-pZvurDaO" TargetMode="External"/><Relationship Id="rId381" Type="http://schemas.openxmlformats.org/officeDocument/2006/relationships/hyperlink" Target="https://drive.google.com/file/d/13M3GBZnmt56GuKXFvCOnSErUEwSDsWVO/view?usp=sharing" TargetMode="External"/><Relationship Id="rId380" Type="http://schemas.openxmlformats.org/officeDocument/2006/relationships/hyperlink" Target="https://repl.it/@GunturBudiBudi1/AngelicAccomplishedPhase" TargetMode="External"/><Relationship Id="rId139" Type="http://schemas.openxmlformats.org/officeDocument/2006/relationships/hyperlink" Target="https://drive.google.com/file/d/1CQAyfQv4lKxgjuRpS7phFAJWPdVmnmg-/view?usp=sharing" TargetMode="External"/><Relationship Id="rId138" Type="http://schemas.openxmlformats.org/officeDocument/2006/relationships/hyperlink" Target="https://repl.it/@danielwetan/Weekly-Task-3-Arkademy" TargetMode="External"/><Relationship Id="rId137" Type="http://schemas.openxmlformats.org/officeDocument/2006/relationships/hyperlink" Target="https://drive.google.com/file/d/1_R8KMGajgrJ-mnXer8Caq5XBEaP6QXGc/view?usp=sharing" TargetMode="External"/><Relationship Id="rId379" Type="http://schemas.openxmlformats.org/officeDocument/2006/relationships/hyperlink" Target="https://repl.it/@GunturBudiBudi1/AngelicAccomplishedPhase" TargetMode="External"/><Relationship Id="rId132" Type="http://schemas.openxmlformats.org/officeDocument/2006/relationships/hyperlink" Target="https://repl.it/@bgsilham/IlhamBagasSaputra-QuizWeek3" TargetMode="External"/><Relationship Id="rId374" Type="http://schemas.openxmlformats.org/officeDocument/2006/relationships/hyperlink" Target="https://drive.google.com/open?id=1zXUJ7NwS9yt6JGxpcD15S1H6MrIapnuV" TargetMode="External"/><Relationship Id="rId131" Type="http://schemas.openxmlformats.org/officeDocument/2006/relationships/hyperlink" Target="https://drive.google.com/file/d/1YJLgijp6pBm_x7mq5pIk5TJqWA8JfSPX/view?usp=sharing" TargetMode="External"/><Relationship Id="rId373" Type="http://schemas.openxmlformats.org/officeDocument/2006/relationships/hyperlink" Target="https://repl.it/@alisaid/Quiz1" TargetMode="External"/><Relationship Id="rId130" Type="http://schemas.openxmlformats.org/officeDocument/2006/relationships/hyperlink" Target="https://playcode.io/629086/" TargetMode="External"/><Relationship Id="rId372" Type="http://schemas.openxmlformats.org/officeDocument/2006/relationships/hyperlink" Target="https://drive.google.com/file/d/1wx3PoZFBgYdG8lUo91RpTGl_65TdnjP2/view?usp=sharing" TargetMode="External"/><Relationship Id="rId371" Type="http://schemas.openxmlformats.org/officeDocument/2006/relationships/hyperlink" Target="https://drive.google.com/open?id=1LBVR84j8p8-T9d4EfouqIMCAxpV8o5wv" TargetMode="External"/><Relationship Id="rId136" Type="http://schemas.openxmlformats.org/officeDocument/2006/relationships/hyperlink" Target="https://repl.it/@prioarief/arkwh3" TargetMode="External"/><Relationship Id="rId378" Type="http://schemas.openxmlformats.org/officeDocument/2006/relationships/hyperlink" Target="https://repl.it/@danielwetan/Weekly-Quiz-11" TargetMode="External"/><Relationship Id="rId135" Type="http://schemas.openxmlformats.org/officeDocument/2006/relationships/hyperlink" Target="https://drive.google.com/file/d/1YJLgijp6pBm_x7mq5pIk5TJqWA8JfSPX/view?usp=sharing" TargetMode="External"/><Relationship Id="rId377" Type="http://schemas.openxmlformats.org/officeDocument/2006/relationships/hyperlink" Target="https://repl.it/@AdninRifandioff/Weekly-Quiz-Week-11" TargetMode="External"/><Relationship Id="rId134" Type="http://schemas.openxmlformats.org/officeDocument/2006/relationships/hyperlink" Target="https://playcode.io/629086/" TargetMode="External"/><Relationship Id="rId376" Type="http://schemas.openxmlformats.org/officeDocument/2006/relationships/hyperlink" Target="https://drive.google.com/file/d/1KjmgN4sDEX_Ku_ekOkTjaZQGDSUayOsx/view?usp=sharing" TargetMode="External"/><Relationship Id="rId133" Type="http://schemas.openxmlformats.org/officeDocument/2006/relationships/hyperlink" Target="https://drive.google.com/file/d/1_kF4pPymmTbLaMDmMX-UYbuktUoRCpDN/view?usp=sharing" TargetMode="External"/><Relationship Id="rId375" Type="http://schemas.openxmlformats.org/officeDocument/2006/relationships/hyperlink" Target="https://repl.it/@Alfahan/1" TargetMode="External"/><Relationship Id="rId172" Type="http://schemas.openxmlformats.org/officeDocument/2006/relationships/hyperlink" Target="https://repl.it/repls/PlayfulDishonestSearch" TargetMode="External"/><Relationship Id="rId171" Type="http://schemas.openxmlformats.org/officeDocument/2006/relationships/hyperlink" Target="https://drive.google.com/file/d/1ughkleoPXfZ-id08C5VOxsFB7zwAbN6z/view?usp=sharing" TargetMode="External"/><Relationship Id="rId170" Type="http://schemas.openxmlformats.org/officeDocument/2006/relationships/hyperlink" Target="https://repl.it/@MuhamadAdam/menghitung-pasang-sepatu" TargetMode="External"/><Relationship Id="rId165" Type="http://schemas.openxmlformats.org/officeDocument/2006/relationships/hyperlink" Target="https://drive.google.com/file/d/1dx-XJwtlWAyv2va5EORHUSUbxbEudGbq/view?usp=sharing" TargetMode="External"/><Relationship Id="rId164" Type="http://schemas.openxmlformats.org/officeDocument/2006/relationships/hyperlink" Target="https://repl.it/@RinaLia/Quiz4" TargetMode="External"/><Relationship Id="rId163" Type="http://schemas.openxmlformats.org/officeDocument/2006/relationships/hyperlink" Target="https://drive.google.com/file/d/1Ga9H554bnKNfHkrGisfvfIvLkiR71pWe/view?usp=sharing" TargetMode="External"/><Relationship Id="rId162" Type="http://schemas.openxmlformats.org/officeDocument/2006/relationships/hyperlink" Target="https://repl.it/@ALIFKI/WeeklyQuizz4" TargetMode="External"/><Relationship Id="rId169" Type="http://schemas.openxmlformats.org/officeDocument/2006/relationships/hyperlink" Target="https://drive.google.com/file/d/1repWjAn-2yGRIFrMBy8tm0_CWQ7RGWia/view?usp=sharing" TargetMode="External"/><Relationship Id="rId168" Type="http://schemas.openxmlformats.org/officeDocument/2006/relationships/hyperlink" Target="https://playcode.io/636023/" TargetMode="External"/><Relationship Id="rId167" Type="http://schemas.openxmlformats.org/officeDocument/2006/relationships/hyperlink" Target="https://drive.google.com/file/d/1ptvvNeeineRw0WwcF5VmL0-TroHfVg_E/view?usp=sharing" TargetMode="External"/><Relationship Id="rId166" Type="http://schemas.openxmlformats.org/officeDocument/2006/relationships/hyperlink" Target="https://playcode.io/636029/" TargetMode="External"/><Relationship Id="rId161" Type="http://schemas.openxmlformats.org/officeDocument/2006/relationships/hyperlink" Target="https://app.diagrams.net/" TargetMode="External"/><Relationship Id="rId160" Type="http://schemas.openxmlformats.org/officeDocument/2006/relationships/hyperlink" Target="https://repl.it/@ALIFKI/WeeklyQuizz4" TargetMode="External"/><Relationship Id="rId159" Type="http://schemas.openxmlformats.org/officeDocument/2006/relationships/hyperlink" Target="https://drive.google.com/file/d/1YP09Cq948qLTnXkH6mnqdzljpHsWPGFk/view?usp=sharing" TargetMode="External"/><Relationship Id="rId154" Type="http://schemas.openxmlformats.org/officeDocument/2006/relationships/hyperlink" Target="https://playcode.io/629060/" TargetMode="External"/><Relationship Id="rId396" Type="http://schemas.openxmlformats.org/officeDocument/2006/relationships/hyperlink" Target="https://drive.google.com/file/d/1syIf30At2iGB6N0Z5-Gqm9es_M_vtlB1/view?usp=sharing" TargetMode="External"/><Relationship Id="rId153" Type="http://schemas.openxmlformats.org/officeDocument/2006/relationships/hyperlink" Target="https://drive.google.com/file/d/1wC8p4A0w9UCZNoikugSdrPHW9GEg7TU2/view?usp=sharing" TargetMode="External"/><Relationship Id="rId395" Type="http://schemas.openxmlformats.org/officeDocument/2006/relationships/hyperlink" Target="https://repl.it/@alisaidsm07/Quiz2" TargetMode="External"/><Relationship Id="rId152" Type="http://schemas.openxmlformats.org/officeDocument/2006/relationships/hyperlink" Target="https://repl.it/@knocknockguessw/Weekly-Quiz-Week-3" TargetMode="External"/><Relationship Id="rId394" Type="http://schemas.openxmlformats.org/officeDocument/2006/relationships/hyperlink" Target="https://drive.google.com/open?id=10_fExTuTk0GvFFTrUd0KTwxz23vNy9Dc" TargetMode="External"/><Relationship Id="rId151" Type="http://schemas.openxmlformats.org/officeDocument/2006/relationships/hyperlink" Target="https://drive.google.com/file/d/1aibCtth-rRMyipwGVvjZyXhpmQNzwvJc/view?usp=sharing" TargetMode="External"/><Relationship Id="rId393" Type="http://schemas.openxmlformats.org/officeDocument/2006/relationships/hyperlink" Target="https://drive.google.com/file/d/1i14XVNUBGLm4PeRFxeeQuBpWZhIGPxhE/view?usp=sharing" TargetMode="External"/><Relationship Id="rId158" Type="http://schemas.openxmlformats.org/officeDocument/2006/relationships/hyperlink" Target="https://repl.it/@byasaa/Quiz-Arkademy-Week-4" TargetMode="External"/><Relationship Id="rId157" Type="http://schemas.openxmlformats.org/officeDocument/2006/relationships/hyperlink" Target="https://drive.google.com/open?id=1t8zW1XY3bnySApfmHpIk9ZmKG4RFmJXr" TargetMode="External"/><Relationship Id="rId399" Type="http://schemas.openxmlformats.org/officeDocument/2006/relationships/hyperlink" Target="https://drive.google.com/file/d/1xe0QgzoExbbJYURhfL7uYgJSNUs0r96Y/view?usp=sharing" TargetMode="External"/><Relationship Id="rId156" Type="http://schemas.openxmlformats.org/officeDocument/2006/relationships/hyperlink" Target="https://drive.google.com/file/d/1vqlcHxAWGDvwZQ4egrglZ8_YC3S5TgXy/view?usp=sharing" TargetMode="External"/><Relationship Id="rId398" Type="http://schemas.openxmlformats.org/officeDocument/2006/relationships/hyperlink" Target="https://repl.it/@RizaRadiaRadia/Quiz2" TargetMode="External"/><Relationship Id="rId155" Type="http://schemas.openxmlformats.org/officeDocument/2006/relationships/hyperlink" Target="https://repl.it/@ParkD/Week-4" TargetMode="External"/><Relationship Id="rId397" Type="http://schemas.openxmlformats.org/officeDocument/2006/relationships/hyperlink" Target="https://repl.it/@Alfahan/Piramid" TargetMode="External"/><Relationship Id="rId808" Type="http://schemas.openxmlformats.org/officeDocument/2006/relationships/hyperlink" Target="https://drive.google.com/file/d/1h3W4k6T_kJMJV6px7saebvei0eUOz7Qh/view?usp=sharing" TargetMode="External"/><Relationship Id="rId807" Type="http://schemas.openxmlformats.org/officeDocument/2006/relationships/hyperlink" Target="https://repl.it/@AmarditoKhairi/FMB-19-amarditokhairi-Quiz-1" TargetMode="External"/><Relationship Id="rId806" Type="http://schemas.openxmlformats.org/officeDocument/2006/relationships/hyperlink" Target="https://drive.google.com/open?id=18y0XIPX-exrD7kOGFS-fsCA5taf4c3so" TargetMode="External"/><Relationship Id="rId805" Type="http://schemas.openxmlformats.org/officeDocument/2006/relationships/hyperlink" Target="https://repl.it/@Akbarzulfikar98/quiz1" TargetMode="External"/><Relationship Id="rId809" Type="http://schemas.openxmlformats.org/officeDocument/2006/relationships/hyperlink" Target="https://drive.google.com/open?id=1sGHQXiopINNCIoquYfmfhcfLahpDlGiS" TargetMode="External"/><Relationship Id="rId800" Type="http://schemas.openxmlformats.org/officeDocument/2006/relationships/hyperlink" Target="https://drive.google.com/open?id=1hIPiECQaN84v6RUwTMi7G6hOWtZ8CmgL" TargetMode="External"/><Relationship Id="rId804" Type="http://schemas.openxmlformats.org/officeDocument/2006/relationships/hyperlink" Target="https://repl.it/join/hghclsxy-abroorrizky" TargetMode="External"/><Relationship Id="rId803" Type="http://schemas.openxmlformats.org/officeDocument/2006/relationships/hyperlink" Target="https://drive.google.com/open?id=1IGwiEhffcREp2vzF4lsMY92Ho2AsTIsR" TargetMode="External"/><Relationship Id="rId802" Type="http://schemas.openxmlformats.org/officeDocument/2006/relationships/hyperlink" Target="https://drive.google.com/drive/folders/13njzqh73cIGrn_DmKWmRVaVYJBviZqIw?usp=sharing" TargetMode="External"/><Relationship Id="rId801" Type="http://schemas.openxmlformats.org/officeDocument/2006/relationships/hyperlink" Target="https://repl.it/@ArdionMassaid/FrizzyWearyOutcome" TargetMode="External"/><Relationship Id="rId40" Type="http://schemas.openxmlformats.org/officeDocument/2006/relationships/hyperlink" Target="https://drive.google.com/file/d/1mHqhXtYPN0LHj-02m6gfoyXAF9YnkdsW/view?usp=sharing" TargetMode="External"/><Relationship Id="rId42" Type="http://schemas.openxmlformats.org/officeDocument/2006/relationships/hyperlink" Target="https://drive.google.com/file/d/1EWZhyTOSRvIhoP3RLPVRchr6_1TZplD_/view?usp=sharing" TargetMode="External"/><Relationship Id="rId41" Type="http://schemas.openxmlformats.org/officeDocument/2006/relationships/hyperlink" Target="https://playcode.io/622396/" TargetMode="External"/><Relationship Id="rId44" Type="http://schemas.openxmlformats.org/officeDocument/2006/relationships/hyperlink" Target="https://drive.google.com/file/d/1ngwcCZrw8WGvOB9kLXcnUlcC6bQOBCK4/view?usp=sharing" TargetMode="External"/><Relationship Id="rId43" Type="http://schemas.openxmlformats.org/officeDocument/2006/relationships/hyperlink" Target="https://repl.it/@IzulZulfian/Weekly-Quiz-1" TargetMode="External"/><Relationship Id="rId46" Type="http://schemas.openxmlformats.org/officeDocument/2006/relationships/hyperlink" Target="https://drive.google.com/file/d/1phFgO9-5bI70UWMoJIxiTdbFFGA_-S2n/view?usp=sharing" TargetMode="External"/><Relationship Id="rId45" Type="http://schemas.openxmlformats.org/officeDocument/2006/relationships/hyperlink" Target="https://repl.it/join/ytnedlog-prioarief" TargetMode="External"/><Relationship Id="rId509" Type="http://schemas.openxmlformats.org/officeDocument/2006/relationships/hyperlink" Target="https://repl.it/@herenacreative/ark1" TargetMode="External"/><Relationship Id="rId508" Type="http://schemas.openxmlformats.org/officeDocument/2006/relationships/hyperlink" Target="https://drive.google.com/file/d/1idPlIMo3B8J7LPHu1L4wdbPYIA2cQ4PR/view?usp=sharing" TargetMode="External"/><Relationship Id="rId503" Type="http://schemas.openxmlformats.org/officeDocument/2006/relationships/hyperlink" Target="https://drive.google.com/file/d/1aL_VYzrzIIk_7TJgiW-rREzfkpbympZA/view?usp=sharing" TargetMode="External"/><Relationship Id="rId745" Type="http://schemas.openxmlformats.org/officeDocument/2006/relationships/hyperlink" Target="https://repl.it/join/ppfrjtyy-baskaraerbasakt" TargetMode="External"/><Relationship Id="rId502" Type="http://schemas.openxmlformats.org/officeDocument/2006/relationships/hyperlink" Target="https://playcode.io/680825/" TargetMode="External"/><Relationship Id="rId744" Type="http://schemas.openxmlformats.org/officeDocument/2006/relationships/hyperlink" Target="https://repl.it/@adityaudianggor/task1" TargetMode="External"/><Relationship Id="rId501" Type="http://schemas.openxmlformats.org/officeDocument/2006/relationships/hyperlink" Target="https://drive.google.com/open?id=1Kt0Z3rRuUI71D7H8_3-Qx9DvCLQ5IZJ8" TargetMode="External"/><Relationship Id="rId743" Type="http://schemas.openxmlformats.org/officeDocument/2006/relationships/hyperlink" Target="https://repl.it/join/oyfwwkpm-aberama" TargetMode="External"/><Relationship Id="rId500" Type="http://schemas.openxmlformats.org/officeDocument/2006/relationships/hyperlink" Target="https://repl.it/join/vxwfwyri-anshoryihsan" TargetMode="External"/><Relationship Id="rId742" Type="http://schemas.openxmlformats.org/officeDocument/2006/relationships/hyperlink" Target="https://repl.it/repls/HideousMundaneTrials" TargetMode="External"/><Relationship Id="rId507" Type="http://schemas.openxmlformats.org/officeDocument/2006/relationships/hyperlink" Target="https://repl.it/@drajat824/quis2" TargetMode="External"/><Relationship Id="rId749" Type="http://schemas.openxmlformats.org/officeDocument/2006/relationships/hyperlink" Target="https://repl.it/talk/share/tugas/58307" TargetMode="External"/><Relationship Id="rId506" Type="http://schemas.openxmlformats.org/officeDocument/2006/relationships/hyperlink" Target="https://drive.google.com/open?id=1PbO8FIDfvaytxpmhMtF81wzLsaOJwKT-" TargetMode="External"/><Relationship Id="rId748" Type="http://schemas.openxmlformats.org/officeDocument/2006/relationships/hyperlink" Target="https://repl.it/@corrykalam1/PurpleEverlastingJavabytecode" TargetMode="External"/><Relationship Id="rId505" Type="http://schemas.openxmlformats.org/officeDocument/2006/relationships/hyperlink" Target="https://drive.google.com/file/d/1ptxS4n0DSjnMEePzxmVV0NqrK0AC7iZJ/view?usp=sharing" TargetMode="External"/><Relationship Id="rId747" Type="http://schemas.openxmlformats.org/officeDocument/2006/relationships/hyperlink" Target="https://repl.it/repls/VirtuousMoccasinUnit" TargetMode="External"/><Relationship Id="rId504" Type="http://schemas.openxmlformats.org/officeDocument/2006/relationships/hyperlink" Target="https://repl.it/@mkhoirulwafa/arkFood" TargetMode="External"/><Relationship Id="rId746" Type="http://schemas.openxmlformats.org/officeDocument/2006/relationships/hyperlink" Target="https://repl.it/repls/VirtuousMoccasinUnit" TargetMode="External"/><Relationship Id="rId48" Type="http://schemas.openxmlformats.org/officeDocument/2006/relationships/hyperlink" Target="https://drive.google.com/file/d/1bupurmb20a6r4ANPTYAyOQfS6paS4IZu/view?usp=sharing" TargetMode="External"/><Relationship Id="rId47" Type="http://schemas.openxmlformats.org/officeDocument/2006/relationships/hyperlink" Target="https://repl.it/@luthfiwidya/quiz-weekly-1" TargetMode="External"/><Relationship Id="rId49" Type="http://schemas.openxmlformats.org/officeDocument/2006/relationships/hyperlink" Target="https://repl.it/@herenacreative/NormalDirtyTaskscheduling" TargetMode="External"/><Relationship Id="rId741" Type="http://schemas.openxmlformats.org/officeDocument/2006/relationships/hyperlink" Target="http://playcode.io/692970/" TargetMode="External"/><Relationship Id="rId740" Type="http://schemas.openxmlformats.org/officeDocument/2006/relationships/hyperlink" Target="https://repl.it/@aberama/quiz" TargetMode="External"/><Relationship Id="rId31" Type="http://schemas.openxmlformats.org/officeDocument/2006/relationships/hyperlink" Target="https://repl.it/join/ufqvrjdk-regaprayogo" TargetMode="External"/><Relationship Id="rId30" Type="http://schemas.openxmlformats.org/officeDocument/2006/relationships/hyperlink" Target="https://drive.google.com/file/d/1wLXtKBuFPUv5sOOcnhknkGiC4UqdIbFO/view?usp=sharing" TargetMode="External"/><Relationship Id="rId33" Type="http://schemas.openxmlformats.org/officeDocument/2006/relationships/hyperlink" Target="https://repl.it/@danielwetan/Weekly-Task-1-Arka" TargetMode="External"/><Relationship Id="rId32" Type="http://schemas.openxmlformats.org/officeDocument/2006/relationships/hyperlink" Target="https://drive.google.com/open?id=16wU8zbbAOd45jRbh6RnhcoWumsfqxHZd" TargetMode="External"/><Relationship Id="rId35" Type="http://schemas.openxmlformats.org/officeDocument/2006/relationships/hyperlink" Target="https://repl.it/@dickyjulian/ArkaQuiz1" TargetMode="External"/><Relationship Id="rId34" Type="http://schemas.openxmlformats.org/officeDocument/2006/relationships/hyperlink" Target="https://drive.google.com/file/d/1ZyBSA978TKfjhIO98FSpMN3kWRJN1oKZ/view?usp=sharing" TargetMode="External"/><Relationship Id="rId739" Type="http://schemas.openxmlformats.org/officeDocument/2006/relationships/hyperlink" Target="https://repl.it/@fitraelbi/TimelyIllustriousNet" TargetMode="External"/><Relationship Id="rId734" Type="http://schemas.openxmlformats.org/officeDocument/2006/relationships/hyperlink" Target="https://repl.it/@Arimahen8/Quiz6" TargetMode="External"/><Relationship Id="rId733" Type="http://schemas.openxmlformats.org/officeDocument/2006/relationships/hyperlink" Target="https://repl.it/repls/TrustingHurtfulConnection" TargetMode="External"/><Relationship Id="rId732" Type="http://schemas.openxmlformats.org/officeDocument/2006/relationships/hyperlink" Target="https://repl.it/@Friemorn/beautifulDays" TargetMode="External"/><Relationship Id="rId731" Type="http://schemas.openxmlformats.org/officeDocument/2006/relationships/hyperlink" Target="https://repl.it/@cepguna/last-quiz" TargetMode="External"/><Relationship Id="rId738" Type="http://schemas.openxmlformats.org/officeDocument/2006/relationships/hyperlink" Target="https://playcode.io/451387/" TargetMode="External"/><Relationship Id="rId737" Type="http://schemas.openxmlformats.org/officeDocument/2006/relationships/hyperlink" Target="http://playcode.io/692964/" TargetMode="External"/><Relationship Id="rId736" Type="http://schemas.openxmlformats.org/officeDocument/2006/relationships/hyperlink" Target="https://repl.it/@SintaAnggun/ConcernedDopeyProlog" TargetMode="External"/><Relationship Id="rId735" Type="http://schemas.openxmlformats.org/officeDocument/2006/relationships/hyperlink" Target="https://repl.it/@kemalreza/beautifulDays" TargetMode="External"/><Relationship Id="rId37" Type="http://schemas.openxmlformats.org/officeDocument/2006/relationships/hyperlink" Target="https://repl.it/join/kbikjakq-knocknockguessw" TargetMode="External"/><Relationship Id="rId36" Type="http://schemas.openxmlformats.org/officeDocument/2006/relationships/hyperlink" Target="https://drive.google.com/file/d/1NMCywDLfNJ4Q5NbWsbp9ttAg1XGYO1QB/view?usp=sharing" TargetMode="External"/><Relationship Id="rId39" Type="http://schemas.openxmlformats.org/officeDocument/2006/relationships/hyperlink" Target="https://repl.it/@AdninRifandioff/Weekly-Quiz-week-1" TargetMode="External"/><Relationship Id="rId38" Type="http://schemas.openxmlformats.org/officeDocument/2006/relationships/hyperlink" Target="https://drive.google.com/file/d/16gPZaDhQZDZk2WWUSVaP8G6Y5pO6n97_/view?usp=sharing" TargetMode="External"/><Relationship Id="rId730" Type="http://schemas.openxmlformats.org/officeDocument/2006/relationships/hyperlink" Target="https://repl.it/@ReginaPutri/quizArk11" TargetMode="External"/><Relationship Id="rId20" Type="http://schemas.openxmlformats.org/officeDocument/2006/relationships/hyperlink" Target="https://repl.it/join/kbikjakq-knocknockguessw" TargetMode="External"/><Relationship Id="rId22" Type="http://schemas.openxmlformats.org/officeDocument/2006/relationships/hyperlink" Target="http://repl.it/" TargetMode="External"/><Relationship Id="rId21" Type="http://schemas.openxmlformats.org/officeDocument/2006/relationships/hyperlink" Target="https://drive.google.com/file/d/16gPZaDhQZDZk2WWUSVaP8G6Y5pO6n97_/view" TargetMode="External"/><Relationship Id="rId24" Type="http://schemas.openxmlformats.org/officeDocument/2006/relationships/hyperlink" Target="https://drive.google.com/file/d/11hr0kKAWGpo6lQ39eONLYyOPXgSDsM90/view?usp=sharing" TargetMode="External"/><Relationship Id="rId23" Type="http://schemas.openxmlformats.org/officeDocument/2006/relationships/hyperlink" Target="https://repl.it/@DimasMokodompit/Weekly-Quiz-week-1" TargetMode="External"/><Relationship Id="rId525" Type="http://schemas.openxmlformats.org/officeDocument/2006/relationships/hyperlink" Target="https://repl.it/join/gcusxvpo-alfahan" TargetMode="External"/><Relationship Id="rId767" Type="http://schemas.openxmlformats.org/officeDocument/2006/relationships/hyperlink" Target="https://repl.it/repls/BothExpertOutliers" TargetMode="External"/><Relationship Id="rId524" Type="http://schemas.openxmlformats.org/officeDocument/2006/relationships/hyperlink" Target="https://drive.google.com/drive/folders/1ScM4o-iiG7Yq4YlMxRYbGyPpNJJe00ro" TargetMode="External"/><Relationship Id="rId766" Type="http://schemas.openxmlformats.org/officeDocument/2006/relationships/hyperlink" Target="https://repl.it/join/fbbhdmpx-arqialfaritsi" TargetMode="External"/><Relationship Id="rId523" Type="http://schemas.openxmlformats.org/officeDocument/2006/relationships/hyperlink" Target="https://repl.it/@lailikumala/WoodenCanineEntropy" TargetMode="External"/><Relationship Id="rId765" Type="http://schemas.openxmlformats.org/officeDocument/2006/relationships/hyperlink" Target="https://repl.it/@muzmi1234/quizz-logic" TargetMode="External"/><Relationship Id="rId522" Type="http://schemas.openxmlformats.org/officeDocument/2006/relationships/hyperlink" Target="https://drive.google.com/open?id=1juS1pf5yqUbZHDD7DqT0c-oV6q8aRr90" TargetMode="External"/><Relationship Id="rId764" Type="http://schemas.openxmlformats.org/officeDocument/2006/relationships/hyperlink" Target="https://repl.it/join/lqwdcqxy-arifrahman6" TargetMode="External"/><Relationship Id="rId529" Type="http://schemas.openxmlformats.org/officeDocument/2006/relationships/hyperlink" Target="https://repl.it/@mochsofyan17/RipeLimitedExternalcommand" TargetMode="External"/><Relationship Id="rId528" Type="http://schemas.openxmlformats.org/officeDocument/2006/relationships/hyperlink" Target="https://drive.google.com/open?id=1CpMC-igndCOubK3SmLc4WsClV1Q1XUPW" TargetMode="External"/><Relationship Id="rId527" Type="http://schemas.openxmlformats.org/officeDocument/2006/relationships/hyperlink" Target="https://drive.google.com/file/d/1gHjvsxc61sqWCHXVALhahEvYhas1bQ0_/view?usp=sharing" TargetMode="External"/><Relationship Id="rId769" Type="http://schemas.openxmlformats.org/officeDocument/2006/relationships/hyperlink" Target="https://repl.it/join/pahkkbba-galuhprahadi96" TargetMode="External"/><Relationship Id="rId526" Type="http://schemas.openxmlformats.org/officeDocument/2006/relationships/hyperlink" Target="https://repl.it/@rphertiansa/ARKWH4" TargetMode="External"/><Relationship Id="rId768" Type="http://schemas.openxmlformats.org/officeDocument/2006/relationships/hyperlink" Target="https://repl.it/@Friemorn/TimeAndFactorial" TargetMode="External"/><Relationship Id="rId26" Type="http://schemas.openxmlformats.org/officeDocument/2006/relationships/hyperlink" Target="https://drive.google.com/file/d/1q3GJHeyja9fP7PMjqPIjsBmk1nRdZMEk/view?usp=sharing" TargetMode="External"/><Relationship Id="rId25" Type="http://schemas.openxmlformats.org/officeDocument/2006/relationships/hyperlink" Target="https://playcode.io/622387/" TargetMode="External"/><Relationship Id="rId28" Type="http://schemas.openxmlformats.org/officeDocument/2006/relationships/hyperlink" Target="https://drive.google.com/file/d/1i-NAxzbg4UjdWqCXq5bleBcXfB5stMwQ/view?usp=sharing" TargetMode="External"/><Relationship Id="rId27" Type="http://schemas.openxmlformats.org/officeDocument/2006/relationships/hyperlink" Target="https://repl.it/@MuhamadAdam/ARKWH1" TargetMode="External"/><Relationship Id="rId521" Type="http://schemas.openxmlformats.org/officeDocument/2006/relationships/hyperlink" Target="https://drive.google.com/file/d/1rWiSwziHsu0SVQIAH3FBtiDt1rEA8p9X/view?usp=sharing" TargetMode="External"/><Relationship Id="rId763" Type="http://schemas.openxmlformats.org/officeDocument/2006/relationships/hyperlink" Target="http://playcode.io/695133/" TargetMode="External"/><Relationship Id="rId29" Type="http://schemas.openxmlformats.org/officeDocument/2006/relationships/hyperlink" Target="https://repl.it/@ALIFKI/Weekly-Quiz-Week-1" TargetMode="External"/><Relationship Id="rId520" Type="http://schemas.openxmlformats.org/officeDocument/2006/relationships/hyperlink" Target="https://repl.it/@Ayuarmadani/quiz" TargetMode="External"/><Relationship Id="rId762" Type="http://schemas.openxmlformats.org/officeDocument/2006/relationships/hyperlink" Target="https://repl.it/join/jakvifnm-faishalrmdhn" TargetMode="External"/><Relationship Id="rId761" Type="http://schemas.openxmlformats.org/officeDocument/2006/relationships/hyperlink" Target="https://repl.it/@ArqiAlfaritsi/AuthorizedYearlyChapter" TargetMode="External"/><Relationship Id="rId760" Type="http://schemas.openxmlformats.org/officeDocument/2006/relationships/hyperlink" Target="https://playcode.io/695138" TargetMode="External"/><Relationship Id="rId11" Type="http://schemas.openxmlformats.org/officeDocument/2006/relationships/hyperlink" Target="https://playcode.io/599840/" TargetMode="External"/><Relationship Id="rId10" Type="http://schemas.openxmlformats.org/officeDocument/2006/relationships/hyperlink" Target="https://drive.google.com/file/d/1vNf2H4hKwaYqVsYji1xqDE3nlODEuekc/view?usp=sharing" TargetMode="External"/><Relationship Id="rId13" Type="http://schemas.openxmlformats.org/officeDocument/2006/relationships/hyperlink" Target="https://repl.it/@ParkD/Weekly-Quiz-Week-1" TargetMode="External"/><Relationship Id="rId12" Type="http://schemas.openxmlformats.org/officeDocument/2006/relationships/hyperlink" Target="https://drive.google.com/drive/folders/1uLryGeeOy0vRFAULDz_m49qXeTWYKIMg?usp=sharing" TargetMode="External"/><Relationship Id="rId519" Type="http://schemas.openxmlformats.org/officeDocument/2006/relationships/hyperlink" Target="https://repl.it/@ranisup/quiz2js" TargetMode="External"/><Relationship Id="rId514" Type="http://schemas.openxmlformats.org/officeDocument/2006/relationships/hyperlink" Target="https://repl.it/join/vxwfwyri-anshoryihsan" TargetMode="External"/><Relationship Id="rId756" Type="http://schemas.openxmlformats.org/officeDocument/2006/relationships/hyperlink" Target="https://repl.it/@kusumasuma/Logic-Task-W13" TargetMode="External"/><Relationship Id="rId513" Type="http://schemas.openxmlformats.org/officeDocument/2006/relationships/hyperlink" Target="https://drive.google.com/open?id=1yZOqZBIBc3ozLmbXzGb1RnibrYj_hJjI" TargetMode="External"/><Relationship Id="rId755" Type="http://schemas.openxmlformats.org/officeDocument/2006/relationships/hyperlink" Target="https://repl.it/@ardhikarn/arkwh13" TargetMode="External"/><Relationship Id="rId512" Type="http://schemas.openxmlformats.org/officeDocument/2006/relationships/hyperlink" Target="https://drive.google.com/file/d/1t-plp20q4fMTlNldXASjYKCi5fT7mdVG/view?usp=sharing" TargetMode="External"/><Relationship Id="rId754" Type="http://schemas.openxmlformats.org/officeDocument/2006/relationships/hyperlink" Target="https://repl.it/@cepguna/ARK13" TargetMode="External"/><Relationship Id="rId511" Type="http://schemas.openxmlformats.org/officeDocument/2006/relationships/hyperlink" Target="https://repl.it/@dherliansyah/kuis2" TargetMode="External"/><Relationship Id="rId753" Type="http://schemas.openxmlformats.org/officeDocument/2006/relationships/hyperlink" Target="https://repl.it/@ReginaPutri/timeConversion" TargetMode="External"/><Relationship Id="rId518" Type="http://schemas.openxmlformats.org/officeDocument/2006/relationships/hyperlink" Target="https://drive.google.com/open?id=1ZWwjabTGd-3FLfr2-2_j6G6V8cr0vZ3H" TargetMode="External"/><Relationship Id="rId517" Type="http://schemas.openxmlformats.org/officeDocument/2006/relationships/hyperlink" Target="https://drive.google.com/file/d/1eEW0AmYmRhaprbKzbgb2mCo84gTAcZ9f/view?usp=sharing" TargetMode="External"/><Relationship Id="rId759" Type="http://schemas.openxmlformats.org/officeDocument/2006/relationships/hyperlink" Target="https://repl.it/@iqbalstwan/QuizwithGo" TargetMode="External"/><Relationship Id="rId516" Type="http://schemas.openxmlformats.org/officeDocument/2006/relationships/hyperlink" Target="https://repl.it/@rolilaz47/count" TargetMode="External"/><Relationship Id="rId758" Type="http://schemas.openxmlformats.org/officeDocument/2006/relationships/hyperlink" Target="https://playcode.io/695112" TargetMode="External"/><Relationship Id="rId515" Type="http://schemas.openxmlformats.org/officeDocument/2006/relationships/hyperlink" Target="https://drive.google.com/open?id=1xeuhtL0Y8xo7k-QT3ya0ImVaa2F5Jnnc" TargetMode="External"/><Relationship Id="rId757" Type="http://schemas.openxmlformats.org/officeDocument/2006/relationships/hyperlink" Target="https://repl.it/@Arimahen8/Quiz7" TargetMode="External"/><Relationship Id="rId15" Type="http://schemas.openxmlformats.org/officeDocument/2006/relationships/hyperlink" Target="https://drive.google.com/open?id=1uGXeiRTviNEYEi-4RGktYR2rJtktpDDQ" TargetMode="External"/><Relationship Id="rId14" Type="http://schemas.openxmlformats.org/officeDocument/2006/relationships/hyperlink" Target="https://drive.google.com/file/d/1AiMMf7_yKbVZr088X7zZ199oBTdxlI7K/view?usp=sharing" TargetMode="External"/><Relationship Id="rId17" Type="http://schemas.openxmlformats.org/officeDocument/2006/relationships/hyperlink" Target="https://drive.google.com/open?id=1z4UAjRnu3FTdqzx7N5g7Gf8iKaun1Uwf" TargetMode="External"/><Relationship Id="rId16" Type="http://schemas.openxmlformats.org/officeDocument/2006/relationships/hyperlink" Target="https://repl.it/@fajarpng/arkademy-quis-w1" TargetMode="External"/><Relationship Id="rId19" Type="http://schemas.openxmlformats.org/officeDocument/2006/relationships/hyperlink" Target="https://drive.google.com/open?id=1YEofGG2PKm5eaU1_GOuVQ1sCSMou2SPy" TargetMode="External"/><Relationship Id="rId510" Type="http://schemas.openxmlformats.org/officeDocument/2006/relationships/hyperlink" Target="https://repl.it/@ranisup/quiz2js" TargetMode="External"/><Relationship Id="rId752" Type="http://schemas.openxmlformats.org/officeDocument/2006/relationships/hyperlink" Target="https://repl.it/@GiriNurfauzan/Weekly-Quiz-Week-13" TargetMode="External"/><Relationship Id="rId18" Type="http://schemas.openxmlformats.org/officeDocument/2006/relationships/hyperlink" Target="https://repl.it/@prioarief/quiz1Ark" TargetMode="External"/><Relationship Id="rId751" Type="http://schemas.openxmlformats.org/officeDocument/2006/relationships/hyperlink" Target="https://playcode.io/695128/" TargetMode="External"/><Relationship Id="rId750" Type="http://schemas.openxmlformats.org/officeDocument/2006/relationships/hyperlink" Target="https://repl.it/join/irxfterz-arozannaufal" TargetMode="External"/><Relationship Id="rId84" Type="http://schemas.openxmlformats.org/officeDocument/2006/relationships/hyperlink" Target="https://drive.google.com/file/d/1VUbE9aNp3LXgzHDrWtvqmNaxRfDJSaig/view?usp=sharing" TargetMode="External"/><Relationship Id="rId83" Type="http://schemas.openxmlformats.org/officeDocument/2006/relationships/hyperlink" Target="https://repl.it/@luthfiwidya/quiz2pyramid" TargetMode="External"/><Relationship Id="rId86" Type="http://schemas.openxmlformats.org/officeDocument/2006/relationships/hyperlink" Target="https://drive.google.com/file/d/1l4Q-9dX9lRmAUMQN-l8UFoE1zwN-jBxn/view?usp=sharing" TargetMode="External"/><Relationship Id="rId85" Type="http://schemas.openxmlformats.org/officeDocument/2006/relationships/hyperlink" Target="https://playcode.io/625732/" TargetMode="External"/><Relationship Id="rId88" Type="http://schemas.openxmlformats.org/officeDocument/2006/relationships/hyperlink" Target="https://drive.google.com/file/d/1FsV81rDXsS-uu0rJpxV8djyscfJwa_u_/view?usp=sharing" TargetMode="External"/><Relationship Id="rId87" Type="http://schemas.openxmlformats.org/officeDocument/2006/relationships/hyperlink" Target="https://repl.it/@DimasMokodompit/reversePyramid" TargetMode="External"/><Relationship Id="rId89" Type="http://schemas.openxmlformats.org/officeDocument/2006/relationships/hyperlink" Target="https://repl.it/@RinaLia/Quiz2" TargetMode="External"/><Relationship Id="rId709" Type="http://schemas.openxmlformats.org/officeDocument/2006/relationships/hyperlink" Target="https://repl.it/join/kcxjyaib-alfahan" TargetMode="External"/><Relationship Id="rId708" Type="http://schemas.openxmlformats.org/officeDocument/2006/relationships/hyperlink" Target="https://drive.google.com/file/d/1r2DrpGntQRD8bLcxuTQUWNg09os9UfcX/view?usp=sharing" TargetMode="External"/><Relationship Id="rId707" Type="http://schemas.openxmlformats.org/officeDocument/2006/relationships/hyperlink" Target="https://repl.it/@IqbalAthorid/ARKWH3" TargetMode="External"/><Relationship Id="rId949" Type="http://schemas.openxmlformats.org/officeDocument/2006/relationships/hyperlink" Target="https://drive.google.com/open?id=1Wy6PdhHIWf3tQeesjCHpunKq0KehpBer" TargetMode="External"/><Relationship Id="rId706" Type="http://schemas.openxmlformats.org/officeDocument/2006/relationships/hyperlink" Target="https://drive.google.com/file/d/14fTRFYexQK2dKGWDCXLpen6b7RcEm9jZ/view?usp=sharing" TargetMode="External"/><Relationship Id="rId948" Type="http://schemas.openxmlformats.org/officeDocument/2006/relationships/hyperlink" Target="https://playcode.io/719114/" TargetMode="External"/><Relationship Id="rId80" Type="http://schemas.openxmlformats.org/officeDocument/2006/relationships/hyperlink" Target="https://repl.it/join/htcueknm-knocknockguessw" TargetMode="External"/><Relationship Id="rId82" Type="http://schemas.openxmlformats.org/officeDocument/2006/relationships/hyperlink" Target="https://repl.it/@danielwetan/Weekly-Task-2" TargetMode="External"/><Relationship Id="rId81" Type="http://schemas.openxmlformats.org/officeDocument/2006/relationships/hyperlink" Target="https://drive.google.com/file/d/1dZIw5ZIk4AlFYRa0i8wSreiUX1MHhHHi/view?usp=sharing" TargetMode="External"/><Relationship Id="rId701" Type="http://schemas.openxmlformats.org/officeDocument/2006/relationships/hyperlink" Target="https://repl.it/@AhmadAmam/ARKWH3" TargetMode="External"/><Relationship Id="rId943" Type="http://schemas.openxmlformats.org/officeDocument/2006/relationships/hyperlink" Target="https://drive.google.com/file/d/1queSyuqZhPh1ptbz2-RfwGU9e6_yntow/view?usp=sharing" TargetMode="External"/><Relationship Id="rId700" Type="http://schemas.openxmlformats.org/officeDocument/2006/relationships/hyperlink" Target="https://drive.google.com/drive/folders/1V1R079pAp02vzEPGyZLnm_G7dzoFBnge?usp=sharing" TargetMode="External"/><Relationship Id="rId942" Type="http://schemas.openxmlformats.org/officeDocument/2006/relationships/hyperlink" Target="https://repl.it/@GefyAqiilah/quiz-1-fwb-5-arkademy" TargetMode="External"/><Relationship Id="rId941" Type="http://schemas.openxmlformats.org/officeDocument/2006/relationships/hyperlink" Target="https://drive.google.com/drive/folders/18_AV8-vdXYH1cqF-MnmUUwlrbshL4GJ9?usp=sharing" TargetMode="External"/><Relationship Id="rId940" Type="http://schemas.openxmlformats.org/officeDocument/2006/relationships/hyperlink" Target="https://repl.it/@maulanarifai114/Quiz1" TargetMode="External"/><Relationship Id="rId705" Type="http://schemas.openxmlformats.org/officeDocument/2006/relationships/hyperlink" Target="https://repl.it/@pramestiregita/QUIZ-ARKWH3js" TargetMode="External"/><Relationship Id="rId947" Type="http://schemas.openxmlformats.org/officeDocument/2006/relationships/hyperlink" Target="https://drive.google.com/open?id=1bbR4yQLBSNEZE0gmHEe0PSMv3CQrF9TL" TargetMode="External"/><Relationship Id="rId704" Type="http://schemas.openxmlformats.org/officeDocument/2006/relationships/hyperlink" Target="https://drive.google.com/drive/folders/1dzvSW5pLCqa38JfvD579BJ6_ost_OUh9?usp=sharing" TargetMode="External"/><Relationship Id="rId946" Type="http://schemas.openxmlformats.org/officeDocument/2006/relationships/hyperlink" Target="https://drive.google.com/file/d/1b52HyBQPXURrZO8Jhf3b-wkMtelv7QBD/view?usp=sharing" TargetMode="External"/><Relationship Id="rId703" Type="http://schemas.openxmlformats.org/officeDocument/2006/relationships/hyperlink" Target="https://repl.it/@fchilmi/quiz3" TargetMode="External"/><Relationship Id="rId945" Type="http://schemas.openxmlformats.org/officeDocument/2006/relationships/hyperlink" Target="https://repl.it/@syauqeesy/arkwh1" TargetMode="External"/><Relationship Id="rId702" Type="http://schemas.openxmlformats.org/officeDocument/2006/relationships/hyperlink" Target="https://drive.google.com/drive/folders/1CJsimAj1vZYsNABc0ahCI6TyGYQ7iFqc" TargetMode="External"/><Relationship Id="rId944" Type="http://schemas.openxmlformats.org/officeDocument/2006/relationships/hyperlink" Target="https://drive.google.com/open?id=1XMK3J-F7c2xUkpg9Aod6TaoSgGyVwQT9" TargetMode="External"/><Relationship Id="rId73" Type="http://schemas.openxmlformats.org/officeDocument/2006/relationships/hyperlink" Target="https://drive.google.com/file/d/1cVPNhhXL7EI9NcmaArnJHFo7jZ-AdgVK/view?usp=sharing" TargetMode="External"/><Relationship Id="rId72" Type="http://schemas.openxmlformats.org/officeDocument/2006/relationships/hyperlink" Target="https://repl.it/join/lurtjsse-regaprayogo" TargetMode="External"/><Relationship Id="rId75" Type="http://schemas.openxmlformats.org/officeDocument/2006/relationships/hyperlink" Target="https://drive.google.com/file/d/101nj3v1N0jLR9Gm8WTXPFmXTRHaqx1B9/view?usp=sharing" TargetMode="External"/><Relationship Id="rId74" Type="http://schemas.openxmlformats.org/officeDocument/2006/relationships/hyperlink" Target="https://repl.it/@byasaa/Quiz-Arkademy-Week-2" TargetMode="External"/><Relationship Id="rId77" Type="http://schemas.openxmlformats.org/officeDocument/2006/relationships/hyperlink" Target="https://drive.google.com/file/d/1-Xk1BZFZ3_QDGC62EXooLgIVtMLRq_1R/view?usp=sharing" TargetMode="External"/><Relationship Id="rId76" Type="http://schemas.openxmlformats.org/officeDocument/2006/relationships/hyperlink" Target="https://playcode.io/625724/" TargetMode="External"/><Relationship Id="rId79" Type="http://schemas.openxmlformats.org/officeDocument/2006/relationships/hyperlink" Target="https://drive.google.com/file/d/10ISh9vDNsrNFiVaclr02n1zwWfHLj4lT/view?usp=sharing" TargetMode="External"/><Relationship Id="rId78" Type="http://schemas.openxmlformats.org/officeDocument/2006/relationships/hyperlink" Target="https://repl.it/@prioarief/quiz2ark" TargetMode="External"/><Relationship Id="rId939" Type="http://schemas.openxmlformats.org/officeDocument/2006/relationships/hyperlink" Target="https://drive.google.com/file/d/1_95WKmwNOU2O3bktj_XmHGqN89ZFdZWy/view?usp=sharing" TargetMode="External"/><Relationship Id="rId938" Type="http://schemas.openxmlformats.org/officeDocument/2006/relationships/hyperlink" Target="https://jsbin.com/varibifago/edit?js,console" TargetMode="External"/><Relationship Id="rId937" Type="http://schemas.openxmlformats.org/officeDocument/2006/relationships/hyperlink" Target="https://drive.google.com/file/d/1EDrQkVf2qDph1lVJUgrGUFZ4KJ2B6uUS/view?usp=sharing" TargetMode="External"/><Relationship Id="rId71" Type="http://schemas.openxmlformats.org/officeDocument/2006/relationships/hyperlink" Target="https://drive.google.com/file/d/1SCicaBWfa1dYG2LDf4peM5ubqbXugk5C/view?usp=sharing" TargetMode="External"/><Relationship Id="rId70" Type="http://schemas.openxmlformats.org/officeDocument/2006/relationships/hyperlink" Target="https://repl.it/@dickyjulian/pyramidGenerator" TargetMode="External"/><Relationship Id="rId932" Type="http://schemas.openxmlformats.org/officeDocument/2006/relationships/hyperlink" Target="https://playcode.io/714072" TargetMode="External"/><Relationship Id="rId931" Type="http://schemas.openxmlformats.org/officeDocument/2006/relationships/hyperlink" Target="https://playcode.io/714071" TargetMode="External"/><Relationship Id="rId930" Type="http://schemas.openxmlformats.org/officeDocument/2006/relationships/hyperlink" Target="https://playcode.io/714073" TargetMode="External"/><Relationship Id="rId936" Type="http://schemas.openxmlformats.org/officeDocument/2006/relationships/hyperlink" Target="https://repl.it/join/wsvzulio-diarykyosuke" TargetMode="External"/><Relationship Id="rId935" Type="http://schemas.openxmlformats.org/officeDocument/2006/relationships/hyperlink" Target="https://playcode.io/714078" TargetMode="External"/><Relationship Id="rId934" Type="http://schemas.openxmlformats.org/officeDocument/2006/relationships/hyperlink" Target="https://playcode.io/714071" TargetMode="External"/><Relationship Id="rId933" Type="http://schemas.openxmlformats.org/officeDocument/2006/relationships/hyperlink" Target="https://repl.it/join/kyyrkuej-inyil" TargetMode="External"/><Relationship Id="rId62" Type="http://schemas.openxmlformats.org/officeDocument/2006/relationships/hyperlink" Target="https://repl.it/@MuhamadAdam/Weekly-Quiz-2" TargetMode="External"/><Relationship Id="rId61" Type="http://schemas.openxmlformats.org/officeDocument/2006/relationships/hyperlink" Target="https://drive.google.com/file/d/1-epYpKmo6CMiWawUhp1XkFGKDVqkqMDY/view?usp=sharing" TargetMode="External"/><Relationship Id="rId64" Type="http://schemas.openxmlformats.org/officeDocument/2006/relationships/hyperlink" Target="https://repl.it/@RediRamdan/Quiz-Weekly-2" TargetMode="External"/><Relationship Id="rId63" Type="http://schemas.openxmlformats.org/officeDocument/2006/relationships/hyperlink" Target="https://drive.google.com/file/d/1duRDCXYxQ4jAyY2uEhrwPQ6sbSpk42Nw/view?usp=sharing" TargetMode="External"/><Relationship Id="rId66" Type="http://schemas.openxmlformats.org/officeDocument/2006/relationships/hyperlink" Target="https://repl.it/@AkhirPekan/reversePyramid" TargetMode="External"/><Relationship Id="rId65" Type="http://schemas.openxmlformats.org/officeDocument/2006/relationships/hyperlink" Target="https://drive.google.com/file/d/1VmVbOPntepiC03iq__u1UkL7VDPNohWs/view?usp=sharing" TargetMode="External"/><Relationship Id="rId68" Type="http://schemas.openxmlformats.org/officeDocument/2006/relationships/hyperlink" Target="https://repl.it/@ismoyo/HomelyMindlessCharmap" TargetMode="External"/><Relationship Id="rId67" Type="http://schemas.openxmlformats.org/officeDocument/2006/relationships/hyperlink" Target="https://drive.google.com/file/d/1-MxF2D7RKn9tTKtA0nucOWO18RMGPh2v/view?usp=sharing" TargetMode="External"/><Relationship Id="rId729" Type="http://schemas.openxmlformats.org/officeDocument/2006/relationships/hyperlink" Target="https://repl.it/join/snvhzkdg-ervinnurhediyan" TargetMode="External"/><Relationship Id="rId728" Type="http://schemas.openxmlformats.org/officeDocument/2006/relationships/hyperlink" Target="https://repl.it/@syamsa/quiz-6" TargetMode="External"/><Relationship Id="rId60" Type="http://schemas.openxmlformats.org/officeDocument/2006/relationships/hyperlink" Target="https://repl.it/@bgsilham/QuizWeek2-IlhamBagasSaputra" TargetMode="External"/><Relationship Id="rId723" Type="http://schemas.openxmlformats.org/officeDocument/2006/relationships/hyperlink" Target="https://repl.it/@diki08/week10" TargetMode="External"/><Relationship Id="rId722" Type="http://schemas.openxmlformats.org/officeDocument/2006/relationships/hyperlink" Target="https://repl.it/@RizaRadiaRadia/Quiz-5" TargetMode="External"/><Relationship Id="rId721" Type="http://schemas.openxmlformats.org/officeDocument/2006/relationships/hyperlink" Target="https://repl.it/@bagaskaramadhan/QuizW8" TargetMode="External"/><Relationship Id="rId963" Type="http://schemas.openxmlformats.org/officeDocument/2006/relationships/drawing" Target="../drawings/drawing5.xml"/><Relationship Id="rId720" Type="http://schemas.openxmlformats.org/officeDocument/2006/relationships/hyperlink" Target="https://repl.it/repls/FumblingJoyfulSoftwaresuite" TargetMode="External"/><Relationship Id="rId962" Type="http://schemas.openxmlformats.org/officeDocument/2006/relationships/hyperlink" Target="https://drive.google.com/open?id=1UMfKYxStB-BxOQ5H2nX0Ghs_gxbyxAXc" TargetMode="External"/><Relationship Id="rId727" Type="http://schemas.openxmlformats.org/officeDocument/2006/relationships/hyperlink" Target="https://playcode.io/689722" TargetMode="External"/><Relationship Id="rId726" Type="http://schemas.openxmlformats.org/officeDocument/2006/relationships/hyperlink" Target="https://repl.it/@SATRIA05/Quiz-Week-8" TargetMode="External"/><Relationship Id="rId725" Type="http://schemas.openxmlformats.org/officeDocument/2006/relationships/hyperlink" Target="https://repl.it/@Wsngr/Quiz-8" TargetMode="External"/><Relationship Id="rId724" Type="http://schemas.openxmlformats.org/officeDocument/2006/relationships/hyperlink" Target="https://repl.it/@PanjiKusuma/kuis8" TargetMode="External"/><Relationship Id="rId69" Type="http://schemas.openxmlformats.org/officeDocument/2006/relationships/hyperlink" Target="https://drive.google.com/file/d/16p5CgLew8DInt7KWx10sP44ZenrsfElK/view?usp=sharing" TargetMode="External"/><Relationship Id="rId961" Type="http://schemas.openxmlformats.org/officeDocument/2006/relationships/hyperlink" Target="https://repl.it/@renaldipratama/Quiz1" TargetMode="External"/><Relationship Id="rId960" Type="http://schemas.openxmlformats.org/officeDocument/2006/relationships/hyperlink" Target="https://repl.it/join/rdsbkeap-defriansyah" TargetMode="External"/><Relationship Id="rId51" Type="http://schemas.openxmlformats.org/officeDocument/2006/relationships/hyperlink" Target="https://repl.it/@RinaLia/QuizWeek1" TargetMode="External"/><Relationship Id="rId50" Type="http://schemas.openxmlformats.org/officeDocument/2006/relationships/hyperlink" Target="https://drive.google.com/file/d/1T3p_2IrNXHVAeupUYeZ49gEXgkQr6tsM/view" TargetMode="External"/><Relationship Id="rId53" Type="http://schemas.openxmlformats.org/officeDocument/2006/relationships/hyperlink" Target="https://playcode.io/" TargetMode="External"/><Relationship Id="rId52" Type="http://schemas.openxmlformats.org/officeDocument/2006/relationships/hyperlink" Target="https://drive.google.com/file/d/1dx-XJwtlWAyv2va5EORHUSUbxbEudGbq/view?usp=sharing" TargetMode="External"/><Relationship Id="rId55" Type="http://schemas.openxmlformats.org/officeDocument/2006/relationships/hyperlink" Target="https://repl.it/@AkhirPekan/weeklyTugas" TargetMode="External"/><Relationship Id="rId54" Type="http://schemas.openxmlformats.org/officeDocument/2006/relationships/hyperlink" Target="https://drive.google.com/open?id=1qlqjDT7ksrdWkGg1e2wew54KQS-R4_-W" TargetMode="External"/><Relationship Id="rId57" Type="http://schemas.openxmlformats.org/officeDocument/2006/relationships/hyperlink" Target="https://repl.it/repls/UtterChiefApplescript" TargetMode="External"/><Relationship Id="rId56" Type="http://schemas.openxmlformats.org/officeDocument/2006/relationships/hyperlink" Target="https://drive.google.com/file/d/19N6IJhMUh_JZ9OaXUroMC5jRxgrDQeBk/view" TargetMode="External"/><Relationship Id="rId719" Type="http://schemas.openxmlformats.org/officeDocument/2006/relationships/hyperlink" Target="https://repl.it/join/duxmlesh-farhanammar" TargetMode="External"/><Relationship Id="rId718" Type="http://schemas.openxmlformats.org/officeDocument/2006/relationships/hyperlink" Target="https://repl.it/@rphertiansa/ARKWH8" TargetMode="External"/><Relationship Id="rId717" Type="http://schemas.openxmlformats.org/officeDocument/2006/relationships/hyperlink" Target="https://repl.it/@Shofira/quiz6" TargetMode="External"/><Relationship Id="rId959" Type="http://schemas.openxmlformats.org/officeDocument/2006/relationships/hyperlink" Target="https://repl.it/join/azfifvei-eggy2908" TargetMode="External"/><Relationship Id="rId712" Type="http://schemas.openxmlformats.org/officeDocument/2006/relationships/hyperlink" Target="http://playcode.io/689652" TargetMode="External"/><Relationship Id="rId954" Type="http://schemas.openxmlformats.org/officeDocument/2006/relationships/hyperlink" Target="https://drive.google.com/open?id=1MJPgTa8rrN5YaCip370rBSZo4fkIss4q" TargetMode="External"/><Relationship Id="rId711" Type="http://schemas.openxmlformats.org/officeDocument/2006/relationships/hyperlink" Target="https://drive.google.com/file/d/1Hm1JTR9foOCLweVs2dYZK9z50huiLXj3/view?usp=sharing" TargetMode="External"/><Relationship Id="rId953" Type="http://schemas.openxmlformats.org/officeDocument/2006/relationships/hyperlink" Target="https://repl.it/@HanifKumara/Quiz-ARKWH1" TargetMode="External"/><Relationship Id="rId710" Type="http://schemas.openxmlformats.org/officeDocument/2006/relationships/hyperlink" Target="https://repl.it/@SatrioNugroho/quiz-sequence-arithmatic" TargetMode="External"/><Relationship Id="rId952" Type="http://schemas.openxmlformats.org/officeDocument/2006/relationships/hyperlink" Target="https://drive.google.com/open?id=1U5PdqjCY9T9ZVjZjdgnbm7-ieWJMriTs" TargetMode="External"/><Relationship Id="rId951" Type="http://schemas.openxmlformats.org/officeDocument/2006/relationships/hyperlink" Target="https://drive.google.com/file/d/1RMF_eJaeqI88X0DOvFiO4VMxSPUQy2Bu/view?usp=sharing" TargetMode="External"/><Relationship Id="rId716" Type="http://schemas.openxmlformats.org/officeDocument/2006/relationships/hyperlink" Target="https://repl.it/@mochsofyan17/CoordinatedIncomparableDoom" TargetMode="External"/><Relationship Id="rId958" Type="http://schemas.openxmlformats.org/officeDocument/2006/relationships/hyperlink" Target="https://drive.google.com/open?id=1fUa8SfER07FMs8vhzFszIOgJ_uJLcxGt" TargetMode="External"/><Relationship Id="rId715" Type="http://schemas.openxmlformats.org/officeDocument/2006/relationships/hyperlink" Target="https://playcode.io/689696" TargetMode="External"/><Relationship Id="rId957" Type="http://schemas.openxmlformats.org/officeDocument/2006/relationships/hyperlink" Target="https://repl.it/@ArbiDwi/Quiz-1" TargetMode="External"/><Relationship Id="rId714" Type="http://schemas.openxmlformats.org/officeDocument/2006/relationships/hyperlink" Target="https://drive.google.com/drive/u/1/folders/1x9yxHQVJamZyadnyofthR4Pg3MRwf6yC" TargetMode="External"/><Relationship Id="rId956" Type="http://schemas.openxmlformats.org/officeDocument/2006/relationships/hyperlink" Target="https://drive.google.com/open?id=1v3SGy3DHdEKY4KjYZ37Kg2P4iUmSDQ2p" TargetMode="External"/><Relationship Id="rId713" Type="http://schemas.openxmlformats.org/officeDocument/2006/relationships/hyperlink" Target="https://repl.it/@Wazieer/ArithmeticSequence" TargetMode="External"/><Relationship Id="rId955" Type="http://schemas.openxmlformats.org/officeDocument/2006/relationships/hyperlink" Target="https://repl.it/@renaldipratama/Quiz1" TargetMode="External"/><Relationship Id="rId59" Type="http://schemas.openxmlformats.org/officeDocument/2006/relationships/hyperlink" Target="https://playcode.io/622814/" TargetMode="External"/><Relationship Id="rId58" Type="http://schemas.openxmlformats.org/officeDocument/2006/relationships/hyperlink" Target="https://drive.google.com/file/d/1f9xp2cKCKWzuUmlEdZ0oL1tskRGRruMq/view?usp=sharing" TargetMode="External"/><Relationship Id="rId950" Type="http://schemas.openxmlformats.org/officeDocument/2006/relationships/hyperlink" Target="https://repl.it/@sjasminetya/tugas1-1" TargetMode="External"/><Relationship Id="rId590" Type="http://schemas.openxmlformats.org/officeDocument/2006/relationships/hyperlink" Target="https://repl.it/repls/AwfulFatherlyLocks" TargetMode="External"/><Relationship Id="rId107" Type="http://schemas.openxmlformats.org/officeDocument/2006/relationships/hyperlink" Target="https://repl.it/@RediRamdan/Quiz-Weekly-3" TargetMode="External"/><Relationship Id="rId349" Type="http://schemas.openxmlformats.org/officeDocument/2006/relationships/hyperlink" Target="https://drive.google.com/file/d/1mVK7dnzZtby8ELTHBRC7XJDOyf6g2tWj/view?usp=sharing" TargetMode="External"/><Relationship Id="rId106" Type="http://schemas.openxmlformats.org/officeDocument/2006/relationships/hyperlink" Target="https://drive.google.com/file/d/1wvxaw4fdLwigbDh_PfyX6mnHsyHvBMUo/view?usp=sharing" TargetMode="External"/><Relationship Id="rId348" Type="http://schemas.openxmlformats.org/officeDocument/2006/relationships/hyperlink" Target="https://drive.google.com/file/d/1QTDLbTLwmaq-hCuLc1GPTxeTq86lKpgT/view?usp=sharing" TargetMode="External"/><Relationship Id="rId105" Type="http://schemas.openxmlformats.org/officeDocument/2006/relationships/hyperlink" Target="https://repl.it/@AdninRifandioff/Weekly-Quiz-Week-2" TargetMode="External"/><Relationship Id="rId347" Type="http://schemas.openxmlformats.org/officeDocument/2006/relationships/hyperlink" Target="https://repl.it/@SATRIA05/Weekly-Quiz-1" TargetMode="External"/><Relationship Id="rId589" Type="http://schemas.openxmlformats.org/officeDocument/2006/relationships/hyperlink" Target="https://repl.it/join/wnqjuvmu-farhanammar" TargetMode="External"/><Relationship Id="rId104" Type="http://schemas.openxmlformats.org/officeDocument/2006/relationships/hyperlink" Target="https://drive.google.com/open?id=11kB3OzAqRl2CP8iTDyFmpkkqduEG8f8z" TargetMode="External"/><Relationship Id="rId346" Type="http://schemas.openxmlformats.org/officeDocument/2006/relationships/hyperlink" Target="https://drive.google.com/open?id=1vzY2IugsfL0-jUPR65-Q4WNzTxIJ6UYA" TargetMode="External"/><Relationship Id="rId588" Type="http://schemas.openxmlformats.org/officeDocument/2006/relationships/hyperlink" Target="https://repl.it/@PanjiKusuma/kuis5" TargetMode="External"/><Relationship Id="rId109" Type="http://schemas.openxmlformats.org/officeDocument/2006/relationships/hyperlink" Target="https://playcode.io/629058/" TargetMode="External"/><Relationship Id="rId108" Type="http://schemas.openxmlformats.org/officeDocument/2006/relationships/hyperlink" Target="https://drive.google.com/file/d/1e4wgkyZU13twc1QAgn2jBh35SlgO8JvE/view?usp=sharing" TargetMode="External"/><Relationship Id="rId341" Type="http://schemas.openxmlformats.org/officeDocument/2006/relationships/hyperlink" Target="https://repl.it/repls/OriginalPaltryExecutables" TargetMode="External"/><Relationship Id="rId583" Type="http://schemas.openxmlformats.org/officeDocument/2006/relationships/hyperlink" Target="https://repl.it/@ridoNev1/ARKWH5" TargetMode="External"/><Relationship Id="rId340" Type="http://schemas.openxmlformats.org/officeDocument/2006/relationships/hyperlink" Target="https://repl.it/@Friemorn/Profit" TargetMode="External"/><Relationship Id="rId582" Type="http://schemas.openxmlformats.org/officeDocument/2006/relationships/hyperlink" Target="https://repl.it/join/xvjpzzey-alfahan" TargetMode="External"/><Relationship Id="rId581" Type="http://schemas.openxmlformats.org/officeDocument/2006/relationships/hyperlink" Target="https://drive.google.com/drive/folders/19rIitz16TbLMLFDEJG_Wfxf3cUQzj-kj?usp=sharing" TargetMode="External"/><Relationship Id="rId580" Type="http://schemas.openxmlformats.org/officeDocument/2006/relationships/hyperlink" Target="https://drive.google.com/open?id=1C4j6ZgzYZUnprIbIxVHoQXBEqxaaAcFm" TargetMode="External"/><Relationship Id="rId103" Type="http://schemas.openxmlformats.org/officeDocument/2006/relationships/hyperlink" Target="https://playcode.io/859386" TargetMode="External"/><Relationship Id="rId345" Type="http://schemas.openxmlformats.org/officeDocument/2006/relationships/hyperlink" Target="https://drive.google.com/file/d/1vIMPnhzdbdorufnBujsR9rWaEUpqZOsE/view?usp=sharing" TargetMode="External"/><Relationship Id="rId587" Type="http://schemas.openxmlformats.org/officeDocument/2006/relationships/hyperlink" Target="https://repl.it/@rphertiansa/ARKWH5" TargetMode="External"/><Relationship Id="rId102" Type="http://schemas.openxmlformats.org/officeDocument/2006/relationships/hyperlink" Target="https://drive.google.com/open?id=1PtKSBPaI3fC-lxR6LurXao9MaLs1-cUV" TargetMode="External"/><Relationship Id="rId344" Type="http://schemas.openxmlformats.org/officeDocument/2006/relationships/hyperlink" Target="https://repl.it/join/fnldwcjk-farhandz" TargetMode="External"/><Relationship Id="rId586" Type="http://schemas.openxmlformats.org/officeDocument/2006/relationships/hyperlink" Target="https://repl.it/join/pjvhqllo-andikakiky" TargetMode="External"/><Relationship Id="rId101" Type="http://schemas.openxmlformats.org/officeDocument/2006/relationships/hyperlink" Target="https://playcode.io/625731/" TargetMode="External"/><Relationship Id="rId343" Type="http://schemas.openxmlformats.org/officeDocument/2006/relationships/hyperlink" Target="https://repl.it/@kemalreza/findHighProfit" TargetMode="External"/><Relationship Id="rId585" Type="http://schemas.openxmlformats.org/officeDocument/2006/relationships/hyperlink" Target="https://drive.google.com/file/d/1vZgxq9iCBufjCuJwSSoQFCemFa2edko4/view?usp=sharing" TargetMode="External"/><Relationship Id="rId100" Type="http://schemas.openxmlformats.org/officeDocument/2006/relationships/hyperlink" Target="https://repl.it/@AdninRifandioff/Weekly-Quiz-Week-2" TargetMode="External"/><Relationship Id="rId342" Type="http://schemas.openxmlformats.org/officeDocument/2006/relationships/hyperlink" Target="https://repl.it/repls/RelievedRoyalCopyrightinfringement" TargetMode="External"/><Relationship Id="rId584" Type="http://schemas.openxmlformats.org/officeDocument/2006/relationships/hyperlink" Target="https://repl.it/@mochsofyan17/anagrams" TargetMode="External"/><Relationship Id="rId338" Type="http://schemas.openxmlformats.org/officeDocument/2006/relationships/hyperlink" Target="https://repl.it/join/aqqzogpa-hamdanhamdani" TargetMode="External"/><Relationship Id="rId337" Type="http://schemas.openxmlformats.org/officeDocument/2006/relationships/hyperlink" Target="https://repl.it/@alanard/FindHighsetProfitjs" TargetMode="External"/><Relationship Id="rId579" Type="http://schemas.openxmlformats.org/officeDocument/2006/relationships/hyperlink" Target="https://drive.google.com/drive/folders/1SQ7qU5VYMIo6l9bXnBnkpKHBJSSfhKd5?usp=sharing" TargetMode="External"/><Relationship Id="rId336" Type="http://schemas.openxmlformats.org/officeDocument/2006/relationships/hyperlink" Target="https://repl.it/join/govejlkj-coffeebreak" TargetMode="External"/><Relationship Id="rId578" Type="http://schemas.openxmlformats.org/officeDocument/2006/relationships/hyperlink" Target="https://drive.google.com/drive/folders/1SQ7qU5VYMIo6l9bXnBnkpKHBJSSfhKd5?usp=sharing" TargetMode="External"/><Relationship Id="rId335" Type="http://schemas.openxmlformats.org/officeDocument/2006/relationships/hyperlink" Target="https://repl.it/@AnkaAbdullah/ARKWH7" TargetMode="External"/><Relationship Id="rId577" Type="http://schemas.openxmlformats.org/officeDocument/2006/relationships/hyperlink" Target="https://drive.google.com/file/d/1c3yMp3QEY0FGyAhc2VweXm6-q9gKTeyM/view?usp=sharing" TargetMode="External"/><Relationship Id="rId339" Type="http://schemas.openxmlformats.org/officeDocument/2006/relationships/hyperlink" Target="https://repl.it/@Arimahen8/Quiz4" TargetMode="External"/><Relationship Id="rId330" Type="http://schemas.openxmlformats.org/officeDocument/2006/relationships/hyperlink" Target="https://repl.it/@nurhiday/FirstEnviousStructs" TargetMode="External"/><Relationship Id="rId572" Type="http://schemas.openxmlformats.org/officeDocument/2006/relationships/hyperlink" Target="https://repl.it/join/kprwojlw-muhammadrizki2" TargetMode="External"/><Relationship Id="rId571" Type="http://schemas.openxmlformats.org/officeDocument/2006/relationships/hyperlink" Target="https://drive.google.com/open?id=18Z9uU2nI6xzAoCCa8F5Rdh8OLavhLWVR" TargetMode="External"/><Relationship Id="rId570" Type="http://schemas.openxmlformats.org/officeDocument/2006/relationships/hyperlink" Target="https://drive.google.com/file/d/1nuYLVPirJ_ItZOfKoX80FihiGFQmvZua/view?usp=sharing" TargetMode="External"/><Relationship Id="rId334" Type="http://schemas.openxmlformats.org/officeDocument/2006/relationships/hyperlink" Target="https://repl.it/@cepguna/Quiz4" TargetMode="External"/><Relationship Id="rId576" Type="http://schemas.openxmlformats.org/officeDocument/2006/relationships/hyperlink" Target="https://drive.google.com/open?id=1_3z0EZvxQQB-yxgexbE-6W-JcK8dxGl_" TargetMode="External"/><Relationship Id="rId333" Type="http://schemas.openxmlformats.org/officeDocument/2006/relationships/hyperlink" Target="https://repl.it/join/nqazuofb-denycode" TargetMode="External"/><Relationship Id="rId575" Type="http://schemas.openxmlformats.org/officeDocument/2006/relationships/hyperlink" Target="https://repl.it/@Khairulichsan/Quiz1" TargetMode="External"/><Relationship Id="rId332" Type="http://schemas.openxmlformats.org/officeDocument/2006/relationships/hyperlink" Target="https://repl.it/@ReginaPutri/arkwh7" TargetMode="External"/><Relationship Id="rId574" Type="http://schemas.openxmlformats.org/officeDocument/2006/relationships/hyperlink" Target="https://drive.google.com/open?id=16RxHxaDF9C-vVbB5ZxqrDM8Z4c9ujgPQ" TargetMode="External"/><Relationship Id="rId331" Type="http://schemas.openxmlformats.org/officeDocument/2006/relationships/hyperlink" Target="https://drive.google.com/file/d/1Z-NXrbooOH8zJ63qEbswYMEmnjL7z68S/view?usp=sharing" TargetMode="External"/><Relationship Id="rId573" Type="http://schemas.openxmlformats.org/officeDocument/2006/relationships/hyperlink" Target="https://repl.it/join/kprwojlw-muhammadrizki2" TargetMode="External"/><Relationship Id="rId370" Type="http://schemas.openxmlformats.org/officeDocument/2006/relationships/hyperlink" Target="https://drive.google.com/file/d/1HoDndc3sYoDahl9ItxAGPt1DVQV_XtJf/view?usp=sharing" TargetMode="External"/><Relationship Id="rId129" Type="http://schemas.openxmlformats.org/officeDocument/2006/relationships/hyperlink" Target="https://drive.google.com/open?id=1J5ryHIaZ99xptPqaLLA7YYb5UBxaYV7w" TargetMode="External"/><Relationship Id="rId128" Type="http://schemas.openxmlformats.org/officeDocument/2006/relationships/hyperlink" Target="https://repl.it/@fajarpng/arkademy-quis-w3" TargetMode="External"/><Relationship Id="rId127" Type="http://schemas.openxmlformats.org/officeDocument/2006/relationships/hyperlink" Target="https://drive.google.com/file/d/1XmGrmPVIMHslRnDIgopktfjVl75NrKY-/view?usp=sharing" TargetMode="External"/><Relationship Id="rId369" Type="http://schemas.openxmlformats.org/officeDocument/2006/relationships/hyperlink" Target="https://repl.it/@rphertiansa/arkafood" TargetMode="External"/><Relationship Id="rId126" Type="http://schemas.openxmlformats.org/officeDocument/2006/relationships/hyperlink" Target="https://repl.it/@ismoyo/ZealousJudiciousConfiguration" TargetMode="External"/><Relationship Id="rId368" Type="http://schemas.openxmlformats.org/officeDocument/2006/relationships/hyperlink" Target="https://drive.google.com/open?id=1B_6YO4xXAdnlbZSr6Ebwlhp8mMQOvrCx" TargetMode="External"/><Relationship Id="rId121" Type="http://schemas.openxmlformats.org/officeDocument/2006/relationships/hyperlink" Target="https://drive.google.com/file/d/1nivCQaOIn6jHZqOIOJ2teVwRU5XLuKx-/view?usp=sharing" TargetMode="External"/><Relationship Id="rId363" Type="http://schemas.openxmlformats.org/officeDocument/2006/relationships/hyperlink" Target="https://drive.google.com/drive/folders/1hjwD377zHYYoeDVuWMCNenSnh0vqJn-D?usp=sharing" TargetMode="External"/><Relationship Id="rId120" Type="http://schemas.openxmlformats.org/officeDocument/2006/relationships/hyperlink" Target="https://repl.it/@MuhamadAdam/ARKWH3" TargetMode="External"/><Relationship Id="rId362" Type="http://schemas.openxmlformats.org/officeDocument/2006/relationships/hyperlink" Target="https://repl.it/join/deumdfpx-mrikoarafi" TargetMode="External"/><Relationship Id="rId361" Type="http://schemas.openxmlformats.org/officeDocument/2006/relationships/hyperlink" Target="https://drive.google.com/file/d/1FWbsT-khKm8bYG4G-72AZLSHS2y4u-wW/view?usp=sharing" TargetMode="External"/><Relationship Id="rId360" Type="http://schemas.openxmlformats.org/officeDocument/2006/relationships/hyperlink" Target="https://repl.it/@ridoNev1/Arka-Kuis" TargetMode="External"/><Relationship Id="rId125" Type="http://schemas.openxmlformats.org/officeDocument/2006/relationships/hyperlink" Target="https://drive.google.com/file/d/1eADDddNdj9NUkHTMVQrvMEFMJjjJs3ph/view?usp=sharing" TargetMode="External"/><Relationship Id="rId367" Type="http://schemas.openxmlformats.org/officeDocument/2006/relationships/hyperlink" Target="https://drive.google.com/file/d/1v7lKze9TumIsOuUbbMCdv5uWSYvvZeWE/view" TargetMode="External"/><Relationship Id="rId124" Type="http://schemas.openxmlformats.org/officeDocument/2006/relationships/hyperlink" Target="https://repl.it/@byasaa/Arkademy-Weekly-3-Quiz" TargetMode="External"/><Relationship Id="rId366" Type="http://schemas.openxmlformats.org/officeDocument/2006/relationships/hyperlink" Target="https://repl.it/@PanjiKusuma/Kuis" TargetMode="External"/><Relationship Id="rId123" Type="http://schemas.openxmlformats.org/officeDocument/2006/relationships/hyperlink" Target="https://drive.google.com/file/d/11W7UkN-EV-PYerOnQHtco6KbANtGCcIw/view?usp=sharing" TargetMode="External"/><Relationship Id="rId365" Type="http://schemas.openxmlformats.org/officeDocument/2006/relationships/hyperlink" Target="https://drive.google.com/open?id=1BZbquFB_peUpaddYOHkcmCLFoyeqeSj9" TargetMode="External"/><Relationship Id="rId122" Type="http://schemas.openxmlformats.org/officeDocument/2006/relationships/hyperlink" Target="https://playcode.io/629059/" TargetMode="External"/><Relationship Id="rId364" Type="http://schemas.openxmlformats.org/officeDocument/2006/relationships/hyperlink" Target="https://repl.it/@Wsngr/WorthwhileCanineMacrolanguage" TargetMode="External"/><Relationship Id="rId95" Type="http://schemas.openxmlformats.org/officeDocument/2006/relationships/hyperlink" Target="https://repl.it/@ParkD/Weekly-Quiz-Week-2" TargetMode="External"/><Relationship Id="rId94" Type="http://schemas.openxmlformats.org/officeDocument/2006/relationships/hyperlink" Target="https://app.diagrams.net/" TargetMode="External"/><Relationship Id="rId97" Type="http://schemas.openxmlformats.org/officeDocument/2006/relationships/hyperlink" Target="https://drive.google.com/open?id=1wEu93jAKjox40Ab9mjvX5h50XmdJ7Qam" TargetMode="External"/><Relationship Id="rId96" Type="http://schemas.openxmlformats.org/officeDocument/2006/relationships/hyperlink" Target="https://drive.google.com/file/d/164BNXao1887uS5mXahkTcNPPWP0ZL9I4/view?usp=sharing" TargetMode="External"/><Relationship Id="rId99" Type="http://schemas.openxmlformats.org/officeDocument/2006/relationships/hyperlink" Target="https://drive.google.com/open?id=1-vRYm3p6eARgpoYYcPdLfLT_vn8ETJja" TargetMode="External"/><Relationship Id="rId98" Type="http://schemas.openxmlformats.org/officeDocument/2006/relationships/hyperlink" Target="https://repl.it/@fajarpng/arkademy-quis-w2" TargetMode="External"/><Relationship Id="rId91" Type="http://schemas.openxmlformats.org/officeDocument/2006/relationships/hyperlink" Target="https://repl.it/@ALIFKI/Weekly-Quiz-week-2" TargetMode="External"/><Relationship Id="rId90" Type="http://schemas.openxmlformats.org/officeDocument/2006/relationships/hyperlink" Target="https://playcode.io/568162/" TargetMode="External"/><Relationship Id="rId93" Type="http://schemas.openxmlformats.org/officeDocument/2006/relationships/hyperlink" Target="https://repl.it/@IzulZulfian/Weekly-Quiz-Reverse-Pyramid" TargetMode="External"/><Relationship Id="rId92" Type="http://schemas.openxmlformats.org/officeDocument/2006/relationships/hyperlink" Target="https://drive.google.com/file/d/1JWhMBNnOLQPNeC-G3Hj0ICoUEXaCZj_c/view?usp=sharing" TargetMode="External"/><Relationship Id="rId118" Type="http://schemas.openxmlformats.org/officeDocument/2006/relationships/hyperlink" Target="https://repl.it/@dickyjulian/Arithmetic-Sequence" TargetMode="External"/><Relationship Id="rId117" Type="http://schemas.openxmlformats.org/officeDocument/2006/relationships/hyperlink" Target="https://drive.google.com/open?id=1ebtPxShTORN4ymk4U8qTvZjLdRj82LvK" TargetMode="External"/><Relationship Id="rId359" Type="http://schemas.openxmlformats.org/officeDocument/2006/relationships/hyperlink" Target="https://repl.it/@bagaskaramadhan/ARKWH1B4" TargetMode="External"/><Relationship Id="rId116" Type="http://schemas.openxmlformats.org/officeDocument/2006/relationships/hyperlink" Target="https://repl.it/@fajarpng/arkademy-quis-w3" TargetMode="External"/><Relationship Id="rId358" Type="http://schemas.openxmlformats.org/officeDocument/2006/relationships/hyperlink" Target="https://drive.google.com/drive/folders/1E3BdoBxlDa8p5fv-N6CHpiDmisNqkMRU?usp=sharing" TargetMode="External"/><Relationship Id="rId115" Type="http://schemas.openxmlformats.org/officeDocument/2006/relationships/hyperlink" Target="https://drive.google.com/open?id=1qG1LWAAgZ_WxDkDCZLWH_FNJSo6TKFDD" TargetMode="External"/><Relationship Id="rId357" Type="http://schemas.openxmlformats.org/officeDocument/2006/relationships/hyperlink" Target="https://repl.it/@Shofira/quizPertama" TargetMode="External"/><Relationship Id="rId599" Type="http://schemas.openxmlformats.org/officeDocument/2006/relationships/hyperlink" Target="https://repl.it/@timoticrew/ArkFood" TargetMode="External"/><Relationship Id="rId119" Type="http://schemas.openxmlformats.org/officeDocument/2006/relationships/hyperlink" Target="https://drive.google.com/file/d/17rZuvXqNGdA7vWWZ93CDpYYaGmiXEy1K/view?usp=sharing" TargetMode="External"/><Relationship Id="rId110" Type="http://schemas.openxmlformats.org/officeDocument/2006/relationships/hyperlink" Target="https://drive.google.com/file/d/1yByZhuNSfO8g1jOZqsn1Wofu0KOaFuDm/view?usp=sharing" TargetMode="External"/><Relationship Id="rId352" Type="http://schemas.openxmlformats.org/officeDocument/2006/relationships/hyperlink" Target="https://drive.google.com/file/d/13k1cy_9Y2kwDCjt8K_gC_wC8V2eLYqeW/view?usp=sharing" TargetMode="External"/><Relationship Id="rId594" Type="http://schemas.openxmlformats.org/officeDocument/2006/relationships/hyperlink" Target="https://repl.it/@syamsa/quiz5" TargetMode="External"/><Relationship Id="rId351" Type="http://schemas.openxmlformats.org/officeDocument/2006/relationships/hyperlink" Target="https://repl.it/@mochsofyan17/quiz" TargetMode="External"/><Relationship Id="rId593" Type="http://schemas.openxmlformats.org/officeDocument/2006/relationships/hyperlink" Target="https://repl.it/@RizaRadiaRadia/quiz-4" TargetMode="External"/><Relationship Id="rId350" Type="http://schemas.openxmlformats.org/officeDocument/2006/relationships/hyperlink" Target="https://drive.google.com/file/d/1mVK7dnzZtby8ELTHBRC7XJDOyf6g2tWj/view?usp=sharing" TargetMode="External"/><Relationship Id="rId592" Type="http://schemas.openxmlformats.org/officeDocument/2006/relationships/hyperlink" Target="https://drive.google.com/file/d/1-9HIOmTu1j7c4-gVEh-C2emSfFjgh-q7/view?usp=sharing" TargetMode="External"/><Relationship Id="rId591" Type="http://schemas.openxmlformats.org/officeDocument/2006/relationships/hyperlink" Target="https://repl.it/@Shofira/quiz5" TargetMode="External"/><Relationship Id="rId114" Type="http://schemas.openxmlformats.org/officeDocument/2006/relationships/hyperlink" Target="https://drive.google.com/file/d/1cpAkwr2x_r2wUla9cEhem8RVQuoDK-n2/view?usp=sharing" TargetMode="External"/><Relationship Id="rId356" Type="http://schemas.openxmlformats.org/officeDocument/2006/relationships/hyperlink" Target="https://drive.google.com/open?id=1S5wIJn7OMXZYu6kVhVWZG8j8b3RTS3lT" TargetMode="External"/><Relationship Id="rId598" Type="http://schemas.openxmlformats.org/officeDocument/2006/relationships/hyperlink" Target="https://repl.it/@SATRIA05/anagram" TargetMode="External"/><Relationship Id="rId113" Type="http://schemas.openxmlformats.org/officeDocument/2006/relationships/hyperlink" Target="https://repl.it/@ParkD/Week-3" TargetMode="External"/><Relationship Id="rId355" Type="http://schemas.openxmlformats.org/officeDocument/2006/relationships/hyperlink" Target="https://repl.it/@andikakiky/1" TargetMode="External"/><Relationship Id="rId597" Type="http://schemas.openxmlformats.org/officeDocument/2006/relationships/hyperlink" Target="https://repl.it/@bagaskaramadhan/newanagram" TargetMode="External"/><Relationship Id="rId112" Type="http://schemas.openxmlformats.org/officeDocument/2006/relationships/hyperlink" Target="https://drive.google.com/file/d/1iNHsibQZZkHcXDMxXQIEVXFlOXqTOo6a/view?usp=sharing" TargetMode="External"/><Relationship Id="rId354" Type="http://schemas.openxmlformats.org/officeDocument/2006/relationships/hyperlink" Target="https://drive.google.com/file/d/1_ysbOILO4lZKq0v7WBKuPBZE3M1AX3eu/view?usp=sharing" TargetMode="External"/><Relationship Id="rId596" Type="http://schemas.openxmlformats.org/officeDocument/2006/relationships/hyperlink" Target="https://repl.it/repls/CruelFrightenedSampler" TargetMode="External"/><Relationship Id="rId111" Type="http://schemas.openxmlformats.org/officeDocument/2006/relationships/hyperlink" Target="https://repl.it/@AdninRifandioff/Weekly-Quiz-Week-3" TargetMode="External"/><Relationship Id="rId353" Type="http://schemas.openxmlformats.org/officeDocument/2006/relationships/hyperlink" Target="https://repl.it/@syamsa/FlatTenseCharacterset" TargetMode="External"/><Relationship Id="rId595" Type="http://schemas.openxmlformats.org/officeDocument/2006/relationships/hyperlink" Target="https://repl.it/@Wsngr/quiz5" TargetMode="External"/><Relationship Id="rId305" Type="http://schemas.openxmlformats.org/officeDocument/2006/relationships/hyperlink" Target="https://repl.it/@cepguna/tugas1" TargetMode="External"/><Relationship Id="rId547" Type="http://schemas.openxmlformats.org/officeDocument/2006/relationships/hyperlink" Target="https://repl.it/@alisaidsm07/Quiz3" TargetMode="External"/><Relationship Id="rId789" Type="http://schemas.openxmlformats.org/officeDocument/2006/relationships/hyperlink" Target="https://drive.google.com/open?id=1NeDtvN3W25LuRDjWJnh0DIQP7eJXN3sI" TargetMode="External"/><Relationship Id="rId304" Type="http://schemas.openxmlformats.org/officeDocument/2006/relationships/hyperlink" Target="https://repl.it/@alanard/Anagramscheckjs" TargetMode="External"/><Relationship Id="rId546" Type="http://schemas.openxmlformats.org/officeDocument/2006/relationships/hyperlink" Target="https://repl.it/@Wsngr/Quiz4" TargetMode="External"/><Relationship Id="rId788" Type="http://schemas.openxmlformats.org/officeDocument/2006/relationships/hyperlink" Target="https://drive.google.com/drive/folders/1Qa4jYFmCaEaEs7oGUgwRvyJzV1R-FJGc?usp=sharing" TargetMode="External"/><Relationship Id="rId303" Type="http://schemas.openxmlformats.org/officeDocument/2006/relationships/hyperlink" Target="https://repl.it/@WiputroSNC/Anagram" TargetMode="External"/><Relationship Id="rId545" Type="http://schemas.openxmlformats.org/officeDocument/2006/relationships/hyperlink" Target="https://drive.google.com/file/d/112vHonlRWR4K8oNk5-gQAMb7-sWLLJkz/view?usp=sharing" TargetMode="External"/><Relationship Id="rId787" Type="http://schemas.openxmlformats.org/officeDocument/2006/relationships/hyperlink" Target="https://playcode.io/695152/" TargetMode="External"/><Relationship Id="rId302" Type="http://schemas.openxmlformats.org/officeDocument/2006/relationships/hyperlink" Target="https://repl.it/join/owjqmbdo-coffeebreak" TargetMode="External"/><Relationship Id="rId544" Type="http://schemas.openxmlformats.org/officeDocument/2006/relationships/hyperlink" Target="https://repl.it/@PanjiKusuma/quis4" TargetMode="External"/><Relationship Id="rId786" Type="http://schemas.openxmlformats.org/officeDocument/2006/relationships/hyperlink" Target="https://repl.it/@ReginaPutri/extraLongFactorials" TargetMode="External"/><Relationship Id="rId309" Type="http://schemas.openxmlformats.org/officeDocument/2006/relationships/hyperlink" Target="https://repl.it/@SintaAnggun/SomberGrandRelationaldatabase" TargetMode="External"/><Relationship Id="rId308" Type="http://schemas.openxmlformats.org/officeDocument/2006/relationships/hyperlink" Target="https://repl.it/@AnkaAbdullah/arkwh3" TargetMode="External"/><Relationship Id="rId307" Type="http://schemas.openxmlformats.org/officeDocument/2006/relationships/hyperlink" Target="https://repl.it/repls/SnoopyTriangularTabs" TargetMode="External"/><Relationship Id="rId549" Type="http://schemas.openxmlformats.org/officeDocument/2006/relationships/hyperlink" Target="https://repl.it/repls/BarrenWordyOutcomes" TargetMode="External"/><Relationship Id="rId306" Type="http://schemas.openxmlformats.org/officeDocument/2006/relationships/hyperlink" Target="https://drive.google.com/file/d/1JZUO43unvBd2HRKs3RA2Lbl3RS567UeQ/view" TargetMode="External"/><Relationship Id="rId548" Type="http://schemas.openxmlformats.org/officeDocument/2006/relationships/hyperlink" Target="https://drive.google.com/file/d/1L_en70mskSoZne-lbw_nqvk_8hej1_2P/view?usp=sharing" TargetMode="External"/><Relationship Id="rId781" Type="http://schemas.openxmlformats.org/officeDocument/2006/relationships/hyperlink" Target="https://repl.it/join/pobftzen-mrikoarafi" TargetMode="External"/><Relationship Id="rId780" Type="http://schemas.openxmlformats.org/officeDocument/2006/relationships/hyperlink" Target="https://repl.it/@diki08/2js" TargetMode="External"/><Relationship Id="rId301" Type="http://schemas.openxmlformats.org/officeDocument/2006/relationships/hyperlink" Target="https://repl.it/@Arimahen8/Quiz3" TargetMode="External"/><Relationship Id="rId543" Type="http://schemas.openxmlformats.org/officeDocument/2006/relationships/hyperlink" Target="https://drive.google.com/open?id=1hAVTfMgQFpWLmu3Z1AfYWeRignMUwj9k" TargetMode="External"/><Relationship Id="rId785" Type="http://schemas.openxmlformats.org/officeDocument/2006/relationships/hyperlink" Target="https://repl.it/@SATRIA05/ARKWH13" TargetMode="External"/><Relationship Id="rId300" Type="http://schemas.openxmlformats.org/officeDocument/2006/relationships/hyperlink" Target="https://repl.it/@ReginaPutri/task3" TargetMode="External"/><Relationship Id="rId542" Type="http://schemas.openxmlformats.org/officeDocument/2006/relationships/hyperlink" Target="https://repl.it/join/zwiggyzi-andikakiky" TargetMode="External"/><Relationship Id="rId784" Type="http://schemas.openxmlformats.org/officeDocument/2006/relationships/hyperlink" Target="https://repl.it/@ridoNev1/KUIS-ARKWH13" TargetMode="External"/><Relationship Id="rId541" Type="http://schemas.openxmlformats.org/officeDocument/2006/relationships/hyperlink" Target="https://drive.google.com/open?id=1PlmGBiZ5pHj6TEYocnCsFLU6af2VO9jW" TargetMode="External"/><Relationship Id="rId783" Type="http://schemas.openxmlformats.org/officeDocument/2006/relationships/hyperlink" Target="https://repl.it/@PanjiKusuma/kuis13" TargetMode="External"/><Relationship Id="rId540" Type="http://schemas.openxmlformats.org/officeDocument/2006/relationships/hyperlink" Target="https://drive.google.com/file/d/1XXL1iDF9L8fZM-B0p8P7ntAG-eRJ4dlE/view?usp=sharing" TargetMode="External"/><Relationship Id="rId782" Type="http://schemas.openxmlformats.org/officeDocument/2006/relationships/hyperlink" Target="https://repl.it/@RizaRadiaRadia/Quiz-13" TargetMode="External"/><Relationship Id="rId536" Type="http://schemas.openxmlformats.org/officeDocument/2006/relationships/hyperlink" Target="https://repl.it/@ridoNev1/arka-kuis-ARKWH4" TargetMode="External"/><Relationship Id="rId778" Type="http://schemas.openxmlformats.org/officeDocument/2006/relationships/hyperlink" Target="https://repl.it/@syamsa/quiz-ARKAWH13" TargetMode="External"/><Relationship Id="rId535" Type="http://schemas.openxmlformats.org/officeDocument/2006/relationships/hyperlink" Target="https://drive.google.com/file/d/1WesZy_gkyQ9fiBujH8-SXcZ8lh5EbITF/view?usp=sharing" TargetMode="External"/><Relationship Id="rId777" Type="http://schemas.openxmlformats.org/officeDocument/2006/relationships/hyperlink" Target="https://repl.it/repls/ConsiderateEmptyLists" TargetMode="External"/><Relationship Id="rId534" Type="http://schemas.openxmlformats.org/officeDocument/2006/relationships/hyperlink" Target="https://repl.it/@RizaRadiaRadia/Quiz-3" TargetMode="External"/><Relationship Id="rId776" Type="http://schemas.openxmlformats.org/officeDocument/2006/relationships/hyperlink" Target="https://repl.it/@Wsngr/Quiz13" TargetMode="External"/><Relationship Id="rId533" Type="http://schemas.openxmlformats.org/officeDocument/2006/relationships/hyperlink" Target="https://drive.google.com/file/d/112JWdzzzzi8S_p94kqR8AXsgVePBhmMf/view?usp=sharing" TargetMode="External"/><Relationship Id="rId775" Type="http://schemas.openxmlformats.org/officeDocument/2006/relationships/hyperlink" Target="https://repl.it/@mochsofyan17/arkwh13" TargetMode="External"/><Relationship Id="rId539" Type="http://schemas.openxmlformats.org/officeDocument/2006/relationships/hyperlink" Target="https://repl.it/@bagaskaramadhan/findShoes" TargetMode="External"/><Relationship Id="rId538" Type="http://schemas.openxmlformats.org/officeDocument/2006/relationships/hyperlink" Target="https://drive.google.com/open?id=1U3EMvyNuTv2gzHfiAJDeFDHRoOFJE54E" TargetMode="External"/><Relationship Id="rId537" Type="http://schemas.openxmlformats.org/officeDocument/2006/relationships/hyperlink" Target="https://repl.it/@SATRIA05/Weekly-Quiz-4" TargetMode="External"/><Relationship Id="rId779" Type="http://schemas.openxmlformats.org/officeDocument/2006/relationships/hyperlink" Target="https://repl.it/@rphertiansa/ARKWH13" TargetMode="External"/><Relationship Id="rId770" Type="http://schemas.openxmlformats.org/officeDocument/2006/relationships/hyperlink" Target="https://repl.it/@nurhiday/quiz13" TargetMode="External"/><Relationship Id="rId532" Type="http://schemas.openxmlformats.org/officeDocument/2006/relationships/hyperlink" Target="https://repl.it/@Shofira/quiz3" TargetMode="External"/><Relationship Id="rId774" Type="http://schemas.openxmlformats.org/officeDocument/2006/relationships/hyperlink" Target="https://repl.it/@Shofira/quiz13" TargetMode="External"/><Relationship Id="rId531" Type="http://schemas.openxmlformats.org/officeDocument/2006/relationships/hyperlink" Target="https://repl.it/join/nwhjvnkx-farhanammar" TargetMode="External"/><Relationship Id="rId773" Type="http://schemas.openxmlformats.org/officeDocument/2006/relationships/hyperlink" Target="https://repl.it/@galuhprahadi96/quiz" TargetMode="External"/><Relationship Id="rId530" Type="http://schemas.openxmlformats.org/officeDocument/2006/relationships/hyperlink" Target="https://drive.google.com/file/d/1SKozD1CO_XyA0hHcD63pl_1oDbLEVo9e/view?usp=sharing" TargetMode="External"/><Relationship Id="rId772" Type="http://schemas.openxmlformats.org/officeDocument/2006/relationships/hyperlink" Target="https://playcode.io/695119/" TargetMode="External"/><Relationship Id="rId771" Type="http://schemas.openxmlformats.org/officeDocument/2006/relationships/hyperlink" Target="https://repl.it/@kemalreza/ExtraLongFactorials" TargetMode="External"/><Relationship Id="rId327" Type="http://schemas.openxmlformats.org/officeDocument/2006/relationships/hyperlink" Target="https://repl.it/join/irbuditk-dheaaqn" TargetMode="External"/><Relationship Id="rId569" Type="http://schemas.openxmlformats.org/officeDocument/2006/relationships/hyperlink" Target="https://repl.it/@wahyuKurniawan/Quiz" TargetMode="External"/><Relationship Id="rId326" Type="http://schemas.openxmlformats.org/officeDocument/2006/relationships/hyperlink" Target="https://repl.it/join/ittkxqyz-faishalrmdhn" TargetMode="External"/><Relationship Id="rId568" Type="http://schemas.openxmlformats.org/officeDocument/2006/relationships/hyperlink" Target="https://drive.google.com/open?id=12V3khrD2HTZD8qHvbc9OIzrWrTXG06Lh" TargetMode="External"/><Relationship Id="rId325" Type="http://schemas.openxmlformats.org/officeDocument/2006/relationships/hyperlink" Target="https://repl.it/@GiriNurfauzan/Quiz-Weekly-6" TargetMode="External"/><Relationship Id="rId567" Type="http://schemas.openxmlformats.org/officeDocument/2006/relationships/hyperlink" Target="https://repl.it/join/iakfxcag-reihanbayzaky" TargetMode="External"/><Relationship Id="rId324" Type="http://schemas.openxmlformats.org/officeDocument/2006/relationships/hyperlink" Target="https://playcode.io/451387/" TargetMode="External"/><Relationship Id="rId566" Type="http://schemas.openxmlformats.org/officeDocument/2006/relationships/hyperlink" Target="https://drive.google.com/open?id=1PZTnWwaBC-09fNz3hGqE8fqLg8q-1H4n" TargetMode="External"/><Relationship Id="rId329" Type="http://schemas.openxmlformats.org/officeDocument/2006/relationships/hyperlink" Target="https://repl.it/join/elnlkcss-dimasprayoga" TargetMode="External"/><Relationship Id="rId328" Type="http://schemas.openxmlformats.org/officeDocument/2006/relationships/hyperlink" Target="https://repl.it/join/tiinndhx-arifrahman6" TargetMode="External"/><Relationship Id="rId561" Type="http://schemas.openxmlformats.org/officeDocument/2006/relationships/hyperlink" Target="https://playcode.io/683620" TargetMode="External"/><Relationship Id="rId560" Type="http://schemas.openxmlformats.org/officeDocument/2006/relationships/hyperlink" Target="https://playcode.io/683638/" TargetMode="External"/><Relationship Id="rId323" Type="http://schemas.openxmlformats.org/officeDocument/2006/relationships/hyperlink" Target="https://repl.it/repls/RosybrownDrabSupercollider" TargetMode="External"/><Relationship Id="rId565" Type="http://schemas.openxmlformats.org/officeDocument/2006/relationships/hyperlink" Target="https://drive.google.com/drive/folders/1salI_oQf_eHreeGlIy18LVSHD1pix-is?usp=sharing" TargetMode="External"/><Relationship Id="rId322" Type="http://schemas.openxmlformats.org/officeDocument/2006/relationships/hyperlink" Target="https://playcode.io/638998/" TargetMode="External"/><Relationship Id="rId564" Type="http://schemas.openxmlformats.org/officeDocument/2006/relationships/hyperlink" Target="https://repl.it/@ArdionMassaid/kuis" TargetMode="External"/><Relationship Id="rId321" Type="http://schemas.openxmlformats.org/officeDocument/2006/relationships/hyperlink" Target="https://repl.it/repls/AgreeableHorizontalSolidstatedrive" TargetMode="External"/><Relationship Id="rId563" Type="http://schemas.openxmlformats.org/officeDocument/2006/relationships/hyperlink" Target="https://drive.google.com/file/d/1-bTwoxmDXPUMM01dKqVET0rHnmad3Luj/view?usp=sharing" TargetMode="External"/><Relationship Id="rId320" Type="http://schemas.openxmlformats.org/officeDocument/2006/relationships/hyperlink" Target="https://repl.it/@iqbalstwan/JadedBestTrigger" TargetMode="External"/><Relationship Id="rId562" Type="http://schemas.openxmlformats.org/officeDocument/2006/relationships/hyperlink" Target="https://repl.it/join/emcgpmky-budidarmawan1" TargetMode="External"/><Relationship Id="rId316" Type="http://schemas.openxmlformats.org/officeDocument/2006/relationships/hyperlink" Target="https://repl.it/join/aeaicmhk-hasbiak" TargetMode="External"/><Relationship Id="rId558" Type="http://schemas.openxmlformats.org/officeDocument/2006/relationships/hyperlink" Target="https://playcode.io/683624" TargetMode="External"/><Relationship Id="rId315" Type="http://schemas.openxmlformats.org/officeDocument/2006/relationships/hyperlink" Target="https://repl.it/join/oieyrnoi-dimasmokodompit" TargetMode="External"/><Relationship Id="rId557" Type="http://schemas.openxmlformats.org/officeDocument/2006/relationships/hyperlink" Target="https://playcode.io/683619/" TargetMode="External"/><Relationship Id="rId799" Type="http://schemas.openxmlformats.org/officeDocument/2006/relationships/hyperlink" Target="https://drive.google.com/file/d/1foe80VJf0D5PEqn9RZ4G1MlORrNcXv1_/view?usp=sharing" TargetMode="External"/><Relationship Id="rId314" Type="http://schemas.openxmlformats.org/officeDocument/2006/relationships/hyperlink" Target="https://repl.it/@gunturkurniawan/Tugas" TargetMode="External"/><Relationship Id="rId556" Type="http://schemas.openxmlformats.org/officeDocument/2006/relationships/hyperlink" Target="https://playcode.io/683615" TargetMode="External"/><Relationship Id="rId798" Type="http://schemas.openxmlformats.org/officeDocument/2006/relationships/hyperlink" Target="https://repl.it/@wahyuKurniawan/Quiz2-ARKWH2" TargetMode="External"/><Relationship Id="rId313" Type="http://schemas.openxmlformats.org/officeDocument/2006/relationships/hyperlink" Target="https://repl.it/@AdninRifandioff/Weekly-Quiz-Week-10" TargetMode="External"/><Relationship Id="rId555" Type="http://schemas.openxmlformats.org/officeDocument/2006/relationships/hyperlink" Target="https://repl.it/@yusupjunaedi/ARKWH12" TargetMode="External"/><Relationship Id="rId797" Type="http://schemas.openxmlformats.org/officeDocument/2006/relationships/hyperlink" Target="https://drive.google.com/open?id=13H3Z83fUJswbS0r-9JTtNnscM2AXYzSi" TargetMode="External"/><Relationship Id="rId319" Type="http://schemas.openxmlformats.org/officeDocument/2006/relationships/hyperlink" Target="https://repl.it/@ardhikarn/Weekly-Quiz" TargetMode="External"/><Relationship Id="rId318" Type="http://schemas.openxmlformats.org/officeDocument/2006/relationships/hyperlink" Target="https://repl.it/repls/SuperbClearcutDisks" TargetMode="External"/><Relationship Id="rId317" Type="http://schemas.openxmlformats.org/officeDocument/2006/relationships/hyperlink" Target="https://repl.it/repls/LinedBestEmulation" TargetMode="External"/><Relationship Id="rId559" Type="http://schemas.openxmlformats.org/officeDocument/2006/relationships/hyperlink" Target="https://repl.it/join/knazdcwb-gustiamelia" TargetMode="External"/><Relationship Id="rId550" Type="http://schemas.openxmlformats.org/officeDocument/2006/relationships/hyperlink" Target="https://repl.it/@syamsa/quiz4" TargetMode="External"/><Relationship Id="rId792" Type="http://schemas.openxmlformats.org/officeDocument/2006/relationships/hyperlink" Target="https://drive.google.com/drive/folders/1cJHR2gQ_Sg1pgLUtEbjkify53lmDk3zY?usp=sharing" TargetMode="External"/><Relationship Id="rId791" Type="http://schemas.openxmlformats.org/officeDocument/2006/relationships/hyperlink" Target="https://repl.it/@ReihanBayzaky/LoudFrailMonads" TargetMode="External"/><Relationship Id="rId790" Type="http://schemas.openxmlformats.org/officeDocument/2006/relationships/hyperlink" Target="https://drive.google.com/file/d/1crldIHu2MG1XbUel-Tsmu79SeMDWM1RO/view?usp=sharing" TargetMode="External"/><Relationship Id="rId312" Type="http://schemas.openxmlformats.org/officeDocument/2006/relationships/hyperlink" Target="https://repl.it/join/ensikkiw-denycode" TargetMode="External"/><Relationship Id="rId554" Type="http://schemas.openxmlformats.org/officeDocument/2006/relationships/hyperlink" Target="http://playcode.io/683616/" TargetMode="External"/><Relationship Id="rId796" Type="http://schemas.openxmlformats.org/officeDocument/2006/relationships/hyperlink" Target="https://repl.it/@Khairulichsan/Quiz2" TargetMode="External"/><Relationship Id="rId311" Type="http://schemas.openxmlformats.org/officeDocument/2006/relationships/hyperlink" Target="https://repl.it/@kemalreza/anagram" TargetMode="External"/><Relationship Id="rId553" Type="http://schemas.openxmlformats.org/officeDocument/2006/relationships/hyperlink" Target="https://playcode.io/683613/" TargetMode="External"/><Relationship Id="rId795" Type="http://schemas.openxmlformats.org/officeDocument/2006/relationships/hyperlink" Target="https://drive.google.com/drive/folders/19rIitz16TbLMLFDEJG_Wfxf3cUQzj-kj?usp=sharing" TargetMode="External"/><Relationship Id="rId310" Type="http://schemas.openxmlformats.org/officeDocument/2006/relationships/hyperlink" Target="https://repl.it/@Friemorn/anagram" TargetMode="External"/><Relationship Id="rId552" Type="http://schemas.openxmlformats.org/officeDocument/2006/relationships/hyperlink" Target="https://playcode.io/683611/" TargetMode="External"/><Relationship Id="rId794" Type="http://schemas.openxmlformats.org/officeDocument/2006/relationships/hyperlink" Target="https://drive.google.com/file/d/1hB6ATYQR7rIvsXjYpZ29KG_kNOIcBeVK/view" TargetMode="External"/><Relationship Id="rId551" Type="http://schemas.openxmlformats.org/officeDocument/2006/relationships/hyperlink" Target="https://drive.google.com/file/d/1IOfgyiACXpvJZXuSRtLjKiGQJyEIJt7z/view?usp=sharing" TargetMode="External"/><Relationship Id="rId793" Type="http://schemas.openxmlformats.org/officeDocument/2006/relationships/hyperlink" Target="https://drive.google.com/file/d/15Fya3ZrLEjHtrInUphpwqOLvlvdLF6In/view?usp=sharing" TargetMode="External"/><Relationship Id="rId297" Type="http://schemas.openxmlformats.org/officeDocument/2006/relationships/hyperlink" Target="https://repl.it/@Arimahen8/Quiz1" TargetMode="External"/><Relationship Id="rId296" Type="http://schemas.openxmlformats.org/officeDocument/2006/relationships/hyperlink" Target="https://drive.google.com/open?id=1jDNCWr1GbApjQhSMESdAg60PcxwNLBbv" TargetMode="External"/><Relationship Id="rId295" Type="http://schemas.openxmlformats.org/officeDocument/2006/relationships/hyperlink" Target="https://repl.it/@alanard/Function-discount" TargetMode="External"/><Relationship Id="rId294" Type="http://schemas.openxmlformats.org/officeDocument/2006/relationships/hyperlink" Target="https://drive.google.com/open?id=1t-p3baUWav4O68x9J6fnzqtKDKrpPQDj" TargetMode="External"/><Relationship Id="rId299" Type="http://schemas.openxmlformats.org/officeDocument/2006/relationships/hyperlink" Target="https://drive.google.com/open?id=15xwo-ZN-9kgvx2T_lYPJKTj1ocfmGDo8" TargetMode="External"/><Relationship Id="rId298" Type="http://schemas.openxmlformats.org/officeDocument/2006/relationships/hyperlink" Target="https://drive.google.com/file/d/1NdIGKqgthB1J_CSN4V10lJ5_KINfAdH_/view?usp=sharing" TargetMode="External"/><Relationship Id="rId271" Type="http://schemas.openxmlformats.org/officeDocument/2006/relationships/hyperlink" Target="https://repl.it/repls/SubduedMediumInterchangeability" TargetMode="External"/><Relationship Id="rId270" Type="http://schemas.openxmlformats.org/officeDocument/2006/relationships/hyperlink" Target="https://drive.google.com/open?id=1l13EB1oe8vBavJWhHWZzpTs5qnOfNGuV" TargetMode="External"/><Relationship Id="rId269" Type="http://schemas.openxmlformats.org/officeDocument/2006/relationships/hyperlink" Target="https://drive.google.com/file/d/14bPxS4ECEBLP_bw5oAwhh8GRiFg_Ngg1/view?usp=sharing" TargetMode="External"/><Relationship Id="rId264" Type="http://schemas.openxmlformats.org/officeDocument/2006/relationships/hyperlink" Target="https://play.golang.org/p/3heRmIDdHy-" TargetMode="External"/><Relationship Id="rId263" Type="http://schemas.openxmlformats.org/officeDocument/2006/relationships/hyperlink" Target="https://repl.it/@byasaa/Arkademy-Weekly-Quiz-9" TargetMode="External"/><Relationship Id="rId262" Type="http://schemas.openxmlformats.org/officeDocument/2006/relationships/hyperlink" Target="https://repl.it/@dickyjulian/Mo-Language" TargetMode="External"/><Relationship Id="rId261" Type="http://schemas.openxmlformats.org/officeDocument/2006/relationships/hyperlink" Target="https://repl.it/@AdninRifandioff/Weekly-Quiz-Week-9" TargetMode="External"/><Relationship Id="rId268" Type="http://schemas.openxmlformats.org/officeDocument/2006/relationships/hyperlink" Target="https://repl.it/@joonacode/quiz1" TargetMode="External"/><Relationship Id="rId267" Type="http://schemas.openxmlformats.org/officeDocument/2006/relationships/hyperlink" Target="https://drive.google.com/open?id=1c3xneneSdJfMqfE8oKSoHVGwHVc0rtTM" TargetMode="External"/><Relationship Id="rId266" Type="http://schemas.openxmlformats.org/officeDocument/2006/relationships/hyperlink" Target="https://drive.google.com/file/d/1Lyb-AqcJNUWERAEw6FrqDVBzrpL5zKen/view?usp=sharing" TargetMode="External"/><Relationship Id="rId265" Type="http://schemas.openxmlformats.org/officeDocument/2006/relationships/hyperlink" Target="https://repl.it/join/kwsfsriu-coffeebreak" TargetMode="External"/><Relationship Id="rId260" Type="http://schemas.openxmlformats.org/officeDocument/2006/relationships/hyperlink" Target="https://repl.it/@MuhamadAdam/ARKWH9" TargetMode="External"/><Relationship Id="rId259" Type="http://schemas.openxmlformats.org/officeDocument/2006/relationships/hyperlink" Target="https://playcode.io/654235" TargetMode="External"/><Relationship Id="rId258" Type="http://schemas.openxmlformats.org/officeDocument/2006/relationships/hyperlink" Target="https://playcode.io/654186" TargetMode="External"/><Relationship Id="rId253" Type="http://schemas.openxmlformats.org/officeDocument/2006/relationships/hyperlink" Target="https://playcode.io/654222/" TargetMode="External"/><Relationship Id="rId495" Type="http://schemas.openxmlformats.org/officeDocument/2006/relationships/hyperlink" Target="https://drive.google.com/drive/folders/1VS9apM-j2Ur-g2EmxQ8K_LF01T8Lk7NR?usp=sharing" TargetMode="External"/><Relationship Id="rId252" Type="http://schemas.openxmlformats.org/officeDocument/2006/relationships/hyperlink" Target="https://repl.it/join/zjnajeyw-yusupjunaedi" TargetMode="External"/><Relationship Id="rId494" Type="http://schemas.openxmlformats.org/officeDocument/2006/relationships/hyperlink" Target="https://repl.it/@AhmadMaulanaMau/QUIZW4" TargetMode="External"/><Relationship Id="rId251" Type="http://schemas.openxmlformats.org/officeDocument/2006/relationships/hyperlink" Target="https://repl.it/@AdninRifandioff/Weekly-Quiz-Week-8" TargetMode="External"/><Relationship Id="rId493" Type="http://schemas.openxmlformats.org/officeDocument/2006/relationships/hyperlink" Target="https://repl.it/@hamzahsaid/Quiz-arkwh1" TargetMode="External"/><Relationship Id="rId250" Type="http://schemas.openxmlformats.org/officeDocument/2006/relationships/hyperlink" Target="http://playcode.io/654221/" TargetMode="External"/><Relationship Id="rId492" Type="http://schemas.openxmlformats.org/officeDocument/2006/relationships/hyperlink" Target="https://repl.it/@ArungiCahaya/discounter" TargetMode="External"/><Relationship Id="rId257" Type="http://schemas.openxmlformats.org/officeDocument/2006/relationships/hyperlink" Target="https://repl.it/join/ilpyszvk-dimasmokodompit" TargetMode="External"/><Relationship Id="rId499" Type="http://schemas.openxmlformats.org/officeDocument/2006/relationships/hyperlink" Target="https://drive.google.com/open?id=11Vgk7sNsxy_vDTMWNGitEgtNYmB4JYWs" TargetMode="External"/><Relationship Id="rId256" Type="http://schemas.openxmlformats.org/officeDocument/2006/relationships/hyperlink" Target="https://playcode.io/654220/" TargetMode="External"/><Relationship Id="rId498" Type="http://schemas.openxmlformats.org/officeDocument/2006/relationships/hyperlink" Target="https://drive.google.com/file/d/1gqvxp7RwCyeRDv06HeTq0apZeb0r-T19/view?usp=sharing" TargetMode="External"/><Relationship Id="rId255" Type="http://schemas.openxmlformats.org/officeDocument/2006/relationships/hyperlink" Target="https://repl.it/@prioarief/ARKWH8" TargetMode="External"/><Relationship Id="rId497" Type="http://schemas.openxmlformats.org/officeDocument/2006/relationships/hyperlink" Target="https://repl.it/@dennywm/KUIS-ARKWH1" TargetMode="External"/><Relationship Id="rId254" Type="http://schemas.openxmlformats.org/officeDocument/2006/relationships/hyperlink" Target="http://playcode.io/654229/" TargetMode="External"/><Relationship Id="rId496" Type="http://schemas.openxmlformats.org/officeDocument/2006/relationships/hyperlink" Target="https://drive.google.com/open?id=1tHMzNa0yC0o0IHyIMbO6yazn6xHaic3A" TargetMode="External"/><Relationship Id="rId293" Type="http://schemas.openxmlformats.org/officeDocument/2006/relationships/hyperlink" Target="https://drive.google.com/file/d/1b4tT2dlvlrmkZjSjSffKJDj2ksfwuE0_/view?usp=sharing" TargetMode="External"/><Relationship Id="rId292" Type="http://schemas.openxmlformats.org/officeDocument/2006/relationships/hyperlink" Target="https://repl.it/repls/GreenEnviousStructures" TargetMode="External"/><Relationship Id="rId291" Type="http://schemas.openxmlformats.org/officeDocument/2006/relationships/hyperlink" Target="https://drive.google.com/open?id=1cK_LYpGi7QuuxaAY1HtExf0px_pv3UIY" TargetMode="External"/><Relationship Id="rId290" Type="http://schemas.openxmlformats.org/officeDocument/2006/relationships/hyperlink" Target="https://playcode.io/663526/" TargetMode="External"/><Relationship Id="rId286" Type="http://schemas.openxmlformats.org/officeDocument/2006/relationships/hyperlink" Target="https://repl.it/join/soymmuby-denycode" TargetMode="External"/><Relationship Id="rId285" Type="http://schemas.openxmlformats.org/officeDocument/2006/relationships/hyperlink" Target="https://drive.google.com/open?id=1Wce0SSzdGTik2jHTu8klLpfZzIXkjm6l" TargetMode="External"/><Relationship Id="rId284" Type="http://schemas.openxmlformats.org/officeDocument/2006/relationships/hyperlink" Target="https://repl.it/join/bakmkmzj-agungwicaksonow" TargetMode="External"/><Relationship Id="rId283" Type="http://schemas.openxmlformats.org/officeDocument/2006/relationships/hyperlink" Target="https://drive.google.com/file/d/1alI7JlzDIJnM90qnaPEbnXNNPkbjGr34/view?usp=sharing" TargetMode="External"/><Relationship Id="rId289" Type="http://schemas.openxmlformats.org/officeDocument/2006/relationships/hyperlink" Target="https://drive.google.com/open?id=1QN8tjOI8nzsAt9ydbYKnaCttO6eD_mwC" TargetMode="External"/><Relationship Id="rId288" Type="http://schemas.openxmlformats.org/officeDocument/2006/relationships/hyperlink" Target="https://repl.it/@SintaAnggun/RegalCompassionateWearable" TargetMode="External"/><Relationship Id="rId287" Type="http://schemas.openxmlformats.org/officeDocument/2006/relationships/hyperlink" Target="https://drive.google.com/drive/folders/1qxdHkIiI4ZwQBq6pjnzDTpRMCaMySzny?usp=sharing" TargetMode="External"/><Relationship Id="rId282" Type="http://schemas.openxmlformats.org/officeDocument/2006/relationships/hyperlink" Target="https://repl.it/repls/TallDarkorangeGigabyte" TargetMode="External"/><Relationship Id="rId281" Type="http://schemas.openxmlformats.org/officeDocument/2006/relationships/hyperlink" Target="https://drive.google.com/open?id=1ivwrjyi_sftjEZ6FJ8-C5YhtE5JtwErC" TargetMode="External"/><Relationship Id="rId280" Type="http://schemas.openxmlformats.org/officeDocument/2006/relationships/hyperlink" Target="https://drive.google.com/file/d/15yjp6yKB2KuOnT9PkA6lKNXu3Mmgm31T/view?usp=sharing" TargetMode="External"/><Relationship Id="rId275" Type="http://schemas.openxmlformats.org/officeDocument/2006/relationships/hyperlink" Target="https://drive.google.com/file/d/12MXxTHwclJu4-SY98xKUwadTtZKlsmnd/view?usp=sharing" TargetMode="External"/><Relationship Id="rId274" Type="http://schemas.openxmlformats.org/officeDocument/2006/relationships/hyperlink" Target="https://repl.it/join/upoxuqgk-ankaabdullah" TargetMode="External"/><Relationship Id="rId273" Type="http://schemas.openxmlformats.org/officeDocument/2006/relationships/hyperlink" Target="https://drive.google.com/open?id=1T0j3D4Ktd2QygBpXFKH3czdApRppeksO" TargetMode="External"/><Relationship Id="rId272" Type="http://schemas.openxmlformats.org/officeDocument/2006/relationships/hyperlink" Target="https://drive.google.com/file/d/17WMW2Ecy4dkQubJdWrgj7PUOpPXGwyJz/view?usp=sharing" TargetMode="External"/><Relationship Id="rId279" Type="http://schemas.openxmlformats.org/officeDocument/2006/relationships/hyperlink" Target="https://repl.it/@Friemorn/Frialive7" TargetMode="External"/><Relationship Id="rId278" Type="http://schemas.openxmlformats.org/officeDocument/2006/relationships/hyperlink" Target="https://drive.google.com/drive/folders/16SYU55ROpK1mixh5AA1SJ5GBG30WENG6?usp=sharing" TargetMode="External"/><Relationship Id="rId277" Type="http://schemas.openxmlformats.org/officeDocument/2006/relationships/hyperlink" Target="https://repl.it/@ReginaPutri/task1" TargetMode="External"/><Relationship Id="rId276" Type="http://schemas.openxmlformats.org/officeDocument/2006/relationships/hyperlink" Target="https://drive.google.com/open?id=1kBcz8ybEbkWJA6xGYuJtbVb1Up-egXEe" TargetMode="External"/><Relationship Id="rId907" Type="http://schemas.openxmlformats.org/officeDocument/2006/relationships/hyperlink" Target="https://drive.google.com/open?id=1UhCr5nmIHUCeXbhrTWPjdeC_HImDBm69" TargetMode="External"/><Relationship Id="rId906" Type="http://schemas.openxmlformats.org/officeDocument/2006/relationships/hyperlink" Target="https://repl.it/@gedangchocochip/MarvelousCandidTransversals" TargetMode="External"/><Relationship Id="rId905" Type="http://schemas.openxmlformats.org/officeDocument/2006/relationships/hyperlink" Target="https://drive.google.com/open?id=1tDTxuhd6w6Zec0HHtnztLk7flphIw-r1" TargetMode="External"/><Relationship Id="rId904" Type="http://schemas.openxmlformats.org/officeDocument/2006/relationships/hyperlink" Target="https://repl.it/join/quomkyfd-ankaabdullah" TargetMode="External"/><Relationship Id="rId909" Type="http://schemas.openxmlformats.org/officeDocument/2006/relationships/hyperlink" Target="https://drive.google.com/open?id=1nxDWUHdp0hIS1Vg2uG3RPMulq2b4I0n5" TargetMode="External"/><Relationship Id="rId908" Type="http://schemas.openxmlformats.org/officeDocument/2006/relationships/hyperlink" Target="https://repl.it/join/fjhyhcmi-bijigoreng" TargetMode="External"/><Relationship Id="rId903" Type="http://schemas.openxmlformats.org/officeDocument/2006/relationships/hyperlink" Target="https://drive.google.com/open?id=1VcfWSr-lEI-VTNWyj7WJHGOBlCMFhEXt" TargetMode="External"/><Relationship Id="rId902" Type="http://schemas.openxmlformats.org/officeDocument/2006/relationships/hyperlink" Target="https://repl.it/@IvanRozak/quiz" TargetMode="External"/><Relationship Id="rId901" Type="http://schemas.openxmlformats.org/officeDocument/2006/relationships/hyperlink" Target="https://drive.google.com/open?id=1If2hMuEPHDwqeWZak_fIoLGQTwxJE-H8" TargetMode="External"/><Relationship Id="rId900" Type="http://schemas.openxmlformats.org/officeDocument/2006/relationships/hyperlink" Target="https://repl.it/@RizqonMaulana/quiz1" TargetMode="External"/><Relationship Id="rId929" Type="http://schemas.openxmlformats.org/officeDocument/2006/relationships/hyperlink" Target="https://repl.it/join/aoyvxsbj-ymariav" TargetMode="External"/><Relationship Id="rId928" Type="http://schemas.openxmlformats.org/officeDocument/2006/relationships/hyperlink" Target="https://drive.google.com/open?id=1O3sCa-u30yb3brbTFp1nAqnHeHwwqvA2" TargetMode="External"/><Relationship Id="rId927" Type="http://schemas.openxmlformats.org/officeDocument/2006/relationships/hyperlink" Target="https://repl.it/@chandOktaviani/Jawaban" TargetMode="External"/><Relationship Id="rId926" Type="http://schemas.openxmlformats.org/officeDocument/2006/relationships/hyperlink" Target="https://drive.google.com/open?id=1hm3uJqdtmHgU9vI-sdv4zix-t32F1aZ7" TargetMode="External"/><Relationship Id="rId921" Type="http://schemas.openxmlformats.org/officeDocument/2006/relationships/hyperlink" Target="https://repl.it/@millaaprillya/Quiz" TargetMode="External"/><Relationship Id="rId920" Type="http://schemas.openxmlformats.org/officeDocument/2006/relationships/hyperlink" Target="https://drive.google.com/open?id=1Pl3JnrxBpI9O7XHAusrBMRegxyCqIZUb" TargetMode="External"/><Relationship Id="rId925" Type="http://schemas.openxmlformats.org/officeDocument/2006/relationships/hyperlink" Target="https://repl.it/@millaaprillya/Quiz" TargetMode="External"/><Relationship Id="rId924" Type="http://schemas.openxmlformats.org/officeDocument/2006/relationships/hyperlink" Target="https://repl.it/@millaaprillya/Quiz" TargetMode="External"/><Relationship Id="rId923" Type="http://schemas.openxmlformats.org/officeDocument/2006/relationships/hyperlink" Target="https://drive.google.com/open?id=1DCq2iKItmC0kLr1dkRle_v-qu_bVjaRN" TargetMode="External"/><Relationship Id="rId922" Type="http://schemas.openxmlformats.org/officeDocument/2006/relationships/hyperlink" Target="https://repl.it/@millaaprillya/Quiz" TargetMode="External"/><Relationship Id="rId918" Type="http://schemas.openxmlformats.org/officeDocument/2006/relationships/hyperlink" Target="https://repl.it/join/glnpzwtx-firmanazhar" TargetMode="External"/><Relationship Id="rId917" Type="http://schemas.openxmlformats.org/officeDocument/2006/relationships/hyperlink" Target="https://drive.google.com/open?id=17_YebLmgHYpvnIpPRK69wVyaU12AaqFG" TargetMode="External"/><Relationship Id="rId916" Type="http://schemas.openxmlformats.org/officeDocument/2006/relationships/hyperlink" Target="https://repl.it/join/lmcrypso-hasbiak" TargetMode="External"/><Relationship Id="rId915" Type="http://schemas.openxmlformats.org/officeDocument/2006/relationships/hyperlink" Target="https://drive.google.com/open?id=1jCIEZRazyC1DyI_XaatblUOCKSzcKGbG" TargetMode="External"/><Relationship Id="rId919" Type="http://schemas.openxmlformats.org/officeDocument/2006/relationships/hyperlink" Target="https://repl.it/join/glnpzwtx-firmanazhar" TargetMode="External"/><Relationship Id="rId910" Type="http://schemas.openxmlformats.org/officeDocument/2006/relationships/hyperlink" Target="https://repl.it/join/thvbxgzd-riskyamaliahari" TargetMode="External"/><Relationship Id="rId914" Type="http://schemas.openxmlformats.org/officeDocument/2006/relationships/hyperlink" Target="https://repl.it/@rudygalih/Quiz1" TargetMode="External"/><Relationship Id="rId913" Type="http://schemas.openxmlformats.org/officeDocument/2006/relationships/hyperlink" Target="https://drive.google.com/open?id=163E6hB7YMfytyF3-e3TDzVl5wer_lZKM" TargetMode="External"/><Relationship Id="rId912" Type="http://schemas.openxmlformats.org/officeDocument/2006/relationships/hyperlink" Target="https://repl.it/@IlhamHafsyah/quiz1" TargetMode="External"/><Relationship Id="rId911" Type="http://schemas.openxmlformats.org/officeDocument/2006/relationships/hyperlink" Target="https://drive.google.com/open?id=1QtX7WlLj1wC_9C4AsjRfFHtvx8OXfTE3" TargetMode="External"/><Relationship Id="rId629" Type="http://schemas.openxmlformats.org/officeDocument/2006/relationships/hyperlink" Target="https://drive.google.com/open?id=1njpjQDgpH2aMVht5dhYWvO3o29VE-50B" TargetMode="External"/><Relationship Id="rId624" Type="http://schemas.openxmlformats.org/officeDocument/2006/relationships/hyperlink" Target="https://repl.it/@ranisup/quiz3js" TargetMode="External"/><Relationship Id="rId866" Type="http://schemas.openxmlformats.org/officeDocument/2006/relationships/hyperlink" Target="https://drive.google.com/drive/folders/1UhNDCTOXj2kbo1qbzfUurWKgjUioPoEf?usp=sharing" TargetMode="External"/><Relationship Id="rId623" Type="http://schemas.openxmlformats.org/officeDocument/2006/relationships/hyperlink" Target="https://repl.it/@ArungiCahaya/reversePyramid" TargetMode="External"/><Relationship Id="rId865" Type="http://schemas.openxmlformats.org/officeDocument/2006/relationships/hyperlink" Target="https://repl.it/@Ayuarmadani/quiz-1" TargetMode="External"/><Relationship Id="rId622" Type="http://schemas.openxmlformats.org/officeDocument/2006/relationships/hyperlink" Target="https://drive.google.com/open?id=1Hrm6dPEkCDl-bQjwrzv9w79lNmf8tuKW" TargetMode="External"/><Relationship Id="rId864" Type="http://schemas.openxmlformats.org/officeDocument/2006/relationships/hyperlink" Target="https://drive.google.com/file/d/1rDc5KALQA1OHl8SbeyZqhqic7H63foWJ/view?usp=sharing" TargetMode="External"/><Relationship Id="rId621" Type="http://schemas.openxmlformats.org/officeDocument/2006/relationships/hyperlink" Target="https://drive.google.com/file/d/1X8JC2ke9mSSH3bxODFOyu684jvxCAiHf/view?usp=sharing" TargetMode="External"/><Relationship Id="rId863" Type="http://schemas.openxmlformats.org/officeDocument/2006/relationships/hyperlink" Target="https://repl.it/@Allboutbout/Tugas" TargetMode="External"/><Relationship Id="rId628" Type="http://schemas.openxmlformats.org/officeDocument/2006/relationships/hyperlink" Target="https://drive.google.com/file/d/1GO3wXYCaxe2FfsIcQmsP5Mzz2qa9wN_W/view?usp=sharing" TargetMode="External"/><Relationship Id="rId627" Type="http://schemas.openxmlformats.org/officeDocument/2006/relationships/hyperlink" Target="https://repl.it/@rolilaz47/AlarmedBogusMedia" TargetMode="External"/><Relationship Id="rId869" Type="http://schemas.openxmlformats.org/officeDocument/2006/relationships/hyperlink" Target="https://drive.google.com/file/d/1Au7XWYiCiUfinWiJt7UbpUkVXkWMB6bC/view?usp=sharing" TargetMode="External"/><Relationship Id="rId626" Type="http://schemas.openxmlformats.org/officeDocument/2006/relationships/hyperlink" Target="https://repl.it/@drajat824/Quiz2" TargetMode="External"/><Relationship Id="rId868" Type="http://schemas.openxmlformats.org/officeDocument/2006/relationships/hyperlink" Target="https://repl.it/@dennywm/KUIS-ARKWH3" TargetMode="External"/><Relationship Id="rId625" Type="http://schemas.openxmlformats.org/officeDocument/2006/relationships/hyperlink" Target="https://drive.google.com/file/d/1flJttQK_HbzVMFqtMmRC8BfA_qChxuD3/view?usp=sharing" TargetMode="External"/><Relationship Id="rId867" Type="http://schemas.openxmlformats.org/officeDocument/2006/relationships/hyperlink" Target="https://drive.google.com/open?id=1tD-9LWh2RELzI_VsAnDjrxIAzvMvUTMX" TargetMode="External"/><Relationship Id="rId620" Type="http://schemas.openxmlformats.org/officeDocument/2006/relationships/hyperlink" Target="https://repl.it/@hnifmaghfur/KuisARKWH2" TargetMode="External"/><Relationship Id="rId862" Type="http://schemas.openxmlformats.org/officeDocument/2006/relationships/hyperlink" Target="https://drive.google.com/drive/folders/1PMATqn6bRw6HwcHLe1kc2twNTKpJ7DyV?usp=sharing" TargetMode="External"/><Relationship Id="rId861" Type="http://schemas.openxmlformats.org/officeDocument/2006/relationships/hyperlink" Target="https://repl.it/@mkhoirulwafa/arithmeticSequence" TargetMode="External"/><Relationship Id="rId860" Type="http://schemas.openxmlformats.org/officeDocument/2006/relationships/hyperlink" Target="https://drive.google.com/open?id=1kIPCK7Rg1bVWZojs6ETd266-M7GmbTpw" TargetMode="External"/><Relationship Id="rId619" Type="http://schemas.openxmlformats.org/officeDocument/2006/relationships/hyperlink" Target="https://drive.google.com/open?id=13o6ymc-dhWDmUgXZMtO_oezdiO-0_o7g" TargetMode="External"/><Relationship Id="rId618" Type="http://schemas.openxmlformats.org/officeDocument/2006/relationships/hyperlink" Target="https://drive.google.com/file/d/19noT8vqFi1mF69pBzOcdsLB5rMka69jO/view?usp=sharing" TargetMode="External"/><Relationship Id="rId613" Type="http://schemas.openxmlformats.org/officeDocument/2006/relationships/hyperlink" Target="https://repl.it/@AnshoryIhsan/quiz2" TargetMode="External"/><Relationship Id="rId855" Type="http://schemas.openxmlformats.org/officeDocument/2006/relationships/hyperlink" Target="https://drive.google.com/drive/folders/1omiLmvUJKaaL4RJOACKGU8XoM_JU4YfJ?usp=sharing" TargetMode="External"/><Relationship Id="rId612" Type="http://schemas.openxmlformats.org/officeDocument/2006/relationships/hyperlink" Target="https://drive.google.com/file/d/1ciw6X5cl8Bos8LjLbKQ4Z57xWRCmx3Nn/view?usp=sharing" TargetMode="External"/><Relationship Id="rId854" Type="http://schemas.openxmlformats.org/officeDocument/2006/relationships/hyperlink" Target="https://repl.it/@AmarditoKhairi/FMB-19-amarditokhairi-Quiz-2" TargetMode="External"/><Relationship Id="rId611" Type="http://schemas.openxmlformats.org/officeDocument/2006/relationships/hyperlink" Target="https://repl.it/@dyaksanour/QUIZ2" TargetMode="External"/><Relationship Id="rId853" Type="http://schemas.openxmlformats.org/officeDocument/2006/relationships/hyperlink" Target="https://drive.google.com/drive/folders/1NyMvQiRnXRvgBdj2KyPi7MFCz6mIPThJ?usp=sharing" TargetMode="External"/><Relationship Id="rId610" Type="http://schemas.openxmlformats.org/officeDocument/2006/relationships/hyperlink" Target="https://drive.google.com/open?id=1kEpuCdJILkrVlNUM9b1t72g_ownqDt2q" TargetMode="External"/><Relationship Id="rId852" Type="http://schemas.openxmlformats.org/officeDocument/2006/relationships/hyperlink" Target="https://playcode.io/702645/" TargetMode="External"/><Relationship Id="rId617" Type="http://schemas.openxmlformats.org/officeDocument/2006/relationships/hyperlink" Target="https://repl.it/@rizkyagung18/ForthrightMintcreamDemand" TargetMode="External"/><Relationship Id="rId859" Type="http://schemas.openxmlformats.org/officeDocument/2006/relationships/hyperlink" Target="https://repl.it/@shhb0420/ARK2" TargetMode="External"/><Relationship Id="rId616" Type="http://schemas.openxmlformats.org/officeDocument/2006/relationships/hyperlink" Target="https://drive.google.com/file/d/1jK6vO7-CXjcR9o9dOJ8mXbgLipCHxZ1M/view?usp=sharing" TargetMode="External"/><Relationship Id="rId858" Type="http://schemas.openxmlformats.org/officeDocument/2006/relationships/hyperlink" Target="https://drive.google.com/open?id=1hcQ_e087Nv0zvOGYgPu3ToUnhGNQf4wJ" TargetMode="External"/><Relationship Id="rId615" Type="http://schemas.openxmlformats.org/officeDocument/2006/relationships/hyperlink" Target="https://repl.it/@dennywm/KUIS-ARKWH2" TargetMode="External"/><Relationship Id="rId857" Type="http://schemas.openxmlformats.org/officeDocument/2006/relationships/hyperlink" Target="https://repl.it/@Yu48/Quiz-2" TargetMode="External"/><Relationship Id="rId614" Type="http://schemas.openxmlformats.org/officeDocument/2006/relationships/hyperlink" Target="https://drive.google.com/file/d/1rY0ACWc-OdPNf6RzEuD0s2WBKO9rGEos/view?usp=sharing" TargetMode="External"/><Relationship Id="rId856" Type="http://schemas.openxmlformats.org/officeDocument/2006/relationships/hyperlink" Target="https://drive.google.com/open?id=18EGs_akY-Wzkgim-2_TSChy7e9gbZRkh" TargetMode="External"/><Relationship Id="rId851" Type="http://schemas.openxmlformats.org/officeDocument/2006/relationships/hyperlink" Target="https://repl.it/@AdminLTE/quiz2" TargetMode="External"/><Relationship Id="rId850" Type="http://schemas.openxmlformats.org/officeDocument/2006/relationships/hyperlink" Target="https://drive.google.com/drive/folders/17unFHcQKwGod22GNPStrZ8oegWIUyHv6?usp=sharing" TargetMode="External"/><Relationship Id="rId409" Type="http://schemas.openxmlformats.org/officeDocument/2006/relationships/hyperlink" Target="https://repl.it/join/enfiffth-dheaaqn" TargetMode="External"/><Relationship Id="rId404" Type="http://schemas.openxmlformats.org/officeDocument/2006/relationships/hyperlink" Target="https://drive.google.com/file/d/1oJOeSB9w6lwxneMUX-kRek12XQAh_XO-/view?usp=sharing" TargetMode="External"/><Relationship Id="rId646" Type="http://schemas.openxmlformats.org/officeDocument/2006/relationships/hyperlink" Target="https://drive.google.com/drive/u/0/folders/1G7o-Xf08KBDbaRge1GZ7GjUYPrp2v3J3" TargetMode="External"/><Relationship Id="rId888" Type="http://schemas.openxmlformats.org/officeDocument/2006/relationships/hyperlink" Target="https://repl.it/@ranisup/Quiz11js" TargetMode="External"/><Relationship Id="rId403" Type="http://schemas.openxmlformats.org/officeDocument/2006/relationships/hyperlink" Target="https://repl.it/@PanjiKusuma/reverse-pyramid" TargetMode="External"/><Relationship Id="rId645" Type="http://schemas.openxmlformats.org/officeDocument/2006/relationships/hyperlink" Target="https://repl.it/@fahmiazis/GainsboroAfraidSyntax" TargetMode="External"/><Relationship Id="rId887" Type="http://schemas.openxmlformats.org/officeDocument/2006/relationships/hyperlink" Target="https://drive.google.com/file/d/1-Lwkxbh_-5kzILZ4b0szCz2papLuyi4G/view?usp=sharing" TargetMode="External"/><Relationship Id="rId402" Type="http://schemas.openxmlformats.org/officeDocument/2006/relationships/hyperlink" Target="https://drive.google.com/open?id=1RM_lUJ2aNySLuWVyPYdNwEBBdpMnZdk4" TargetMode="External"/><Relationship Id="rId644" Type="http://schemas.openxmlformats.org/officeDocument/2006/relationships/hyperlink" Target="https://drive.google.com/drive/folders/1dzvSW5pLCqa38JfvD579BJ6_ost_OUh9?usp=sharing" TargetMode="External"/><Relationship Id="rId886" Type="http://schemas.openxmlformats.org/officeDocument/2006/relationships/hyperlink" Target="https://repl.it/join/hdlfojzj-dyaksanour" TargetMode="External"/><Relationship Id="rId401" Type="http://schemas.openxmlformats.org/officeDocument/2006/relationships/hyperlink" Target="https://repl.it/join/ymfqjvtn-andikakiky" TargetMode="External"/><Relationship Id="rId643" Type="http://schemas.openxmlformats.org/officeDocument/2006/relationships/hyperlink" Target="https://repl.it/@fchilmi/quiz2" TargetMode="External"/><Relationship Id="rId885" Type="http://schemas.openxmlformats.org/officeDocument/2006/relationships/hyperlink" Target="https://drive.google.com/file/d/1KGZsL966Q6RjQAtDJozG2KHJIsnIYW_8/view?usp=sharing" TargetMode="External"/><Relationship Id="rId408" Type="http://schemas.openxmlformats.org/officeDocument/2006/relationships/hyperlink" Target="https://drive.google.com/open?id=1dgMVUutERbLJ4qfPBeHG_IFa068DMKny" TargetMode="External"/><Relationship Id="rId407" Type="http://schemas.openxmlformats.org/officeDocument/2006/relationships/hyperlink" Target="https://drive.google.com/file/d/1igx6-CXdiCdy6ldkqWHePOOSpt7Y4u4A/view?usp=sharing" TargetMode="External"/><Relationship Id="rId649" Type="http://schemas.openxmlformats.org/officeDocument/2006/relationships/hyperlink" Target="https://repl.it/@alkodrimuhfaris/quizWeek2" TargetMode="External"/><Relationship Id="rId406" Type="http://schemas.openxmlformats.org/officeDocument/2006/relationships/hyperlink" Target="https://repl.it/@GiriNurfauzan/ARKWH1" TargetMode="External"/><Relationship Id="rId648" Type="http://schemas.openxmlformats.org/officeDocument/2006/relationships/hyperlink" Target="https://drive.google.com/file/d/13stla7PMCEESEWjSPY9QAUMsZvOj867D/view?usp=sharing" TargetMode="External"/><Relationship Id="rId405" Type="http://schemas.openxmlformats.org/officeDocument/2006/relationships/hyperlink" Target="https://drive.google.com/open?id=1PiiP1FXNqd7KHY5KAgbfNdzSvkxT_xdo" TargetMode="External"/><Relationship Id="rId647" Type="http://schemas.openxmlformats.org/officeDocument/2006/relationships/hyperlink" Target="https://repl.it/@IqbalAthorid/ArkWH2" TargetMode="External"/><Relationship Id="rId889" Type="http://schemas.openxmlformats.org/officeDocument/2006/relationships/hyperlink" Target="https://drive.google.com/open?id=1SEaQzLtLX7iPA2KM1VHUpsyBaMlVT20Z" TargetMode="External"/><Relationship Id="rId880" Type="http://schemas.openxmlformats.org/officeDocument/2006/relationships/hyperlink" Target="https://drive.google.com/file/d/1yziB81yPq4NrhMJUa32kkFyR5_k3881x/view" TargetMode="External"/><Relationship Id="rId400" Type="http://schemas.openxmlformats.org/officeDocument/2006/relationships/hyperlink" Target="https://repl.it/@syamsa/ConcreteIdolizedQuery" TargetMode="External"/><Relationship Id="rId642" Type="http://schemas.openxmlformats.org/officeDocument/2006/relationships/hyperlink" Target="https://repl.it/@mhdabdurasyid/ARKWH2" TargetMode="External"/><Relationship Id="rId884" Type="http://schemas.openxmlformats.org/officeDocument/2006/relationships/hyperlink" Target="https://repl.it/@Rifqi56/MiserlyPastPolygon" TargetMode="External"/><Relationship Id="rId641" Type="http://schemas.openxmlformats.org/officeDocument/2006/relationships/hyperlink" Target="https://drive.google.com/drive/folders/1V1R079pAp02vzEPGyZLnm_G7dzoFBnge?usp=sharing" TargetMode="External"/><Relationship Id="rId883" Type="http://schemas.openxmlformats.org/officeDocument/2006/relationships/hyperlink" Target="https://drive.google.com/open?id=1YLjXs4Vyno-T_Vj-LgGoKel9ZF63Rgwa" TargetMode="External"/><Relationship Id="rId640" Type="http://schemas.openxmlformats.org/officeDocument/2006/relationships/hyperlink" Target="https://repl.it/@rezhamaulana/quiz-2" TargetMode="External"/><Relationship Id="rId882" Type="http://schemas.openxmlformats.org/officeDocument/2006/relationships/hyperlink" Target="https://drive.google.com/file/d/1fFxsYX0zc-A-zdJF8nJa14OdmWywcLvR/view?usp=sharing" TargetMode="External"/><Relationship Id="rId881" Type="http://schemas.openxmlformats.org/officeDocument/2006/relationships/hyperlink" Target="https://repl.it/@rizkyagung18/MundaneDevotedSpheres" TargetMode="External"/><Relationship Id="rId635" Type="http://schemas.openxmlformats.org/officeDocument/2006/relationships/hyperlink" Target="http://playcode.io/686533/" TargetMode="External"/><Relationship Id="rId877" Type="http://schemas.openxmlformats.org/officeDocument/2006/relationships/hyperlink" Target="https://repl.it/@hamzahsaid/Quiz3" TargetMode="External"/><Relationship Id="rId634" Type="http://schemas.openxmlformats.org/officeDocument/2006/relationships/hyperlink" Target="https://drive.google.com/file/d/1jWyOVdL6EvMS0nt7YRlIdf-vZ2a6OLkV/view?usp=sharing" TargetMode="External"/><Relationship Id="rId876" Type="http://schemas.openxmlformats.org/officeDocument/2006/relationships/hyperlink" Target="https://drive.google.com/file/d/1jlIw0ekWQQHAc5zb9c46jozwU-x6WN-y/view?usp=sharing" TargetMode="External"/><Relationship Id="rId633" Type="http://schemas.openxmlformats.org/officeDocument/2006/relationships/hyperlink" Target="https://repl.it/@Rifqi56/StunningDimStructure" TargetMode="External"/><Relationship Id="rId875" Type="http://schemas.openxmlformats.org/officeDocument/2006/relationships/hyperlink" Target="https://repl.it/@ArungiCahaya/week11" TargetMode="External"/><Relationship Id="rId632" Type="http://schemas.openxmlformats.org/officeDocument/2006/relationships/hyperlink" Target="https://repl.it/@AhmadMaulanaMau/ReversePyramid" TargetMode="External"/><Relationship Id="rId874" Type="http://schemas.openxmlformats.org/officeDocument/2006/relationships/hyperlink" Target="https://drive.google.com/file/d/1QeItvQm79C2buOxu0sOdrcbWpCHrc-7b/view?usp=sharing" TargetMode="External"/><Relationship Id="rId639" Type="http://schemas.openxmlformats.org/officeDocument/2006/relationships/hyperlink" Target="https://drive.google.com/open?id=1tMgToNrIPIoUB4loaHzF5YLu2KC3aTbw" TargetMode="External"/><Relationship Id="rId638" Type="http://schemas.openxmlformats.org/officeDocument/2006/relationships/hyperlink" Target="https://drive.google.com/file/d/102UqWotPW_YWwm4s2WSWaEi0N4W2Cgyd/view?usp=sharing" TargetMode="External"/><Relationship Id="rId637" Type="http://schemas.openxmlformats.org/officeDocument/2006/relationships/hyperlink" Target="https://repl.it/@dherliansyah/kuis3" TargetMode="External"/><Relationship Id="rId879" Type="http://schemas.openxmlformats.org/officeDocument/2006/relationships/hyperlink" Target="https://repl.it/@lailikumala/quiz3" TargetMode="External"/><Relationship Id="rId636" Type="http://schemas.openxmlformats.org/officeDocument/2006/relationships/hyperlink" Target="https://drive.google.com/drive/folders/12P0K3gHR_0cUQMSzSi_QldGjY0lljU0u" TargetMode="External"/><Relationship Id="rId878" Type="http://schemas.openxmlformats.org/officeDocument/2006/relationships/hyperlink" Target="https://drive.google.com/drive/u/0/folders/1VjecPV8a_97dsUzkhDl7OTXVrahXpb3q" TargetMode="External"/><Relationship Id="rId631" Type="http://schemas.openxmlformats.org/officeDocument/2006/relationships/hyperlink" Target="https://drive.google.com/file/d/1PBO49CaJngSHYu_flNwdoO5LLL0qBP4H/view?usp=sharing" TargetMode="External"/><Relationship Id="rId873" Type="http://schemas.openxmlformats.org/officeDocument/2006/relationships/hyperlink" Target="https://repl.it/@hnifmaghfur/KuisARKWH3" TargetMode="External"/><Relationship Id="rId630" Type="http://schemas.openxmlformats.org/officeDocument/2006/relationships/hyperlink" Target="https://repl.it/@mkhoirulwafa/reversePyramid" TargetMode="External"/><Relationship Id="rId872" Type="http://schemas.openxmlformats.org/officeDocument/2006/relationships/hyperlink" Target="https://repl.it/@AnshoryIhsan/arkwh3" TargetMode="External"/><Relationship Id="rId871" Type="http://schemas.openxmlformats.org/officeDocument/2006/relationships/hyperlink" Target="https://drive.google.com/drive/folders/1QuS6CRPW8lNpe6GSrxZMFMb7yILRwLsg?usp=sharing" TargetMode="External"/><Relationship Id="rId870" Type="http://schemas.openxmlformats.org/officeDocument/2006/relationships/hyperlink" Target="https://repl.it/@AhmadMaulanaMau/sequence-member" TargetMode="External"/><Relationship Id="rId829" Type="http://schemas.openxmlformats.org/officeDocument/2006/relationships/hyperlink" Target="https://repl.it/@mabdip/Quis1" TargetMode="External"/><Relationship Id="rId828" Type="http://schemas.openxmlformats.org/officeDocument/2006/relationships/hyperlink" Target="https://drive.google.com/open?id=1t_Wy7i3L3-koVdOlNDjfl_J0cRzMLkgP" TargetMode="External"/><Relationship Id="rId827" Type="http://schemas.openxmlformats.org/officeDocument/2006/relationships/hyperlink" Target="https://repl.it/join/uazsfycc-adminlte" TargetMode="External"/><Relationship Id="rId822" Type="http://schemas.openxmlformats.org/officeDocument/2006/relationships/hyperlink" Target="https://drive.google.com/open?id=1B1O-unVO8YpXuxZhAxt2ymJcohW3jZ0S" TargetMode="External"/><Relationship Id="rId821" Type="http://schemas.openxmlformats.org/officeDocument/2006/relationships/hyperlink" Target="https://repl.it/@hendrasolih/quiz" TargetMode="External"/><Relationship Id="rId820" Type="http://schemas.openxmlformats.org/officeDocument/2006/relationships/hyperlink" Target="https://drive.google.com/open?id=17Cnq9OCDmS3kVk6NZPD1c9yAehu2ZfKH" TargetMode="External"/><Relationship Id="rId826" Type="http://schemas.openxmlformats.org/officeDocument/2006/relationships/hyperlink" Target="https://drive.google.com/open?id=1jjs6pMzc9mMRMdVuX8ZK1LgIaJPLkVmN" TargetMode="External"/><Relationship Id="rId825" Type="http://schemas.openxmlformats.org/officeDocument/2006/relationships/hyperlink" Target="https://repl.it/@Yu48/Quiz-1" TargetMode="External"/><Relationship Id="rId824" Type="http://schemas.openxmlformats.org/officeDocument/2006/relationships/hyperlink" Target="https://drive.google.com/open?id=1YtXbH4WW5AFpoYpGseQ-b8ZIC-8QM8ZP" TargetMode="External"/><Relationship Id="rId823" Type="http://schemas.openxmlformats.org/officeDocument/2006/relationships/hyperlink" Target="https://playcode.io/699396/" TargetMode="External"/><Relationship Id="rId819" Type="http://schemas.openxmlformats.org/officeDocument/2006/relationships/hyperlink" Target="https://repl.it/@FachriGhiffary/quis1" TargetMode="External"/><Relationship Id="rId818" Type="http://schemas.openxmlformats.org/officeDocument/2006/relationships/hyperlink" Target="https://drive.google.com/open?id=1LS4S3aCSuiXSSRdcQ8o74hrbN-QbqPcM" TargetMode="External"/><Relationship Id="rId817" Type="http://schemas.openxmlformats.org/officeDocument/2006/relationships/hyperlink" Target="https://repl.it/@eltirder0/Quiz1" TargetMode="External"/><Relationship Id="rId816" Type="http://schemas.openxmlformats.org/officeDocument/2006/relationships/hyperlink" Target="https://drive.google.com/open?id=1ZX40BFhAEQZX4c9KfO3-gouu9qp3XWCI" TargetMode="External"/><Relationship Id="rId811" Type="http://schemas.openxmlformats.org/officeDocument/2006/relationships/hyperlink" Target="https://repl.it/@bronya96/Q1" TargetMode="External"/><Relationship Id="rId810" Type="http://schemas.openxmlformats.org/officeDocument/2006/relationships/hyperlink" Target="https://repl.it/@AnandaMuhammad/quiz-1" TargetMode="External"/><Relationship Id="rId815" Type="http://schemas.openxmlformats.org/officeDocument/2006/relationships/hyperlink" Target="https://playcode.io/699997/" TargetMode="External"/><Relationship Id="rId814" Type="http://schemas.openxmlformats.org/officeDocument/2006/relationships/hyperlink" Target="https://drive.google.com/open?id=1jMNy3LxAyVHBJw4Hyo1igTV2USY2kpA6" TargetMode="External"/><Relationship Id="rId813" Type="http://schemas.openxmlformats.org/officeDocument/2006/relationships/hyperlink" Target="https://repl.it/@woobwoofwolf/quiz" TargetMode="External"/><Relationship Id="rId812" Type="http://schemas.openxmlformats.org/officeDocument/2006/relationships/hyperlink" Target="https://drive.google.com/open?id=1j6ITwsaRpE5QqdqhvzNOVcouh89Q5Lce" TargetMode="External"/><Relationship Id="rId609" Type="http://schemas.openxmlformats.org/officeDocument/2006/relationships/hyperlink" Target="https://drive.google.com/file/d/11fyQpOy5avsBpCWY67Unsez7e6f62B8W/view?usp=sharing" TargetMode="External"/><Relationship Id="rId608" Type="http://schemas.openxmlformats.org/officeDocument/2006/relationships/hyperlink" Target="https://repl.it/@Ayuarmadani/reversePyramid" TargetMode="External"/><Relationship Id="rId607" Type="http://schemas.openxmlformats.org/officeDocument/2006/relationships/hyperlink" Target="https://drive.google.com/file/d/1FyusXCE23LvefyvK-RNlAlZq0vaJnIr6/view?usp=sharing" TargetMode="External"/><Relationship Id="rId849" Type="http://schemas.openxmlformats.org/officeDocument/2006/relationships/hyperlink" Target="https://playcode.io/702636/" TargetMode="External"/><Relationship Id="rId602" Type="http://schemas.openxmlformats.org/officeDocument/2006/relationships/hyperlink" Target="https://playcode.io/686506/" TargetMode="External"/><Relationship Id="rId844" Type="http://schemas.openxmlformats.org/officeDocument/2006/relationships/hyperlink" Target="https://drive.google.com/open?id=10mHUW_nhb3db_Q_fCyB-6MR1yTt0rB7T" TargetMode="External"/><Relationship Id="rId601" Type="http://schemas.openxmlformats.org/officeDocument/2006/relationships/hyperlink" Target="https://drive.google.com/open?id=18yI_rRPNLseabxxR6X6nQbF9843pcY-j" TargetMode="External"/><Relationship Id="rId843" Type="http://schemas.openxmlformats.org/officeDocument/2006/relationships/hyperlink" Target="https://repl.it/@eltirder0/Quiz2-1" TargetMode="External"/><Relationship Id="rId600" Type="http://schemas.openxmlformats.org/officeDocument/2006/relationships/hyperlink" Target="https://drive.google.com/file/d/1cpH5sALWVCqwN1MEjoqGw7lzUr7YSlhf/view?usp=sharing" TargetMode="External"/><Relationship Id="rId842" Type="http://schemas.openxmlformats.org/officeDocument/2006/relationships/hyperlink" Target="https://drive.google.com/open?id=1PQAFbHkWaGVxGrtAUiK10dBIT3fvuYNE" TargetMode="External"/><Relationship Id="rId841" Type="http://schemas.openxmlformats.org/officeDocument/2006/relationships/hyperlink" Target="https://repl.it/@FachriGhiffary/quis2" TargetMode="External"/><Relationship Id="rId606" Type="http://schemas.openxmlformats.org/officeDocument/2006/relationships/hyperlink" Target="https://repl.it/@herenacreative/reverse-pyramid" TargetMode="External"/><Relationship Id="rId848" Type="http://schemas.openxmlformats.org/officeDocument/2006/relationships/hyperlink" Target="https://drive.google.com/file/d/1UXlxZnKyijMoCWqlU6HHPwvJAqK2rUwP/view?usp=sharing" TargetMode="External"/><Relationship Id="rId605" Type="http://schemas.openxmlformats.org/officeDocument/2006/relationships/hyperlink" Target="https://drive.google.com/drive/folders/1QBa27d6tku0YgEW1QO8QXTBLttY7j3uo" TargetMode="External"/><Relationship Id="rId847" Type="http://schemas.openxmlformats.org/officeDocument/2006/relationships/hyperlink" Target="https://repl.it/@AnandaMuhammad/ViolentKnowingTrapezoid" TargetMode="External"/><Relationship Id="rId604" Type="http://schemas.openxmlformats.org/officeDocument/2006/relationships/hyperlink" Target="https://repl.it/repls/ImpossibleTechnicalDisks" TargetMode="External"/><Relationship Id="rId846" Type="http://schemas.openxmlformats.org/officeDocument/2006/relationships/hyperlink" Target="https://drive.google.com/open?id=1Pj1TwR0HF9qxj6sDoOWwh0ycu_oU--Oz" TargetMode="External"/><Relationship Id="rId603" Type="http://schemas.openxmlformats.org/officeDocument/2006/relationships/hyperlink" Target="https://drive.google.com/file/d/1QrJDXQp2vhZmNQ2uWdkLhzDOOZSr6Slu/view?usp=sharing" TargetMode="External"/><Relationship Id="rId845" Type="http://schemas.openxmlformats.org/officeDocument/2006/relationships/hyperlink" Target="https://repl.it/@Akbarzulfikar98/quiz2" TargetMode="External"/><Relationship Id="rId840" Type="http://schemas.openxmlformats.org/officeDocument/2006/relationships/hyperlink" Target="https://drive.google.com/open?id=1rDk4MQdFQDbWWIl0h7_HNet3J_cekWy5" TargetMode="External"/><Relationship Id="rId839" Type="http://schemas.openxmlformats.org/officeDocument/2006/relationships/hyperlink" Target="https://repl.it/@hendrasolih/quiz2" TargetMode="External"/><Relationship Id="rId838" Type="http://schemas.openxmlformats.org/officeDocument/2006/relationships/hyperlink" Target="https://drive.google.com/open?id=13b_leWvfXfZiPCX5VM2LOq5x6PgTEKCe" TargetMode="External"/><Relationship Id="rId833" Type="http://schemas.openxmlformats.org/officeDocument/2006/relationships/hyperlink" Target="https://repl.it/@mabdip/quiz2" TargetMode="External"/><Relationship Id="rId832" Type="http://schemas.openxmlformats.org/officeDocument/2006/relationships/hyperlink" Target="https://drive.google.com/open?id=1tE2eXAAws4LgCK0MxXkviF4jWtPedO-s" TargetMode="External"/><Relationship Id="rId831" Type="http://schemas.openxmlformats.org/officeDocument/2006/relationships/hyperlink" Target="https://repl.it/@shhb0420/ARK1" TargetMode="External"/><Relationship Id="rId830" Type="http://schemas.openxmlformats.org/officeDocument/2006/relationships/hyperlink" Target="https://drive.google.com/open?id=1cqpseFuKku7qEmug3Taw9Kkf5qdi95XL" TargetMode="External"/><Relationship Id="rId837" Type="http://schemas.openxmlformats.org/officeDocument/2006/relationships/hyperlink" Target="https://repl.it/@woobwoofwolf/quiz2" TargetMode="External"/><Relationship Id="rId836" Type="http://schemas.openxmlformats.org/officeDocument/2006/relationships/hyperlink" Target="https://drive.google.com/drive/folders/1BeMXOsRMWltVk4ss6YG8im4r8tB72oX_?usp=sharing" TargetMode="External"/><Relationship Id="rId835" Type="http://schemas.openxmlformats.org/officeDocument/2006/relationships/hyperlink" Target="https://repl.it/@bronya96/Q2" TargetMode="External"/><Relationship Id="rId834" Type="http://schemas.openxmlformats.org/officeDocument/2006/relationships/hyperlink" Target="https://drive.google.com/drive/folders/1PaVKUXLnhD9Y7TweTp923tQzMcu6w2tS?usp=sharing" TargetMode="External"/><Relationship Id="rId228" Type="http://schemas.openxmlformats.org/officeDocument/2006/relationships/hyperlink" Target="https://repl.it/@prioarief/arkwh6" TargetMode="External"/><Relationship Id="rId227" Type="http://schemas.openxmlformats.org/officeDocument/2006/relationships/hyperlink" Target="http://playcode.io/643264/" TargetMode="External"/><Relationship Id="rId469" Type="http://schemas.openxmlformats.org/officeDocument/2006/relationships/hyperlink" Target="https://repl.it/@Wazieer/quizWeekly" TargetMode="External"/><Relationship Id="rId226" Type="http://schemas.openxmlformats.org/officeDocument/2006/relationships/hyperlink" Target="https://playcode.io/643274/" TargetMode="External"/><Relationship Id="rId468" Type="http://schemas.openxmlformats.org/officeDocument/2006/relationships/hyperlink" Target="https://drive.google.com/drive/folders/1s3u-IBBP2MP0LwlO2RZDKJshVqG6GLmO?usp=sharing" TargetMode="External"/><Relationship Id="rId225" Type="http://schemas.openxmlformats.org/officeDocument/2006/relationships/hyperlink" Target="https://playcode.io/643284/" TargetMode="External"/><Relationship Id="rId467" Type="http://schemas.openxmlformats.org/officeDocument/2006/relationships/hyperlink" Target="https://repl.it/@rezhamaulana/quiz" TargetMode="External"/><Relationship Id="rId229" Type="http://schemas.openxmlformats.org/officeDocument/2006/relationships/hyperlink" Target="https://repl.it/@DimasMokodompit/Weekly-Quiz-6" TargetMode="External"/><Relationship Id="rId220" Type="http://schemas.openxmlformats.org/officeDocument/2006/relationships/hyperlink" Target="https://docs.google.com/document/d/1_VqDq_gEUKQmBCl-IB7_hJHqj_UNNNv_ebpGbloXPzM/edit?usp=sharing" TargetMode="External"/><Relationship Id="rId462" Type="http://schemas.openxmlformats.org/officeDocument/2006/relationships/hyperlink" Target="https://drive.google.com/drive/folders/14f_ktL52ouQgf7CYUOwJiAN4BZ1IkAGZ?fbclid=IwAR1PQhAwNI_H3_nRxGa66d5c1uBZjXCKHJxU2OD2NskTxta_AMaivQfm-gs" TargetMode="External"/><Relationship Id="rId461" Type="http://schemas.openxmlformats.org/officeDocument/2006/relationships/hyperlink" Target="https://repl.it/join/zvsqmahr-fahmiazis" TargetMode="External"/><Relationship Id="rId460" Type="http://schemas.openxmlformats.org/officeDocument/2006/relationships/hyperlink" Target="https://drive.google.com/file/d/1q2QscxuQd7uv4soM80cwOeF1gpBpimf6/view?usp=sharing" TargetMode="External"/><Relationship Id="rId224" Type="http://schemas.openxmlformats.org/officeDocument/2006/relationships/hyperlink" Target="https://playcode.io/643272/" TargetMode="External"/><Relationship Id="rId466" Type="http://schemas.openxmlformats.org/officeDocument/2006/relationships/hyperlink" Target="https://drive.google.com/drive/folders/1ZTqDRBl3SyzNFRBgzDUdVag8wlWu5Pji?usp=sharing" TargetMode="External"/><Relationship Id="rId223" Type="http://schemas.openxmlformats.org/officeDocument/2006/relationships/hyperlink" Target="https://playcode.io/643265" TargetMode="External"/><Relationship Id="rId465" Type="http://schemas.openxmlformats.org/officeDocument/2006/relationships/hyperlink" Target="https://repl.it/join/faaukygt-wramadan7" TargetMode="External"/><Relationship Id="rId222" Type="http://schemas.openxmlformats.org/officeDocument/2006/relationships/hyperlink" Target="https://drive.google.com/file/d/1rGXirif8UXrvOBU1f7BhZcAIxnKFouJ8/view?usp=sharing" TargetMode="External"/><Relationship Id="rId464" Type="http://schemas.openxmlformats.org/officeDocument/2006/relationships/hyperlink" Target="https://drive.google.com/drive/folders/1VnFKu2BUx9GIyvGmnAyyPEyNfk9EbrMZ?usp=sharing" TargetMode="External"/><Relationship Id="rId221" Type="http://schemas.openxmlformats.org/officeDocument/2006/relationships/hyperlink" Target="http://playcode.io/643276/" TargetMode="External"/><Relationship Id="rId463" Type="http://schemas.openxmlformats.org/officeDocument/2006/relationships/hyperlink" Target="https://repl.it/@IqbalAthorid/quiz1" TargetMode="External"/><Relationship Id="rId217" Type="http://schemas.openxmlformats.org/officeDocument/2006/relationships/hyperlink" Target="https://playcode.io/643273" TargetMode="External"/><Relationship Id="rId459" Type="http://schemas.openxmlformats.org/officeDocument/2006/relationships/hyperlink" Target="https://repl.it/join/jhwungfv-pramestiregita" TargetMode="External"/><Relationship Id="rId216" Type="http://schemas.openxmlformats.org/officeDocument/2006/relationships/hyperlink" Target="https://repl.it/@MuhamadAdam/ARKWH6" TargetMode="External"/><Relationship Id="rId458" Type="http://schemas.openxmlformats.org/officeDocument/2006/relationships/hyperlink" Target="https://drive.google.com/file/d/1PguHOjrTSE_pbXdNlFwMl8zqOPgvgWSW/view?usp=sharing" TargetMode="External"/><Relationship Id="rId215" Type="http://schemas.openxmlformats.org/officeDocument/2006/relationships/hyperlink" Target="https://repl.it/@DimasMokodompit/Weekly-Quiz-5" TargetMode="External"/><Relationship Id="rId457" Type="http://schemas.openxmlformats.org/officeDocument/2006/relationships/hyperlink" Target="https://repl.it/join/qmqgdxtt-ahmadamam" TargetMode="External"/><Relationship Id="rId699" Type="http://schemas.openxmlformats.org/officeDocument/2006/relationships/hyperlink" Target="https://repl.it/@rezhamaulana/quiz3" TargetMode="External"/><Relationship Id="rId214" Type="http://schemas.openxmlformats.org/officeDocument/2006/relationships/hyperlink" Target="https://repl.it/join/mgrsmuew-knocknockguessw" TargetMode="External"/><Relationship Id="rId456" Type="http://schemas.openxmlformats.org/officeDocument/2006/relationships/hyperlink" Target="https://app.diagrams.net/" TargetMode="External"/><Relationship Id="rId698" Type="http://schemas.openxmlformats.org/officeDocument/2006/relationships/hyperlink" Target="https://drive.google.com/drive/folders/1UuvbgpUlYPvf2UYoIRkRBz5ZtzGFGAII?usp=sharing" TargetMode="External"/><Relationship Id="rId219" Type="http://schemas.openxmlformats.org/officeDocument/2006/relationships/hyperlink" Target="https://repl.it/@byasaa/Quiz-Weekly-6" TargetMode="External"/><Relationship Id="rId218" Type="http://schemas.openxmlformats.org/officeDocument/2006/relationships/hyperlink" Target="https://playcode.io/643269/" TargetMode="External"/><Relationship Id="rId451" Type="http://schemas.openxmlformats.org/officeDocument/2006/relationships/hyperlink" Target="https://repl.it/@mhdabdurasyid/Quiz" TargetMode="External"/><Relationship Id="rId693" Type="http://schemas.openxmlformats.org/officeDocument/2006/relationships/hyperlink" Target="https://playcode.io/688152/" TargetMode="External"/><Relationship Id="rId450" Type="http://schemas.openxmlformats.org/officeDocument/2006/relationships/hyperlink" Target="https://drive.google.com/drive/folders/1e7jzL5HQHqFNeY927pHF0-Cqwdaz55FF?usp=sharing" TargetMode="External"/><Relationship Id="rId692" Type="http://schemas.openxmlformats.org/officeDocument/2006/relationships/hyperlink" Target="https://drive.google.com/open?id=1zowD73c5BgEjiKAJOf9FOBYpt8o47W8o" TargetMode="External"/><Relationship Id="rId691" Type="http://schemas.openxmlformats.org/officeDocument/2006/relationships/hyperlink" Target="https://repl.it/@HasbiAK/Quizz" TargetMode="External"/><Relationship Id="rId690" Type="http://schemas.openxmlformats.org/officeDocument/2006/relationships/hyperlink" Target="https://drive.google.com/open?id=1WWCeqWfL5_xGh9dNo3W8NzU0KG8y1G-S" TargetMode="External"/><Relationship Id="rId213" Type="http://schemas.openxmlformats.org/officeDocument/2006/relationships/hyperlink" Target="https://repl.it/@danielwetan/Weekly-Quiz-5-Arkademy" TargetMode="External"/><Relationship Id="rId455" Type="http://schemas.openxmlformats.org/officeDocument/2006/relationships/hyperlink" Target="https://repl.it/@fchilmi/quiz" TargetMode="External"/><Relationship Id="rId697" Type="http://schemas.openxmlformats.org/officeDocument/2006/relationships/hyperlink" Target="https://repl.it/@asrofhy/ARKWH3" TargetMode="External"/><Relationship Id="rId212" Type="http://schemas.openxmlformats.org/officeDocument/2006/relationships/hyperlink" Target="https://playcode.io/639611" TargetMode="External"/><Relationship Id="rId454" Type="http://schemas.openxmlformats.org/officeDocument/2006/relationships/hyperlink" Target="https://drive.google.com/file/d/1HWKr43t1blj8vI83d3U5oLCLgACB6cr5/view?usp=sharing" TargetMode="External"/><Relationship Id="rId696" Type="http://schemas.openxmlformats.org/officeDocument/2006/relationships/hyperlink" Target="https://drive.google.com/file/d/1BYNGSZOMemldVydGSlRYfl8ZvFv89K0l/view?usp=sharing" TargetMode="External"/><Relationship Id="rId211" Type="http://schemas.openxmlformats.org/officeDocument/2006/relationships/hyperlink" Target="https://repl.it/@ParkD/Week-5" TargetMode="External"/><Relationship Id="rId453" Type="http://schemas.openxmlformats.org/officeDocument/2006/relationships/hyperlink" Target="https://repl.it/join/krcxvfbi-alkodrimuhfaris" TargetMode="External"/><Relationship Id="rId695" Type="http://schemas.openxmlformats.org/officeDocument/2006/relationships/hyperlink" Target="https://repl.it/@mhdabdurasyid/ARKWH3" TargetMode="External"/><Relationship Id="rId210" Type="http://schemas.openxmlformats.org/officeDocument/2006/relationships/hyperlink" Target="https://repl.it/@bgsilham/QuizWeek5-IlhamBagasSaputra" TargetMode="External"/><Relationship Id="rId452" Type="http://schemas.openxmlformats.org/officeDocument/2006/relationships/hyperlink" Target="https://drive.google.com/file/d/1XJbCtk_ru2TVSdRkayGYIiavu273_08q/view?usp=sharing" TargetMode="External"/><Relationship Id="rId694" Type="http://schemas.openxmlformats.org/officeDocument/2006/relationships/hyperlink" Target="https://repl.it/join/eucbefkg-capoy" TargetMode="External"/><Relationship Id="rId491" Type="http://schemas.openxmlformats.org/officeDocument/2006/relationships/hyperlink" Target="https://drive.google.com/open?id=1yW3-88dL2u2-XzDwCKxOBvUzwngYVsgu" TargetMode="External"/><Relationship Id="rId490" Type="http://schemas.openxmlformats.org/officeDocument/2006/relationships/hyperlink" Target="https://drive.google.com/file/d/1VQjBVD1I1bf_lJtEI0qK13cqKb57lG1N/view?usp=sharing" TargetMode="External"/><Relationship Id="rId249" Type="http://schemas.openxmlformats.org/officeDocument/2006/relationships/hyperlink" Target="https://repl.it/@byasaa/Weekly-Quiz-8-Arkademy" TargetMode="External"/><Relationship Id="rId248" Type="http://schemas.openxmlformats.org/officeDocument/2006/relationships/hyperlink" Target="https://repl.it/@ParkD/Week-8" TargetMode="External"/><Relationship Id="rId247" Type="http://schemas.openxmlformats.org/officeDocument/2006/relationships/hyperlink" Target="https://playcode.io/654200/" TargetMode="External"/><Relationship Id="rId489" Type="http://schemas.openxmlformats.org/officeDocument/2006/relationships/hyperlink" Target="https://repl.it/@dyaksanour/quizark" TargetMode="External"/><Relationship Id="rId242" Type="http://schemas.openxmlformats.org/officeDocument/2006/relationships/hyperlink" Target="https://repl.it/@ParkD/Week-7" TargetMode="External"/><Relationship Id="rId484" Type="http://schemas.openxmlformats.org/officeDocument/2006/relationships/hyperlink" Target="https://repl.it/@hnifmaghfur/KuisARKWH1" TargetMode="External"/><Relationship Id="rId241" Type="http://schemas.openxmlformats.org/officeDocument/2006/relationships/hyperlink" Target="https://repl.it/@MuhamadAdam/profit" TargetMode="External"/><Relationship Id="rId483" Type="http://schemas.openxmlformats.org/officeDocument/2006/relationships/hyperlink" Target="https://drive.google.com/open?id=1GJ28Si-L9LPPoO0cH68iI_i0ai5ji8Ng" TargetMode="External"/><Relationship Id="rId240" Type="http://schemas.openxmlformats.org/officeDocument/2006/relationships/hyperlink" Target="https://repl.it/@MuhamadAdam/profit" TargetMode="External"/><Relationship Id="rId482" Type="http://schemas.openxmlformats.org/officeDocument/2006/relationships/hyperlink" Target="https://drive.google.com/file/d/1ldbwIqqcIlAGblcDBnuo2HFjXzeaUtW6/view?usp=sharing" TargetMode="External"/><Relationship Id="rId481" Type="http://schemas.openxmlformats.org/officeDocument/2006/relationships/hyperlink" Target="https://repl.it/@Rifqi56/VerticalStarkKeyboard" TargetMode="External"/><Relationship Id="rId246" Type="http://schemas.openxmlformats.org/officeDocument/2006/relationships/hyperlink" Target="https://playcode.io/651028/" TargetMode="External"/><Relationship Id="rId488" Type="http://schemas.openxmlformats.org/officeDocument/2006/relationships/hyperlink" Target="https://drive.google.com/open?id=1aZplWtcHOCStECp7rvo9gR2r8BjVMpJf" TargetMode="External"/><Relationship Id="rId245" Type="http://schemas.openxmlformats.org/officeDocument/2006/relationships/hyperlink" Target="https://playcode.io/651050/" TargetMode="External"/><Relationship Id="rId487" Type="http://schemas.openxmlformats.org/officeDocument/2006/relationships/hyperlink" Target="https://drive.google.com/file/d/1x-qz2tEMOl2MzwAbhw1VvBM4nNWiK8BW/view?usp=sharing" TargetMode="External"/><Relationship Id="rId244" Type="http://schemas.openxmlformats.org/officeDocument/2006/relationships/hyperlink" Target="https://playcode.io/483065/" TargetMode="External"/><Relationship Id="rId486" Type="http://schemas.openxmlformats.org/officeDocument/2006/relationships/hyperlink" Target="https://repl.it/@rizkyagung18/CoolMulticoloredBoard" TargetMode="External"/><Relationship Id="rId243" Type="http://schemas.openxmlformats.org/officeDocument/2006/relationships/hyperlink" Target="https://repl.it/@gunturbudi16/ThankfulLightgrayPagerecognition" TargetMode="External"/><Relationship Id="rId485" Type="http://schemas.openxmlformats.org/officeDocument/2006/relationships/hyperlink" Target="https://drive.google.com/file/d/1EqURar19eadtR26hXeNzqggsBJqZoP4T/view?usp=sharing" TargetMode="External"/><Relationship Id="rId480" Type="http://schemas.openxmlformats.org/officeDocument/2006/relationships/hyperlink" Target="https://repl.it/join/jzokywgi-hamdanhamdani" TargetMode="External"/><Relationship Id="rId239" Type="http://schemas.openxmlformats.org/officeDocument/2006/relationships/hyperlink" Target="https://playcode.io/643268/" TargetMode="External"/><Relationship Id="rId238" Type="http://schemas.openxmlformats.org/officeDocument/2006/relationships/hyperlink" Target="https://playcode.io/643285/" TargetMode="External"/><Relationship Id="rId237" Type="http://schemas.openxmlformats.org/officeDocument/2006/relationships/hyperlink" Target="https://repl.it/@fajarpng/arkademy-quis-w6" TargetMode="External"/><Relationship Id="rId479" Type="http://schemas.openxmlformats.org/officeDocument/2006/relationships/hyperlink" Target="https://repl.it/repls/MajorIdleValue" TargetMode="External"/><Relationship Id="rId236" Type="http://schemas.openxmlformats.org/officeDocument/2006/relationships/hyperlink" Target="https://playcode.io/643271" TargetMode="External"/><Relationship Id="rId478" Type="http://schemas.openxmlformats.org/officeDocument/2006/relationships/hyperlink" Target="https://repl.it/@Friemorn/StarDiamond" TargetMode="External"/><Relationship Id="rId231" Type="http://schemas.openxmlformats.org/officeDocument/2006/relationships/hyperlink" Target="https://repl.it/@AdninRifandioff/Weekly-Quiz-Week-6" TargetMode="External"/><Relationship Id="rId473" Type="http://schemas.openxmlformats.org/officeDocument/2006/relationships/hyperlink" Target="https://repl.it/join/bsulbzka-coffeebreak" TargetMode="External"/><Relationship Id="rId230" Type="http://schemas.openxmlformats.org/officeDocument/2006/relationships/hyperlink" Target="https://repl.it/@luthfiwidya/QuizWeekly6" TargetMode="External"/><Relationship Id="rId472" Type="http://schemas.openxmlformats.org/officeDocument/2006/relationships/hyperlink" Target="https://repl.it/@cepguna/Quiz5" TargetMode="External"/><Relationship Id="rId471" Type="http://schemas.openxmlformats.org/officeDocument/2006/relationships/hyperlink" Target="https://repl.it/join/eoxqunyg-denycode" TargetMode="External"/><Relationship Id="rId470" Type="http://schemas.openxmlformats.org/officeDocument/2006/relationships/hyperlink" Target="https://repl.it/@SatrioNugroho/Arkafood" TargetMode="External"/><Relationship Id="rId235" Type="http://schemas.openxmlformats.org/officeDocument/2006/relationships/hyperlink" Target="https://playcode.io/643278/" TargetMode="External"/><Relationship Id="rId477" Type="http://schemas.openxmlformats.org/officeDocument/2006/relationships/hyperlink" Target="https://repl.it/@kemalreza/printDiamond" TargetMode="External"/><Relationship Id="rId234" Type="http://schemas.openxmlformats.org/officeDocument/2006/relationships/hyperlink" Target="https://playcode.io/643275/" TargetMode="External"/><Relationship Id="rId476" Type="http://schemas.openxmlformats.org/officeDocument/2006/relationships/hyperlink" Target="https://repl.it/@ReginaPutri/quiz" TargetMode="External"/><Relationship Id="rId233" Type="http://schemas.openxmlformats.org/officeDocument/2006/relationships/hyperlink" Target="https://repl.it/repls/SubduedInternalParallelport" TargetMode="External"/><Relationship Id="rId475" Type="http://schemas.openxmlformats.org/officeDocument/2006/relationships/hyperlink" Target="https://repl.it/@alanard/DiamondPaternjs" TargetMode="External"/><Relationship Id="rId232" Type="http://schemas.openxmlformats.org/officeDocument/2006/relationships/hyperlink" Target="https://repl.it/@danielwetan/Weekly-Quiz-6-Arkademy" TargetMode="External"/><Relationship Id="rId474" Type="http://schemas.openxmlformats.org/officeDocument/2006/relationships/hyperlink" Target="https://repl.it/@Arimahen8/Quiz5" TargetMode="External"/><Relationship Id="rId426" Type="http://schemas.openxmlformats.org/officeDocument/2006/relationships/hyperlink" Target="https://repl.it/@ardhikarn/Quiz-ARK" TargetMode="External"/><Relationship Id="rId668" Type="http://schemas.openxmlformats.org/officeDocument/2006/relationships/hyperlink" Target="https://drive.google.com/open?id=16a5moyaaZbrk1lDp8ToRO-6B-bZ52TRJ" TargetMode="External"/><Relationship Id="rId425" Type="http://schemas.openxmlformats.org/officeDocument/2006/relationships/hyperlink" Target="https://repl.it/repls/OrangeRedQueryplan" TargetMode="External"/><Relationship Id="rId667" Type="http://schemas.openxmlformats.org/officeDocument/2006/relationships/hyperlink" Target="https://repl.it/join/qjimogbe-faishalrmdhn" TargetMode="External"/><Relationship Id="rId424" Type="http://schemas.openxmlformats.org/officeDocument/2006/relationships/hyperlink" Target="https://drive.google.com/open?id=1Caq2N6-9WenSZVpCBG4hIivzeGDuIhfp" TargetMode="External"/><Relationship Id="rId666" Type="http://schemas.openxmlformats.org/officeDocument/2006/relationships/hyperlink" Target="https://drive.google.com/open?id=1jxOBTMDjTVSTkoNN2MSfnqsBsSJOfrOv" TargetMode="External"/><Relationship Id="rId423" Type="http://schemas.openxmlformats.org/officeDocument/2006/relationships/hyperlink" Target="https://drive.google.com/open?id=1V4PidmMggPOTUoumQMlp-_yBzrRMkGmO" TargetMode="External"/><Relationship Id="rId665" Type="http://schemas.openxmlformats.org/officeDocument/2006/relationships/hyperlink" Target="https://repl.it/@BagasAfrizal1/AutomaticRightInterface" TargetMode="External"/><Relationship Id="rId429" Type="http://schemas.openxmlformats.org/officeDocument/2006/relationships/hyperlink" Target="https://repl.it/join/dqdzubzc-capoy" TargetMode="External"/><Relationship Id="rId428" Type="http://schemas.openxmlformats.org/officeDocument/2006/relationships/hyperlink" Target="https://drive.google.com/open?id=1wNJwpfzPJXZf8R5pW5OovQNL_542Zq4A" TargetMode="External"/><Relationship Id="rId427" Type="http://schemas.openxmlformats.org/officeDocument/2006/relationships/hyperlink" Target="https://app.diagrams.net/" TargetMode="External"/><Relationship Id="rId669" Type="http://schemas.openxmlformats.org/officeDocument/2006/relationships/hyperlink" Target="https://playcode.io/688150/" TargetMode="External"/><Relationship Id="rId660" Type="http://schemas.openxmlformats.org/officeDocument/2006/relationships/hyperlink" Target="https://drive.google.com/open?id=1ehDmXfBCc-8us-gOCnzOeiXyCAqGVe7L" TargetMode="External"/><Relationship Id="rId422" Type="http://schemas.openxmlformats.org/officeDocument/2006/relationships/hyperlink" Target="https://repl.it/repls/MealyMidnightblueCommercialsoftware" TargetMode="External"/><Relationship Id="rId664" Type="http://schemas.openxmlformats.org/officeDocument/2006/relationships/hyperlink" Target="https://drive.google.com/open?id=1mAjT8s0UtKNqOJjguoCTS98Mfuj465hJ" TargetMode="External"/><Relationship Id="rId421" Type="http://schemas.openxmlformats.org/officeDocument/2006/relationships/hyperlink" Target="https://drive.google.com/open?id=10pED6CQcpc_ijUSVKEjyJo-lSF5HGXjo" TargetMode="External"/><Relationship Id="rId663" Type="http://schemas.openxmlformats.org/officeDocument/2006/relationships/hyperlink" Target="https://drive.google.com/file/d/1NGSmOmeP5ByVy1ImUAzXGc7IKYizmzAL/view?usp=sharing" TargetMode="External"/><Relationship Id="rId420" Type="http://schemas.openxmlformats.org/officeDocument/2006/relationships/hyperlink" Target="https://repl.it/@Faishalrmdhn/quiz-week-101" TargetMode="External"/><Relationship Id="rId662" Type="http://schemas.openxmlformats.org/officeDocument/2006/relationships/hyperlink" Target="https://repl.it/@GiriNurfauzan/Weekly-Quiz-4" TargetMode="External"/><Relationship Id="rId661" Type="http://schemas.openxmlformats.org/officeDocument/2006/relationships/hyperlink" Target="https://playcode.io/686616/" TargetMode="External"/><Relationship Id="rId415" Type="http://schemas.openxmlformats.org/officeDocument/2006/relationships/hyperlink" Target="https://drive.google.com/open?id=1Daydyp8Dpg8z7i5fyVs9wf_qIuMjAoSb" TargetMode="External"/><Relationship Id="rId657" Type="http://schemas.openxmlformats.org/officeDocument/2006/relationships/hyperlink" Target="https://drive.google.com/drive/folders/1zG2755OHTOAudNZ_ZWFTYN5ZfvVWh1oW?usp=sharing" TargetMode="External"/><Relationship Id="rId899" Type="http://schemas.openxmlformats.org/officeDocument/2006/relationships/hyperlink" Target="https://drive.google.com/open?id=1z_QmyyHbK_nwpwUz-5zX-RP73mzlsFWa" TargetMode="External"/><Relationship Id="rId414" Type="http://schemas.openxmlformats.org/officeDocument/2006/relationships/hyperlink" Target="https://repl.it/@galuhprahadi96/quis" TargetMode="External"/><Relationship Id="rId656" Type="http://schemas.openxmlformats.org/officeDocument/2006/relationships/hyperlink" Target="https://repl.it/@Wazieer/revesePyramid" TargetMode="External"/><Relationship Id="rId898" Type="http://schemas.openxmlformats.org/officeDocument/2006/relationships/hyperlink" Target="https://repl.it/@AndrawanErlang/QUIZ1" TargetMode="External"/><Relationship Id="rId413" Type="http://schemas.openxmlformats.org/officeDocument/2006/relationships/hyperlink" Target="https://drive.google.com/open?id=1KA7orwdfJUCEzo-AnDeHLZ5yKvDFECSR" TargetMode="External"/><Relationship Id="rId655" Type="http://schemas.openxmlformats.org/officeDocument/2006/relationships/hyperlink" Target="https://drive.google.com/drive/folders/1lP6_x5oDlKtU7Tg9RnKzL1vHoKZQbj08" TargetMode="External"/><Relationship Id="rId897" Type="http://schemas.openxmlformats.org/officeDocument/2006/relationships/hyperlink" Target="https://drive.google.com/open?id=1kETUTzHnZFvAzZDT0Cr07wKGiRLeqcnF" TargetMode="External"/><Relationship Id="rId412" Type="http://schemas.openxmlformats.org/officeDocument/2006/relationships/hyperlink" Target="https://playcode.io/676910/" TargetMode="External"/><Relationship Id="rId654" Type="http://schemas.openxmlformats.org/officeDocument/2006/relationships/hyperlink" Target="https://repl.it/@AhmadAmam/ARKWH2" TargetMode="External"/><Relationship Id="rId896" Type="http://schemas.openxmlformats.org/officeDocument/2006/relationships/hyperlink" Target="https://drive.google.com/file/d/1yTsW2TKYmY-wkEq1w5zLb1b0s8E8ot6e/view?usp=sharing" TargetMode="External"/><Relationship Id="rId419" Type="http://schemas.openxmlformats.org/officeDocument/2006/relationships/hyperlink" Target="https://drive.google.com/open?id=1BMWqAOouTy0Qlo--hJ4uKpueEtawrIov" TargetMode="External"/><Relationship Id="rId418" Type="http://schemas.openxmlformats.org/officeDocument/2006/relationships/hyperlink" Target="https://repl.it/@mhdnaldi/ARKWH1" TargetMode="External"/><Relationship Id="rId417" Type="http://schemas.openxmlformats.org/officeDocument/2006/relationships/hyperlink" Target="https://drive.google.com/open?id=1szb54I2t93EnYjqezN8GCbDjvo54FcU-" TargetMode="External"/><Relationship Id="rId659" Type="http://schemas.openxmlformats.org/officeDocument/2006/relationships/hyperlink" Target="https://drive.google.com/file/d/11BZqGjyEbBJtlVTQxnA5zMNLJ8sxQ793/view?usp=sharing" TargetMode="External"/><Relationship Id="rId416" Type="http://schemas.openxmlformats.org/officeDocument/2006/relationships/hyperlink" Target="https://repl.it/@muzmi1234/quizzz" TargetMode="External"/><Relationship Id="rId658" Type="http://schemas.openxmlformats.org/officeDocument/2006/relationships/hyperlink" Target="http://playcode.io/686607" TargetMode="External"/><Relationship Id="rId891" Type="http://schemas.openxmlformats.org/officeDocument/2006/relationships/hyperlink" Target="https://repl.it/@dherliansyah/kuis3-1" TargetMode="External"/><Relationship Id="rId890" Type="http://schemas.openxmlformats.org/officeDocument/2006/relationships/hyperlink" Target="https://repl.it/@drajat824/Quisss" TargetMode="External"/><Relationship Id="rId411" Type="http://schemas.openxmlformats.org/officeDocument/2006/relationships/hyperlink" Target="https://drive.google.com/open?id=1NyUCMj9Al_xoczLqTleF4rNadJQ-_uGO" TargetMode="External"/><Relationship Id="rId653" Type="http://schemas.openxmlformats.org/officeDocument/2006/relationships/hyperlink" Target="https://repl.it/@wramadan7/ARKWH2" TargetMode="External"/><Relationship Id="rId895" Type="http://schemas.openxmlformats.org/officeDocument/2006/relationships/hyperlink" Target="https://repl.it/@rolilaz47/sequenceMember" TargetMode="External"/><Relationship Id="rId410" Type="http://schemas.openxmlformats.org/officeDocument/2006/relationships/hyperlink" Target="https://drive.google.com/file/d/1JyACosl9YWi7cnfvKtfTlUSmOPWP57pO/view?usp=sharing" TargetMode="External"/><Relationship Id="rId652" Type="http://schemas.openxmlformats.org/officeDocument/2006/relationships/hyperlink" Target="https://drive.google.com/drive/folders/1H-r5j0xRDltiOZGAUgaKneTnZfwVbLIn?usp=sharing" TargetMode="External"/><Relationship Id="rId894" Type="http://schemas.openxmlformats.org/officeDocument/2006/relationships/hyperlink" Target="https://app.diagrams.net/" TargetMode="External"/><Relationship Id="rId651" Type="http://schemas.openxmlformats.org/officeDocument/2006/relationships/hyperlink" Target="https://repl.it/@asrofhy/ARKWH2" TargetMode="External"/><Relationship Id="rId893" Type="http://schemas.openxmlformats.org/officeDocument/2006/relationships/hyperlink" Target="https://repl.it/@herenacreative/kuis23nov" TargetMode="External"/><Relationship Id="rId650" Type="http://schemas.openxmlformats.org/officeDocument/2006/relationships/hyperlink" Target="https://drive.google.com/file/d/1givUgjGGcyAJDOLQjtdK13ytbnYf-Mb0/view?usp=sharing" TargetMode="External"/><Relationship Id="rId892" Type="http://schemas.openxmlformats.org/officeDocument/2006/relationships/hyperlink" Target="https://drive.google.com/file/d/1KkkXt1hJxLEQLAEfSnk8GsLuWoGa7cum/view?usp=sharing" TargetMode="External"/><Relationship Id="rId206" Type="http://schemas.openxmlformats.org/officeDocument/2006/relationships/hyperlink" Target="https://playcode.io/639578/" TargetMode="External"/><Relationship Id="rId448" Type="http://schemas.openxmlformats.org/officeDocument/2006/relationships/hyperlink" Target="https://playcode.io/677888/" TargetMode="External"/><Relationship Id="rId205" Type="http://schemas.openxmlformats.org/officeDocument/2006/relationships/hyperlink" Target="https://repl.it/@prioarief/ARKWH5" TargetMode="External"/><Relationship Id="rId447" Type="http://schemas.openxmlformats.org/officeDocument/2006/relationships/hyperlink" Target="https://playcode.io/677897" TargetMode="External"/><Relationship Id="rId689" Type="http://schemas.openxmlformats.org/officeDocument/2006/relationships/hyperlink" Target="https://playcode.io/688188" TargetMode="External"/><Relationship Id="rId204" Type="http://schemas.openxmlformats.org/officeDocument/2006/relationships/hyperlink" Target="https://repl.it/@ALIFKI/WeeklyQuiz5" TargetMode="External"/><Relationship Id="rId446" Type="http://schemas.openxmlformats.org/officeDocument/2006/relationships/hyperlink" Target="https://repl.it/@GustiAmelia/quiz-10" TargetMode="External"/><Relationship Id="rId688" Type="http://schemas.openxmlformats.org/officeDocument/2006/relationships/hyperlink" Target="https://drive.google.com/open?id=1Mg6OEHO6baNcmhdCAKRrAo4bYUssJV3N" TargetMode="External"/><Relationship Id="rId203" Type="http://schemas.openxmlformats.org/officeDocument/2006/relationships/hyperlink" Target="https://repl.it/@RinaLia/Quiz5" TargetMode="External"/><Relationship Id="rId445" Type="http://schemas.openxmlformats.org/officeDocument/2006/relationships/hyperlink" Target="https://repl.it/join/hzorxeen-yusupjunaedi" TargetMode="External"/><Relationship Id="rId687" Type="http://schemas.openxmlformats.org/officeDocument/2006/relationships/hyperlink" Target="https://drive.google.com/file/d/1scZYTbbT_SbtgbkJoJcA6CDM1UUw4HFS/view?usp=sharing" TargetMode="External"/><Relationship Id="rId209" Type="http://schemas.openxmlformats.org/officeDocument/2006/relationships/hyperlink" Target="https://playcode.io/639610/" TargetMode="External"/><Relationship Id="rId208" Type="http://schemas.openxmlformats.org/officeDocument/2006/relationships/hyperlink" Target="https://playcode.io/639579/" TargetMode="External"/><Relationship Id="rId207" Type="http://schemas.openxmlformats.org/officeDocument/2006/relationships/hyperlink" Target="https://playcode.io/639593/" TargetMode="External"/><Relationship Id="rId449" Type="http://schemas.openxmlformats.org/officeDocument/2006/relationships/hyperlink" Target="https://repl.it/@asrofhy/arkFood" TargetMode="External"/><Relationship Id="rId440" Type="http://schemas.openxmlformats.org/officeDocument/2006/relationships/hyperlink" Target="https://playcode.io/677895/" TargetMode="External"/><Relationship Id="rId682" Type="http://schemas.openxmlformats.org/officeDocument/2006/relationships/hyperlink" Target="https://repl.it/@muzmi1234/quiz-last" TargetMode="External"/><Relationship Id="rId681" Type="http://schemas.openxmlformats.org/officeDocument/2006/relationships/hyperlink" Target="https://repl.it/@mhdnaldi/Quiz-find-shoes" TargetMode="External"/><Relationship Id="rId680" Type="http://schemas.openxmlformats.org/officeDocument/2006/relationships/hyperlink" Target="https://drive.google.com/open?id=13ND7iF4Ir856oeyNys61QJ_36ZUDRDRU" TargetMode="External"/><Relationship Id="rId202" Type="http://schemas.openxmlformats.org/officeDocument/2006/relationships/hyperlink" Target="https://repl.it/@byasaa/Arkademy-Weekly-Quiz-5" TargetMode="External"/><Relationship Id="rId444" Type="http://schemas.openxmlformats.org/officeDocument/2006/relationships/hyperlink" Target="https://playcode.io/677872/" TargetMode="External"/><Relationship Id="rId686" Type="http://schemas.openxmlformats.org/officeDocument/2006/relationships/hyperlink" Target="https://repl.it/@nurhiday/MiniatureWellmadeLight" TargetMode="External"/><Relationship Id="rId201" Type="http://schemas.openxmlformats.org/officeDocument/2006/relationships/hyperlink" Target="https://repl.it/@fajarpng/arkademy-quis-w5" TargetMode="External"/><Relationship Id="rId443" Type="http://schemas.openxmlformats.org/officeDocument/2006/relationships/hyperlink" Target="https://playcode.io/677877" TargetMode="External"/><Relationship Id="rId685" Type="http://schemas.openxmlformats.org/officeDocument/2006/relationships/hyperlink" Target="https://drive.google.com/open?id=1r0jK4_-xRZ72_1iN2N7MH95k4_hdw5St" TargetMode="External"/><Relationship Id="rId200" Type="http://schemas.openxmlformats.org/officeDocument/2006/relationships/hyperlink" Target="https://drive.google.com/file/d/1XHC4ocljhwKb5pQF1dDVa2vY948aqV2n/view?usp=sharing" TargetMode="External"/><Relationship Id="rId442" Type="http://schemas.openxmlformats.org/officeDocument/2006/relationships/hyperlink" Target="https://playcode.io/677879/" TargetMode="External"/><Relationship Id="rId684" Type="http://schemas.openxmlformats.org/officeDocument/2006/relationships/hyperlink" Target="https://repl.it/@iqbalstwan/Tugas-sepatu" TargetMode="External"/><Relationship Id="rId441" Type="http://schemas.openxmlformats.org/officeDocument/2006/relationships/hyperlink" Target="http://playcode.io/677893/" TargetMode="External"/><Relationship Id="rId683" Type="http://schemas.openxmlformats.org/officeDocument/2006/relationships/hyperlink" Target="https://drive.google.com/open?id=1TY3KNdU8eR5tCwOTrwOCTnOpiwPT2eGo" TargetMode="External"/><Relationship Id="rId437" Type="http://schemas.openxmlformats.org/officeDocument/2006/relationships/hyperlink" Target="https://repl.it/@nurhiday/quiz3" TargetMode="External"/><Relationship Id="rId679" Type="http://schemas.openxmlformats.org/officeDocument/2006/relationships/hyperlink" Target="https://drive.google.com/file/d/1CPpLTvZ99K412S1v4ngdgZxdifOQt6tC/view?usp=sharing" TargetMode="External"/><Relationship Id="rId436" Type="http://schemas.openxmlformats.org/officeDocument/2006/relationships/hyperlink" Target="https://drive.google.com/open?id=1REDX4HTpvpgIhPFN6Ng4g9_2QD0hrLnv" TargetMode="External"/><Relationship Id="rId678" Type="http://schemas.openxmlformats.org/officeDocument/2006/relationships/hyperlink" Target="https://playcode.io/688199" TargetMode="External"/><Relationship Id="rId435" Type="http://schemas.openxmlformats.org/officeDocument/2006/relationships/hyperlink" Target="https://drive.google.com/file/d/1GDacO4nVb0R1kXdqDObAStc7_PUVgsRR/view?usp=sharing" TargetMode="External"/><Relationship Id="rId677" Type="http://schemas.openxmlformats.org/officeDocument/2006/relationships/hyperlink" Target="https://drive.google.com/open?id=1qhyBgTLyzgF2mxgFdYL8T8Jl8TY7yKOq" TargetMode="External"/><Relationship Id="rId434" Type="http://schemas.openxmlformats.org/officeDocument/2006/relationships/hyperlink" Target="https://repl.it/join/zjqwxyjx-dimasprayoga" TargetMode="External"/><Relationship Id="rId676" Type="http://schemas.openxmlformats.org/officeDocument/2006/relationships/hyperlink" Target="https://drive.google.com/file/d/1Wh7Nd-rPoWuYxiWtq0VkDpb6PfBdJYVo/view?usp=sharing" TargetMode="External"/><Relationship Id="rId439" Type="http://schemas.openxmlformats.org/officeDocument/2006/relationships/hyperlink" Target="https://drive.google.com/open?id=11Uj0p_1hFfcxIbAwlzp_FZdaF78blx5m" TargetMode="External"/><Relationship Id="rId438" Type="http://schemas.openxmlformats.org/officeDocument/2006/relationships/hyperlink" Target="https://drive.google.com/file/d/1xr7K25Z0WeYAZZ7_2m36lDRAkrcJivKz/view?usp=sharing" TargetMode="External"/><Relationship Id="rId671" Type="http://schemas.openxmlformats.org/officeDocument/2006/relationships/hyperlink" Target="https://drive.google.com/open?id=1Lp7LiPMQZqvfKtlziw9QMfzO9Q9cLMk_" TargetMode="External"/><Relationship Id="rId670" Type="http://schemas.openxmlformats.org/officeDocument/2006/relationships/hyperlink" Target="https://drive.google.com/file/d/1PfrV22_fE9ZW_sZJ3makEldpn6UonzqA/view?usp=sharing" TargetMode="External"/><Relationship Id="rId433" Type="http://schemas.openxmlformats.org/officeDocument/2006/relationships/hyperlink" Target="https://drive.google.com/open?id=1cp2rnHapyRXsRIGDM-IqJhdGMfeixKP6" TargetMode="External"/><Relationship Id="rId675" Type="http://schemas.openxmlformats.org/officeDocument/2006/relationships/hyperlink" Target="https://repl.it/@ardhikarn/Quizzzz" TargetMode="External"/><Relationship Id="rId432" Type="http://schemas.openxmlformats.org/officeDocument/2006/relationships/hyperlink" Target="https://repl.it/@iqbalstwan/SpatialLeanCompilerbug" TargetMode="External"/><Relationship Id="rId674" Type="http://schemas.openxmlformats.org/officeDocument/2006/relationships/hyperlink" Target="https://drive.google.com/open?id=1hSlAzIgEQxr4p-4sOqB3rECf5FzEi8YZ" TargetMode="External"/><Relationship Id="rId431" Type="http://schemas.openxmlformats.org/officeDocument/2006/relationships/hyperlink" Target="https://drive.google.com/open?id=1dKZ0DSo-rr8ewJBwjpsxj9MSuyf97sTZ" TargetMode="External"/><Relationship Id="rId673" Type="http://schemas.openxmlformats.org/officeDocument/2006/relationships/hyperlink" Target="https://drive.google.com/file/d/1CC5Mm7GJituMnjXJ0v9bAwpdCU1tq_-5/view?usp=sharing" TargetMode="External"/><Relationship Id="rId430" Type="http://schemas.openxmlformats.org/officeDocument/2006/relationships/hyperlink" Target="https://drive.google.com/file/d/16jJxA_isIpMSynGtDgily9-rSBcvUfia/view?usp=sharing" TargetMode="External"/><Relationship Id="rId672" Type="http://schemas.openxmlformats.org/officeDocument/2006/relationships/hyperlink" Target="https://repl.it/repls/JadedEminentAt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6"/>
    <col customWidth="1" min="2" max="2" width="12.0"/>
    <col customWidth="1" min="3" max="3" width="21.43"/>
    <col customWidth="1" min="4" max="4" width="12.14"/>
    <col customWidth="1" min="5" max="5" width="55.29"/>
    <col customWidth="1" min="6" max="6" width="58.57"/>
    <col customWidth="1" min="7" max="7" width="90.29"/>
  </cols>
  <sheetData>
    <row r="1" ht="118.5" customHeight="1">
      <c r="A1" s="1"/>
      <c r="B1" s="1"/>
      <c r="D1" s="2"/>
      <c r="E1" s="2" t="str">
        <f>Image("http://drive.google.com/uc?export=view&amp;id=1FaA_3Q69Jqhy4eKhx3nHsWDEotelIhDv",1)</f>
        <v/>
      </c>
      <c r="F1" s="3"/>
      <c r="G1" s="3"/>
    </row>
    <row r="2">
      <c r="A2" s="1"/>
      <c r="B2" s="4" t="s">
        <v>0</v>
      </c>
      <c r="D2" s="3"/>
      <c r="E2" s="3"/>
      <c r="F2" s="3"/>
      <c r="G2" s="3"/>
    </row>
    <row r="3">
      <c r="A3" s="1"/>
      <c r="B3" s="5" t="s">
        <v>1</v>
      </c>
      <c r="D3" s="3"/>
      <c r="E3" s="3"/>
      <c r="F3" s="6"/>
      <c r="G3" s="3"/>
    </row>
    <row r="4">
      <c r="A4" s="7"/>
      <c r="B4" s="7" t="s">
        <v>2</v>
      </c>
      <c r="C4" s="8" t="s">
        <v>3</v>
      </c>
      <c r="D4" s="3"/>
      <c r="E4" s="3"/>
      <c r="F4" s="3"/>
      <c r="G4" s="3"/>
    </row>
    <row r="5">
      <c r="A5" s="9"/>
      <c r="B5" s="9" t="s">
        <v>4</v>
      </c>
      <c r="C5" s="10">
        <v>20.0</v>
      </c>
      <c r="D5" s="3"/>
      <c r="E5" s="3"/>
      <c r="F5" s="3"/>
      <c r="G5" s="3"/>
    </row>
    <row r="6">
      <c r="A6" s="9"/>
      <c r="B6" s="9" t="s">
        <v>5</v>
      </c>
      <c r="C6" s="10" t="s">
        <v>6</v>
      </c>
      <c r="D6" s="3"/>
      <c r="E6" s="3"/>
      <c r="F6" s="3"/>
      <c r="G6" s="3"/>
    </row>
    <row r="7">
      <c r="D7" s="3"/>
      <c r="E7" s="3"/>
      <c r="F7" s="3"/>
      <c r="G7" s="3"/>
    </row>
    <row r="8">
      <c r="D8" s="3"/>
      <c r="E8" s="3"/>
      <c r="F8" s="3"/>
      <c r="G8" s="3"/>
    </row>
    <row r="9">
      <c r="D9" s="3"/>
      <c r="E9" s="3"/>
      <c r="F9" s="3"/>
      <c r="G9" s="3"/>
    </row>
    <row r="10">
      <c r="D10" s="3"/>
      <c r="E10" s="3"/>
      <c r="F10" s="3"/>
      <c r="G10" s="3"/>
    </row>
    <row r="11">
      <c r="D11" s="3"/>
      <c r="E11" s="3"/>
      <c r="F11" s="3"/>
      <c r="G11" s="3"/>
    </row>
    <row r="12">
      <c r="D12" s="3"/>
      <c r="E12" s="3"/>
      <c r="F12" s="3"/>
      <c r="G12" s="3"/>
    </row>
    <row r="13">
      <c r="D13" s="3"/>
      <c r="E13" s="3"/>
      <c r="F13" s="3"/>
      <c r="G13" s="3"/>
    </row>
    <row r="14">
      <c r="D14" s="3"/>
      <c r="E14" s="3"/>
      <c r="F14" s="3"/>
      <c r="G14" s="3"/>
    </row>
    <row r="15">
      <c r="D15" s="3"/>
      <c r="E15" s="3"/>
      <c r="F15" s="3"/>
      <c r="G15" s="3"/>
    </row>
    <row r="16">
      <c r="D16" s="3"/>
      <c r="E16" s="3"/>
      <c r="F16" s="3"/>
      <c r="G16" s="3"/>
    </row>
    <row r="17">
      <c r="D17" s="3"/>
      <c r="E17" s="3"/>
      <c r="F17" s="3"/>
      <c r="G17" s="3"/>
    </row>
    <row r="18">
      <c r="D18" s="3"/>
      <c r="E18" s="3"/>
      <c r="F18" s="3"/>
      <c r="G18" s="3"/>
    </row>
    <row r="19">
      <c r="D19" s="3"/>
      <c r="E19" s="3"/>
      <c r="F19" s="3"/>
      <c r="G19" s="3"/>
    </row>
    <row r="20">
      <c r="D20" s="3"/>
      <c r="E20" s="3"/>
      <c r="F20" s="3"/>
      <c r="G20" s="3"/>
    </row>
    <row r="21">
      <c r="D21" s="3"/>
      <c r="E21" s="3"/>
      <c r="F21" s="3"/>
      <c r="G21" s="3"/>
    </row>
    <row r="22">
      <c r="A22" s="11"/>
      <c r="B22" s="12" t="s">
        <v>7</v>
      </c>
      <c r="C22" s="12" t="s">
        <v>8</v>
      </c>
      <c r="D22" s="13" t="s">
        <v>9</v>
      </c>
      <c r="E22" s="14" t="s">
        <v>10</v>
      </c>
      <c r="F22" s="14" t="s">
        <v>11</v>
      </c>
      <c r="G22" s="13" t="s">
        <v>12</v>
      </c>
    </row>
    <row r="23">
      <c r="A23" s="15"/>
      <c r="B23" s="16">
        <v>1.0</v>
      </c>
      <c r="C23" s="17">
        <f>IFERROR(__xludf.DUMMYFUNCTION("ARRAYFORMULA(VLOOKUP($B$3&amp;$C$5&amp;$C$6,{IMPORTRANGE(""https://docs.google.com/spreadsheets/d/1InAUV0Unn1qpvohFdwVwR-4diVZRnPNegt6ApYb3kgk"", ""NILAI!$A:$A"")&amp;IMPORTRANGE(""https://docs.google.com/spreadsheets/d/1InAUV0Unn1qpvohFdwVwR-4diVZRnPNegt6ApYb3kgk"","&amp;" ""NILAI!$B:$B"")&amp;IMPORTRANGE(""https://docs.google.com/spreadsheets/d/1InAUV0Unn1qpvohFdwVwR-4diVZRnPNegt6ApYb3kgk"", ""NILAI!$C:$C""), IMPORTRANGE(""https://docs.google.com/spreadsheets/d/1InAUV0Unn1qpvohFdwVwR-4diVZRnPNegt6ApYb3kgk"", ""NILAI!$E:$R"")}"&amp;",(B23+1), False))"),80.0)</f>
        <v>80</v>
      </c>
      <c r="D23" s="18" t="str">
        <f t="shared" ref="D23:D34" si="1">IF(C23 = "", "", IF(C23 &gt;= 95, "A+", IF(C23 &gt;= 90, "A", IF(C23 &gt;= 85, "B+", IF(C23 &gt;= 75, "B", IF(C23 &gt;= 60, "C", IF(C23 &gt;= 50, "D", "E")))))))</f>
        <v>B</v>
      </c>
      <c r="E23" s="19" t="str">
        <f>IFERROR(__xludf.DUMMYFUNCTION("ARRAYFORMULA(VLOOKUP($B$3&amp;$C$5&amp;$C$6,{IMPORTRANGE(""https://docs.google.com/spreadsheets/d/1InAUV0Unn1qpvohFdwVwR-4diVZRnPNegt6ApYb3kgk"", ""COMMENTS!$A:$A"")&amp;IMPORTRANGE(""https://docs.google.com/spreadsheets/d/1InAUV0Unn1qpvohFdwVwR-4diVZRnPNegt6ApYb3kgk"&amp;""", ""COMMENTS!$B:$B"")&amp;IMPORTRANGE(""https://docs.google.com/spreadsheets/d/1InAUV0Unn1qpvohFdwVwR-4diVZRnPNegt6ApYb3kgk"", ""COMMENTS!$C:$C""), IMPORTRANGE(""https://docs.google.com/spreadsheets/d/1InAUV0Unn1qpvohFdwVwR-4diVZRnPNegt6ApYb3kgk"", ""COMMEN"&amp;"TS!$E:$R"")},(B23+1), False))"),"Menggunakan approach yang berbeda secara manual. Good effort!")</f>
        <v>Menggunakan approach yang berbeda secara manual. Good effort!</v>
      </c>
      <c r="F23" s="20" t="s">
        <v>13</v>
      </c>
      <c r="G23" s="20" t="s">
        <v>13</v>
      </c>
    </row>
    <row r="24">
      <c r="A24" s="15"/>
      <c r="B24" s="16">
        <v>2.0</v>
      </c>
      <c r="C24" s="17" t="str">
        <f>IFERROR(__xludf.DUMMYFUNCTION("ARRAYFORMULA(VLOOKUP($B$3&amp;$C$5&amp;$C$6,{IMPORTRANGE(""https://docs.google.com/spreadsheets/d/1InAUV0Unn1qpvohFdwVwR-4diVZRnPNegt6ApYb3kgk"", ""NILAI!$A:$A"")&amp;IMPORTRANGE(""https://docs.google.com/spreadsheets/d/1InAUV0Unn1qpvohFdwVwR-4diVZRnPNegt6ApYb3kgk"","&amp;" ""NILAI!$B:$B"")&amp;IMPORTRANGE(""https://docs.google.com/spreadsheets/d/1InAUV0Unn1qpvohFdwVwR-4diVZRnPNegt6ApYb3kgk"", ""NILAI!$C:$C""), IMPORTRANGE(""https://docs.google.com/spreadsheets/d/1InAUV0Unn1qpvohFdwVwR-4diVZRnPNegt6ApYb3kgk"", ""NILAI!$E:$R"")}"&amp;",(B24+1), False))"),"")</f>
        <v/>
      </c>
      <c r="D24" s="18" t="str">
        <f t="shared" si="1"/>
        <v/>
      </c>
      <c r="E24" s="19" t="str">
        <f>IFERROR(__xludf.DUMMYFUNCTION("ARRAYFORMULA(VLOOKUP($B$3&amp;$C$5&amp;$C$6,{IMPORTRANGE(""https://docs.google.com/spreadsheets/d/1InAUV0Unn1qpvohFdwVwR-4diVZRnPNegt6ApYb3kgk"", ""COMMENTS!$A:$A"")&amp;IMPORTRANGE(""https://docs.google.com/spreadsheets/d/1InAUV0Unn1qpvohFdwVwR-4diVZRnPNegt6ApYb3kgk"&amp;""", ""COMMENTS!$B:$B"")&amp;IMPORTRANGE(""https://docs.google.com/spreadsheets/d/1InAUV0Unn1qpvohFdwVwR-4diVZRnPNegt6ApYb3kgk"", ""COMMENTS!$C:$C""), IMPORTRANGE(""https://docs.google.com/spreadsheets/d/1InAUV0Unn1qpvohFdwVwR-4diVZRnPNegt6ApYb3kgk"", ""COMMEN"&amp;"TS!$E:$R"")},(B24+1), False))"),"")</f>
        <v/>
      </c>
      <c r="F24" s="20" t="s">
        <v>13</v>
      </c>
      <c r="G24" s="20" t="s">
        <v>13</v>
      </c>
    </row>
    <row r="25">
      <c r="A25" s="15"/>
      <c r="B25" s="16">
        <v>3.0</v>
      </c>
      <c r="C25" s="17" t="str">
        <f>IFERROR(__xludf.DUMMYFUNCTION("ARRAYFORMULA(VLOOKUP($B$3&amp;$C$5&amp;$C$6,{IMPORTRANGE(""https://docs.google.com/spreadsheets/d/1InAUV0Unn1qpvohFdwVwR-4diVZRnPNegt6ApYb3kgk"", ""NILAI!$A:$A"")&amp;IMPORTRANGE(""https://docs.google.com/spreadsheets/d/1InAUV0Unn1qpvohFdwVwR-4diVZRnPNegt6ApYb3kgk"","&amp;" ""NILAI!$B:$B"")&amp;IMPORTRANGE(""https://docs.google.com/spreadsheets/d/1InAUV0Unn1qpvohFdwVwR-4diVZRnPNegt6ApYb3kgk"", ""NILAI!$C:$C""), IMPORTRANGE(""https://docs.google.com/spreadsheets/d/1InAUV0Unn1qpvohFdwVwR-4diVZRnPNegt6ApYb3kgk"", ""NILAI!$E:$R"")}"&amp;",(B25+1), False))"),"")</f>
        <v/>
      </c>
      <c r="D25" s="18" t="str">
        <f t="shared" si="1"/>
        <v/>
      </c>
      <c r="E25" s="19" t="str">
        <f>IFERROR(__xludf.DUMMYFUNCTION("ARRAYFORMULA(VLOOKUP($B$3&amp;$C$5&amp;$C$6,{IMPORTRANGE(""https://docs.google.com/spreadsheets/d/1InAUV0Unn1qpvohFdwVwR-4diVZRnPNegt6ApYb3kgk"", ""COMMENTS!$A:$A"")&amp;IMPORTRANGE(""https://docs.google.com/spreadsheets/d/1InAUV0Unn1qpvohFdwVwR-4diVZRnPNegt6ApYb3kgk"&amp;""", ""COMMENTS!$B:$B"")&amp;IMPORTRANGE(""https://docs.google.com/spreadsheets/d/1InAUV0Unn1qpvohFdwVwR-4diVZRnPNegt6ApYb3kgk"", ""COMMENTS!$C:$C""), IMPORTRANGE(""https://docs.google.com/spreadsheets/d/1InAUV0Unn1qpvohFdwVwR-4diVZRnPNegt6ApYb3kgk"", ""COMMEN"&amp;"TS!$E:$R"")},(B25+1), False))"),"")</f>
        <v/>
      </c>
      <c r="F25" s="19" t="str">
        <f>IFERROR(__xludf.DUMMYFUNCTION("ARRAYFORMULA(VLOOKUP($B$3&amp;$C$5&amp;$C$6,{IMPORTRANGE(""https://docs.google.com/spreadsheets/d/1InAUV0Unn1qpvohFdwVwR-4diVZRnPNegt6ApYb3kgk"", ""PERSONAL ASSESSMENT!$A:$A"")&amp;IMPORTRANGE(""https://docs.google.com/spreadsheets/d/1InAUV0Unn1qpvohFdwVwR-4diVZRnPNe"&amp;"gt6ApYb3kgk"", ""PERSONAL ASSESSMENT!$B:$B"")&amp;IMPORTRANGE(""https://docs.google.com/spreadsheets/d/1InAUV0Unn1qpvohFdwVwR-4diVZRnPNegt6ApYb3kgk"", ""PERSONAL ASSESSMENT!$C:$C""), IMPORTRANGE(""https://docs.google.com/spreadsheets/d/1InAUV0Unn1qpvohFdwVwR-"&amp;"4diVZRnPNegt6ApYb3kgk"", ""PERSONAL ASSESSMENT!$E:$R"")},B24, False))"),"#N/A")</f>
        <v>#N/A</v>
      </c>
      <c r="G25" s="19" t="str">
        <f>IFERROR(__xludf.DUMMYFUNCTION("ARRAYFORMULA(VLOOKUP($B$3&amp;$C$5&amp;$C$6,{IMPORTRANGE(""https://docs.google.com/spreadsheets/d/1InAUV0Unn1qpvohFdwVwR-4diVZRnPNegt6ApYb3kgk"", ""MISSING POINT!$A:$A"")&amp;IMPORTRANGE(""https://docs.google.com/spreadsheets/d/1InAUV0Unn1qpvohFdwVwR-4diVZRnPNegt6ApY"&amp;"b3kgk"", ""MISSING POINT!$B:$B"")&amp;IMPORTRANGE(""https://docs.google.com/spreadsheets/d/1InAUV0Unn1qpvohFdwVwR-4diVZRnPNegt6ApYb3kgk"", ""MISSING POINT!$C:$C""), IMPORTRANGE(""https://docs.google.com/spreadsheets/d/1InAUV0Unn1qpvohFdwVwR-4diVZRnPNegt6ApYb3"&amp;"kgk"", ""MISSING POINT!$E:$R"")},(B24), False))"),"#N/A")</f>
        <v>#N/A</v>
      </c>
    </row>
    <row r="26">
      <c r="A26" s="15"/>
      <c r="B26" s="16">
        <v>4.0</v>
      </c>
      <c r="C26" s="17" t="str">
        <f>IFERROR(__xludf.DUMMYFUNCTION("ARRAYFORMULA(VLOOKUP($B$3&amp;$C$5&amp;$C$6,{IMPORTRANGE(""https://docs.google.com/spreadsheets/d/1InAUV0Unn1qpvohFdwVwR-4diVZRnPNegt6ApYb3kgk"", ""NILAI!$A:$A"")&amp;IMPORTRANGE(""https://docs.google.com/spreadsheets/d/1InAUV0Unn1qpvohFdwVwR-4diVZRnPNegt6ApYb3kgk"","&amp;" ""NILAI!$B:$B"")&amp;IMPORTRANGE(""https://docs.google.com/spreadsheets/d/1InAUV0Unn1qpvohFdwVwR-4diVZRnPNegt6ApYb3kgk"", ""NILAI!$C:$C""), IMPORTRANGE(""https://docs.google.com/spreadsheets/d/1InAUV0Unn1qpvohFdwVwR-4diVZRnPNegt6ApYb3kgk"", ""NILAI!$E:$R"")}"&amp;",(B26+1), False))"),"")</f>
        <v/>
      </c>
      <c r="D26" s="18" t="str">
        <f t="shared" si="1"/>
        <v/>
      </c>
      <c r="E26" s="19" t="str">
        <f>IFERROR(__xludf.DUMMYFUNCTION("ARRAYFORMULA(VLOOKUP($B$3&amp;$C$5&amp;$C$6,{IMPORTRANGE(""https://docs.google.com/spreadsheets/d/1InAUV0Unn1qpvohFdwVwR-4diVZRnPNegt6ApYb3kgk"", ""COMMENTS!$A:$A"")&amp;IMPORTRANGE(""https://docs.google.com/spreadsheets/d/1InAUV0Unn1qpvohFdwVwR-4diVZRnPNegt6ApYb3kgk"&amp;""", ""COMMENTS!$B:$B"")&amp;IMPORTRANGE(""https://docs.google.com/spreadsheets/d/1InAUV0Unn1qpvohFdwVwR-4diVZRnPNegt6ApYb3kgk"", ""COMMENTS!$C:$C""), IMPORTRANGE(""https://docs.google.com/spreadsheets/d/1InAUV0Unn1qpvohFdwVwR-4diVZRnPNegt6ApYb3kgk"", ""COMMEN"&amp;"TS!$E:$R"")},(B26+1), False))"),"")</f>
        <v/>
      </c>
      <c r="F26" s="19" t="str">
        <f>IFERROR(__xludf.DUMMYFUNCTION("ARRAYFORMULA(VLOOKUP($B$3&amp;$C$5&amp;$C$6,{IMPORTRANGE(""https://docs.google.com/spreadsheets/d/1InAUV0Unn1qpvohFdwVwR-4diVZRnPNegt6ApYb3kgk"", ""PERSONAL ASSESSMENT!$A:$A"")&amp;IMPORTRANGE(""https://docs.google.com/spreadsheets/d/1InAUV0Unn1qpvohFdwVwR-4diVZRnPNe"&amp;"gt6ApYb3kgk"", ""PERSONAL ASSESSMENT!$B:$B"")&amp;IMPORTRANGE(""https://docs.google.com/spreadsheets/d/1InAUV0Unn1qpvohFdwVwR-4diVZRnPNegt6ApYb3kgk"", ""PERSONAL ASSESSMENT!$C:$C""), IMPORTRANGE(""https://docs.google.com/spreadsheets/d/1InAUV0Unn1qpvohFdwVwR-"&amp;"4diVZRnPNegt6ApYb3kgk"", ""PERSONAL ASSESSMENT!$E:$R"")},B25, False))"),"#N/A")</f>
        <v>#N/A</v>
      </c>
      <c r="G26" s="19" t="str">
        <f>IFERROR(__xludf.DUMMYFUNCTION("ARRAYFORMULA(VLOOKUP($B$3&amp;$C$5&amp;$C$6,{IMPORTRANGE(""https://docs.google.com/spreadsheets/d/1InAUV0Unn1qpvohFdwVwR-4diVZRnPNegt6ApYb3kgk"", ""MISSING POINT!$A:$A"")&amp;IMPORTRANGE(""https://docs.google.com/spreadsheets/d/1InAUV0Unn1qpvohFdwVwR-4diVZRnPNegt6ApY"&amp;"b3kgk"", ""MISSING POINT!$B:$B"")&amp;IMPORTRANGE(""https://docs.google.com/spreadsheets/d/1InAUV0Unn1qpvohFdwVwR-4diVZRnPNegt6ApYb3kgk"", ""MISSING POINT!$C:$C""), IMPORTRANGE(""https://docs.google.com/spreadsheets/d/1InAUV0Unn1qpvohFdwVwR-4diVZRnPNegt6ApYb3"&amp;"kgk"", ""MISSING POINT!$E:$R"")},(B25), False))"),"#N/A")</f>
        <v>#N/A</v>
      </c>
    </row>
    <row r="27">
      <c r="A27" s="15"/>
      <c r="B27" s="16">
        <v>5.0</v>
      </c>
      <c r="C27" s="17" t="str">
        <f>IFERROR(__xludf.DUMMYFUNCTION("ARRAYFORMULA(VLOOKUP($B$3&amp;$C$5&amp;$C$6,{IMPORTRANGE(""https://docs.google.com/spreadsheets/d/1InAUV0Unn1qpvohFdwVwR-4diVZRnPNegt6ApYb3kgk"", ""NILAI!$A:$A"")&amp;IMPORTRANGE(""https://docs.google.com/spreadsheets/d/1InAUV0Unn1qpvohFdwVwR-4diVZRnPNegt6ApYb3kgk"","&amp;" ""NILAI!$B:$B"")&amp;IMPORTRANGE(""https://docs.google.com/spreadsheets/d/1InAUV0Unn1qpvohFdwVwR-4diVZRnPNegt6ApYb3kgk"", ""NILAI!$C:$C""), IMPORTRANGE(""https://docs.google.com/spreadsheets/d/1InAUV0Unn1qpvohFdwVwR-4diVZRnPNegt6ApYb3kgk"", ""NILAI!$E:$R"")}"&amp;",(B27+1), False))"),"")</f>
        <v/>
      </c>
      <c r="D27" s="18" t="str">
        <f t="shared" si="1"/>
        <v/>
      </c>
      <c r="E27" s="19" t="str">
        <f>IFERROR(__xludf.DUMMYFUNCTION("ARRAYFORMULA(VLOOKUP($B$3&amp;$C$5&amp;$C$6,{IMPORTRANGE(""https://docs.google.com/spreadsheets/d/1InAUV0Unn1qpvohFdwVwR-4diVZRnPNegt6ApYb3kgk"", ""COMMENTS!$A:$A"")&amp;IMPORTRANGE(""https://docs.google.com/spreadsheets/d/1InAUV0Unn1qpvohFdwVwR-4diVZRnPNegt6ApYb3kgk"&amp;""", ""COMMENTS!$B:$B"")&amp;IMPORTRANGE(""https://docs.google.com/spreadsheets/d/1InAUV0Unn1qpvohFdwVwR-4diVZRnPNegt6ApYb3kgk"", ""COMMENTS!$C:$C""), IMPORTRANGE(""https://docs.google.com/spreadsheets/d/1InAUV0Unn1qpvohFdwVwR-4diVZRnPNegt6ApYb3kgk"", ""COMMEN"&amp;"TS!$E:$R"")},(B27+1), False))"),"")</f>
        <v/>
      </c>
      <c r="F27" s="19" t="str">
        <f>IFERROR(__xludf.DUMMYFUNCTION("ARRAYFORMULA(VLOOKUP($B$3&amp;$C$5&amp;$C$6,{IMPORTRANGE(""https://docs.google.com/spreadsheets/d/1InAUV0Unn1qpvohFdwVwR-4diVZRnPNegt6ApYb3kgk"", ""PERSONAL ASSESSMENT!$A:$A"")&amp;IMPORTRANGE(""https://docs.google.com/spreadsheets/d/1InAUV0Unn1qpvohFdwVwR-4diVZRnPNe"&amp;"gt6ApYb3kgk"", ""PERSONAL ASSESSMENT!$B:$B"")&amp;IMPORTRANGE(""https://docs.google.com/spreadsheets/d/1InAUV0Unn1qpvohFdwVwR-4diVZRnPNegt6ApYb3kgk"", ""PERSONAL ASSESSMENT!$C:$C""), IMPORTRANGE(""https://docs.google.com/spreadsheets/d/1InAUV0Unn1qpvohFdwVwR-"&amp;"4diVZRnPNegt6ApYb3kgk"", ""PERSONAL ASSESSMENT!$E:$R"")},B26, False))"),"#N/A")</f>
        <v>#N/A</v>
      </c>
      <c r="G27" s="19" t="str">
        <f>IFERROR(__xludf.DUMMYFUNCTION("ARRAYFORMULA(VLOOKUP($B$3&amp;$C$5&amp;$C$6,{IMPORTRANGE(""https://docs.google.com/spreadsheets/d/1InAUV0Unn1qpvohFdwVwR-4diVZRnPNegt6ApYb3kgk"", ""MISSING POINT!$A:$A"")&amp;IMPORTRANGE(""https://docs.google.com/spreadsheets/d/1InAUV0Unn1qpvohFdwVwR-4diVZRnPNegt6ApY"&amp;"b3kgk"", ""MISSING POINT!$B:$B"")&amp;IMPORTRANGE(""https://docs.google.com/spreadsheets/d/1InAUV0Unn1qpvohFdwVwR-4diVZRnPNegt6ApYb3kgk"", ""MISSING POINT!$C:$C""), IMPORTRANGE(""https://docs.google.com/spreadsheets/d/1InAUV0Unn1qpvohFdwVwR-4diVZRnPNegt6ApYb3"&amp;"kgk"", ""MISSING POINT!$E:$R"")},(B26), False))"),"#N/A")</f>
        <v>#N/A</v>
      </c>
    </row>
    <row r="28">
      <c r="A28" s="15"/>
      <c r="B28" s="16">
        <v>6.0</v>
      </c>
      <c r="C28" s="17" t="str">
        <f>IFERROR(__xludf.DUMMYFUNCTION("ARRAYFORMULA(VLOOKUP($B$3&amp;$C$5&amp;$C$6,{IMPORTRANGE(""https://docs.google.com/spreadsheets/d/1InAUV0Unn1qpvohFdwVwR-4diVZRnPNegt6ApYb3kgk"", ""NILAI!$A:$A"")&amp;IMPORTRANGE(""https://docs.google.com/spreadsheets/d/1InAUV0Unn1qpvohFdwVwR-4diVZRnPNegt6ApYb3kgk"","&amp;" ""NILAI!$B:$B"")&amp;IMPORTRANGE(""https://docs.google.com/spreadsheets/d/1InAUV0Unn1qpvohFdwVwR-4diVZRnPNegt6ApYb3kgk"", ""NILAI!$C:$C""), IMPORTRANGE(""https://docs.google.com/spreadsheets/d/1InAUV0Unn1qpvohFdwVwR-4diVZRnPNegt6ApYb3kgk"", ""NILAI!$E:$R"")}"&amp;",(B28+1), False))"),"")</f>
        <v/>
      </c>
      <c r="D28" s="18" t="str">
        <f t="shared" si="1"/>
        <v/>
      </c>
      <c r="E28" s="19" t="str">
        <f>IFERROR(__xludf.DUMMYFUNCTION("ARRAYFORMULA(VLOOKUP($B$3&amp;$C$5&amp;$C$6,{IMPORTRANGE(""https://docs.google.com/spreadsheets/d/1InAUV0Unn1qpvohFdwVwR-4diVZRnPNegt6ApYb3kgk"", ""COMMENTS!$A:$A"")&amp;IMPORTRANGE(""https://docs.google.com/spreadsheets/d/1InAUV0Unn1qpvohFdwVwR-4diVZRnPNegt6ApYb3kgk"&amp;""", ""COMMENTS!$B:$B"")&amp;IMPORTRANGE(""https://docs.google.com/spreadsheets/d/1InAUV0Unn1qpvohFdwVwR-4diVZRnPNegt6ApYb3kgk"", ""COMMENTS!$C:$C""), IMPORTRANGE(""https://docs.google.com/spreadsheets/d/1InAUV0Unn1qpvohFdwVwR-4diVZRnPNegt6ApYb3kgk"", ""COMMEN"&amp;"TS!$E:$R"")},(B28+1), False))"),"")</f>
        <v/>
      </c>
      <c r="F28" s="19" t="str">
        <f>IFERROR(__xludf.DUMMYFUNCTION("ARRAYFORMULA(VLOOKUP($B$3&amp;$C$5&amp;$C$6,{IMPORTRANGE(""https://docs.google.com/spreadsheets/d/1InAUV0Unn1qpvohFdwVwR-4diVZRnPNegt6ApYb3kgk"", ""PERSONAL ASSESSMENT!$A:$A"")&amp;IMPORTRANGE(""https://docs.google.com/spreadsheets/d/1InAUV0Unn1qpvohFdwVwR-4diVZRnPNe"&amp;"gt6ApYb3kgk"", ""PERSONAL ASSESSMENT!$B:$B"")&amp;IMPORTRANGE(""https://docs.google.com/spreadsheets/d/1InAUV0Unn1qpvohFdwVwR-4diVZRnPNegt6ApYb3kgk"", ""PERSONAL ASSESSMENT!$C:$C""), IMPORTRANGE(""https://docs.google.com/spreadsheets/d/1InAUV0Unn1qpvohFdwVwR-"&amp;"4diVZRnPNegt6ApYb3kgk"", ""PERSONAL ASSESSMENT!$E:$R"")},B27, False))"),"#N/A")</f>
        <v>#N/A</v>
      </c>
      <c r="G28" s="19" t="str">
        <f>IFERROR(__xludf.DUMMYFUNCTION("ARRAYFORMULA(VLOOKUP($B$3&amp;$C$5&amp;$C$6,{IMPORTRANGE(""https://docs.google.com/spreadsheets/d/1InAUV0Unn1qpvohFdwVwR-4diVZRnPNegt6ApYb3kgk"", ""MISSING POINT!$A:$A"")&amp;IMPORTRANGE(""https://docs.google.com/spreadsheets/d/1InAUV0Unn1qpvohFdwVwR-4diVZRnPNegt6ApY"&amp;"b3kgk"", ""MISSING POINT!$B:$B"")&amp;IMPORTRANGE(""https://docs.google.com/spreadsheets/d/1InAUV0Unn1qpvohFdwVwR-4diVZRnPNegt6ApYb3kgk"", ""MISSING POINT!$C:$C""), IMPORTRANGE(""https://docs.google.com/spreadsheets/d/1InAUV0Unn1qpvohFdwVwR-4diVZRnPNegt6ApYb3"&amp;"kgk"", ""MISSING POINT!$E:$R"")},(B27), False))"),"#N/A")</f>
        <v>#N/A</v>
      </c>
    </row>
    <row r="29">
      <c r="A29" s="15"/>
      <c r="B29" s="16">
        <v>7.0</v>
      </c>
      <c r="C29" s="17" t="str">
        <f>IFERROR(__xludf.DUMMYFUNCTION("ARRAYFORMULA(VLOOKUP($B$3&amp;$C$5&amp;$C$6,{IMPORTRANGE(""https://docs.google.com/spreadsheets/d/1InAUV0Unn1qpvohFdwVwR-4diVZRnPNegt6ApYb3kgk"", ""NILAI!$A:$A"")&amp;IMPORTRANGE(""https://docs.google.com/spreadsheets/d/1InAUV0Unn1qpvohFdwVwR-4diVZRnPNegt6ApYb3kgk"","&amp;" ""NILAI!$B:$B"")&amp;IMPORTRANGE(""https://docs.google.com/spreadsheets/d/1InAUV0Unn1qpvohFdwVwR-4diVZRnPNegt6ApYb3kgk"", ""NILAI!$C:$C""), IMPORTRANGE(""https://docs.google.com/spreadsheets/d/1InAUV0Unn1qpvohFdwVwR-4diVZRnPNegt6ApYb3kgk"", ""NILAI!$E:$R"")}"&amp;",(B29+1), False))"),"")</f>
        <v/>
      </c>
      <c r="D29" s="18" t="str">
        <f t="shared" si="1"/>
        <v/>
      </c>
      <c r="E29" s="19" t="str">
        <f>IFERROR(__xludf.DUMMYFUNCTION("ARRAYFORMULA(VLOOKUP($B$3&amp;$C$5&amp;$C$6,{IMPORTRANGE(""https://docs.google.com/spreadsheets/d/1InAUV0Unn1qpvohFdwVwR-4diVZRnPNegt6ApYb3kgk"", ""COMMENTS!$A:$A"")&amp;IMPORTRANGE(""https://docs.google.com/spreadsheets/d/1InAUV0Unn1qpvohFdwVwR-4diVZRnPNegt6ApYb3kgk"&amp;""", ""COMMENTS!$B:$B"")&amp;IMPORTRANGE(""https://docs.google.com/spreadsheets/d/1InAUV0Unn1qpvohFdwVwR-4diVZRnPNegt6ApYb3kgk"", ""COMMENTS!$C:$C""), IMPORTRANGE(""https://docs.google.com/spreadsheets/d/1InAUV0Unn1qpvohFdwVwR-4diVZRnPNegt6ApYb3kgk"", ""COMMEN"&amp;"TS!$E:$R"")},(B29+1), False))"),"")</f>
        <v/>
      </c>
      <c r="F29" s="19" t="str">
        <f>IFERROR(__xludf.DUMMYFUNCTION("ARRAYFORMULA(VLOOKUP($B$3&amp;$C$5&amp;$C$6,{IMPORTRANGE(""https://docs.google.com/spreadsheets/d/1InAUV0Unn1qpvohFdwVwR-4diVZRnPNegt6ApYb3kgk"", ""PERSONAL ASSESSMENT!$A:$A"")&amp;IMPORTRANGE(""https://docs.google.com/spreadsheets/d/1InAUV0Unn1qpvohFdwVwR-4diVZRnPNe"&amp;"gt6ApYb3kgk"", ""PERSONAL ASSESSMENT!$B:$B"")&amp;IMPORTRANGE(""https://docs.google.com/spreadsheets/d/1InAUV0Unn1qpvohFdwVwR-4diVZRnPNegt6ApYb3kgk"", ""PERSONAL ASSESSMENT!$C:$C""), IMPORTRANGE(""https://docs.google.com/spreadsheets/d/1InAUV0Unn1qpvohFdwVwR-"&amp;"4diVZRnPNegt6ApYb3kgk"", ""PERSONAL ASSESSMENT!$E:$R"")},B28, False))"),"#N/A")</f>
        <v>#N/A</v>
      </c>
      <c r="G29" s="19" t="str">
        <f>IFERROR(__xludf.DUMMYFUNCTION("ARRAYFORMULA(VLOOKUP($B$3&amp;$C$5&amp;$C$6,{IMPORTRANGE(""https://docs.google.com/spreadsheets/d/1InAUV0Unn1qpvohFdwVwR-4diVZRnPNegt6ApYb3kgk"", ""MISSING POINT!$A:$A"")&amp;IMPORTRANGE(""https://docs.google.com/spreadsheets/d/1InAUV0Unn1qpvohFdwVwR-4diVZRnPNegt6ApY"&amp;"b3kgk"", ""MISSING POINT!$B:$B"")&amp;IMPORTRANGE(""https://docs.google.com/spreadsheets/d/1InAUV0Unn1qpvohFdwVwR-4diVZRnPNegt6ApYb3kgk"", ""MISSING POINT!$C:$C""), IMPORTRANGE(""https://docs.google.com/spreadsheets/d/1InAUV0Unn1qpvohFdwVwR-4diVZRnPNegt6ApYb3"&amp;"kgk"", ""MISSING POINT!$E:$R"")},(B28), False))"),"#N/A")</f>
        <v>#N/A</v>
      </c>
    </row>
    <row r="30">
      <c r="A30" s="15"/>
      <c r="B30" s="16">
        <v>8.0</v>
      </c>
      <c r="C30" s="17" t="str">
        <f>IFERROR(__xludf.DUMMYFUNCTION("ARRAYFORMULA(VLOOKUP($B$3&amp;$C$5&amp;$C$6,{IMPORTRANGE(""https://docs.google.com/spreadsheets/d/1InAUV0Unn1qpvohFdwVwR-4diVZRnPNegt6ApYb3kgk"", ""NILAI!$A:$A"")&amp;IMPORTRANGE(""https://docs.google.com/spreadsheets/d/1InAUV0Unn1qpvohFdwVwR-4diVZRnPNegt6ApYb3kgk"","&amp;" ""NILAI!$B:$B"")&amp;IMPORTRANGE(""https://docs.google.com/spreadsheets/d/1InAUV0Unn1qpvohFdwVwR-4diVZRnPNegt6ApYb3kgk"", ""NILAI!$C:$C""), IMPORTRANGE(""https://docs.google.com/spreadsheets/d/1InAUV0Unn1qpvohFdwVwR-4diVZRnPNegt6ApYb3kgk"", ""NILAI!$E:$R"")}"&amp;",(B30+1), False))"),"")</f>
        <v/>
      </c>
      <c r="D30" s="18" t="str">
        <f t="shared" si="1"/>
        <v/>
      </c>
      <c r="E30" s="19" t="str">
        <f>IFERROR(__xludf.DUMMYFUNCTION("ARRAYFORMULA(VLOOKUP($B$3&amp;$C$5&amp;$C$6,{IMPORTRANGE(""https://docs.google.com/spreadsheets/d/1InAUV0Unn1qpvohFdwVwR-4diVZRnPNegt6ApYb3kgk"", ""COMMENTS!$A:$A"")&amp;IMPORTRANGE(""https://docs.google.com/spreadsheets/d/1InAUV0Unn1qpvohFdwVwR-4diVZRnPNegt6ApYb3kgk"&amp;""", ""COMMENTS!$B:$B"")&amp;IMPORTRANGE(""https://docs.google.com/spreadsheets/d/1InAUV0Unn1qpvohFdwVwR-4diVZRnPNegt6ApYb3kgk"", ""COMMENTS!$C:$C""), IMPORTRANGE(""https://docs.google.com/spreadsheets/d/1InAUV0Unn1qpvohFdwVwR-4diVZRnPNegt6ApYb3kgk"", ""COMMEN"&amp;"TS!$E:$R"")},(B30+1), False))"),"")</f>
        <v/>
      </c>
      <c r="F30" s="19" t="str">
        <f>IFERROR(__xludf.DUMMYFUNCTION("ARRAYFORMULA(VLOOKUP($B$3&amp;$C$5&amp;$C$6,{IMPORTRANGE(""https://docs.google.com/spreadsheets/d/1InAUV0Unn1qpvohFdwVwR-4diVZRnPNegt6ApYb3kgk"", ""PERSONAL ASSESSMENT!$A:$A"")&amp;IMPORTRANGE(""https://docs.google.com/spreadsheets/d/1InAUV0Unn1qpvohFdwVwR-4diVZRnPNe"&amp;"gt6ApYb3kgk"", ""PERSONAL ASSESSMENT!$B:$B"")&amp;IMPORTRANGE(""https://docs.google.com/spreadsheets/d/1InAUV0Unn1qpvohFdwVwR-4diVZRnPNegt6ApYb3kgk"", ""PERSONAL ASSESSMENT!$C:$C""), IMPORTRANGE(""https://docs.google.com/spreadsheets/d/1InAUV0Unn1qpvohFdwVwR-"&amp;"4diVZRnPNegt6ApYb3kgk"", ""PERSONAL ASSESSMENT!$E:$R"")},B29, False))"),"#N/A")</f>
        <v>#N/A</v>
      </c>
      <c r="G30" s="19" t="str">
        <f>IFERROR(__xludf.DUMMYFUNCTION("ARRAYFORMULA(VLOOKUP($B$3&amp;$C$5&amp;$C$6,{IMPORTRANGE(""https://docs.google.com/spreadsheets/d/1InAUV0Unn1qpvohFdwVwR-4diVZRnPNegt6ApYb3kgk"", ""MISSING POINT!$A:$A"")&amp;IMPORTRANGE(""https://docs.google.com/spreadsheets/d/1InAUV0Unn1qpvohFdwVwR-4diVZRnPNegt6ApY"&amp;"b3kgk"", ""MISSING POINT!$B:$B"")&amp;IMPORTRANGE(""https://docs.google.com/spreadsheets/d/1InAUV0Unn1qpvohFdwVwR-4diVZRnPNegt6ApYb3kgk"", ""MISSING POINT!$C:$C""), IMPORTRANGE(""https://docs.google.com/spreadsheets/d/1InAUV0Unn1qpvohFdwVwR-4diVZRnPNegt6ApYb3"&amp;"kgk"", ""MISSING POINT!$E:$R"")},(B29), False))"),"#N/A")</f>
        <v>#N/A</v>
      </c>
    </row>
    <row r="31">
      <c r="A31" s="15"/>
      <c r="B31" s="16">
        <v>9.0</v>
      </c>
      <c r="C31" s="17" t="str">
        <f>IFERROR(__xludf.DUMMYFUNCTION("ARRAYFORMULA(VLOOKUP($B$3&amp;$C$5&amp;$C$6,{IMPORTRANGE(""https://docs.google.com/spreadsheets/d/1InAUV0Unn1qpvohFdwVwR-4diVZRnPNegt6ApYb3kgk"", ""NILAI!$A:$A"")&amp;IMPORTRANGE(""https://docs.google.com/spreadsheets/d/1InAUV0Unn1qpvohFdwVwR-4diVZRnPNegt6ApYb3kgk"","&amp;" ""NILAI!$B:$B"")&amp;IMPORTRANGE(""https://docs.google.com/spreadsheets/d/1InAUV0Unn1qpvohFdwVwR-4diVZRnPNegt6ApYb3kgk"", ""NILAI!$C:$C""), IMPORTRANGE(""https://docs.google.com/spreadsheets/d/1InAUV0Unn1qpvohFdwVwR-4diVZRnPNegt6ApYb3kgk"", ""NILAI!$E:$R"")}"&amp;",(B31+1), False))"),"")</f>
        <v/>
      </c>
      <c r="D31" s="18" t="str">
        <f t="shared" si="1"/>
        <v/>
      </c>
      <c r="E31" s="19" t="str">
        <f>IFERROR(__xludf.DUMMYFUNCTION("ARRAYFORMULA(VLOOKUP($B$3&amp;$C$5&amp;$C$6,{IMPORTRANGE(""https://docs.google.com/spreadsheets/d/1InAUV0Unn1qpvohFdwVwR-4diVZRnPNegt6ApYb3kgk"", ""COMMENTS!$A:$A"")&amp;IMPORTRANGE(""https://docs.google.com/spreadsheets/d/1InAUV0Unn1qpvohFdwVwR-4diVZRnPNegt6ApYb3kgk"&amp;""", ""COMMENTS!$B:$B"")&amp;IMPORTRANGE(""https://docs.google.com/spreadsheets/d/1InAUV0Unn1qpvohFdwVwR-4diVZRnPNegt6ApYb3kgk"", ""COMMENTS!$C:$C""), IMPORTRANGE(""https://docs.google.com/spreadsheets/d/1InAUV0Unn1qpvohFdwVwR-4diVZRnPNegt6ApYb3kgk"", ""COMMEN"&amp;"TS!$E:$R"")},(B31+1), False))"),"")</f>
        <v/>
      </c>
      <c r="F31" s="19" t="str">
        <f>IFERROR(__xludf.DUMMYFUNCTION("ARRAYFORMULA(VLOOKUP($B$3&amp;$C$5&amp;$C$6,{IMPORTRANGE(""https://docs.google.com/spreadsheets/d/1InAUV0Unn1qpvohFdwVwR-4diVZRnPNegt6ApYb3kgk"", ""PERSONAL ASSESSMENT!$A:$A"")&amp;IMPORTRANGE(""https://docs.google.com/spreadsheets/d/1InAUV0Unn1qpvohFdwVwR-4diVZRnPNe"&amp;"gt6ApYb3kgk"", ""PERSONAL ASSESSMENT!$B:$B"")&amp;IMPORTRANGE(""https://docs.google.com/spreadsheets/d/1InAUV0Unn1qpvohFdwVwR-4diVZRnPNegt6ApYb3kgk"", ""PERSONAL ASSESSMENT!$C:$C""), IMPORTRANGE(""https://docs.google.com/spreadsheets/d/1InAUV0Unn1qpvohFdwVwR-"&amp;"4diVZRnPNegt6ApYb3kgk"", ""PERSONAL ASSESSMENT!$E:$R"")},B30, False))"),"#N/A")</f>
        <v>#N/A</v>
      </c>
      <c r="G31" s="19" t="str">
        <f>IFERROR(__xludf.DUMMYFUNCTION("ARRAYFORMULA(VLOOKUP($B$3&amp;$C$5&amp;$C$6,{IMPORTRANGE(""https://docs.google.com/spreadsheets/d/1InAUV0Unn1qpvohFdwVwR-4diVZRnPNegt6ApYb3kgk"", ""MISSING POINT!$A:$A"")&amp;IMPORTRANGE(""https://docs.google.com/spreadsheets/d/1InAUV0Unn1qpvohFdwVwR-4diVZRnPNegt6ApY"&amp;"b3kgk"", ""MISSING POINT!$B:$B"")&amp;IMPORTRANGE(""https://docs.google.com/spreadsheets/d/1InAUV0Unn1qpvohFdwVwR-4diVZRnPNegt6ApYb3kgk"", ""MISSING POINT!$C:$C""), IMPORTRANGE(""https://docs.google.com/spreadsheets/d/1InAUV0Unn1qpvohFdwVwR-4diVZRnPNegt6ApYb3"&amp;"kgk"", ""MISSING POINT!$E:$R"")},(B30), False))"),"#N/A")</f>
        <v>#N/A</v>
      </c>
    </row>
    <row r="32">
      <c r="A32" s="15"/>
      <c r="B32" s="16">
        <v>10.0</v>
      </c>
      <c r="C32" s="17" t="str">
        <f>IFERROR(__xludf.DUMMYFUNCTION("ARRAYFORMULA(VLOOKUP($B$3&amp;$C$5&amp;$C$6,{IMPORTRANGE(""https://docs.google.com/spreadsheets/d/1InAUV0Unn1qpvohFdwVwR-4diVZRnPNegt6ApYb3kgk"", ""NILAI!$A:$A"")&amp;IMPORTRANGE(""https://docs.google.com/spreadsheets/d/1InAUV0Unn1qpvohFdwVwR-4diVZRnPNegt6ApYb3kgk"","&amp;" ""NILAI!$B:$B"")&amp;IMPORTRANGE(""https://docs.google.com/spreadsheets/d/1InAUV0Unn1qpvohFdwVwR-4diVZRnPNegt6ApYb3kgk"", ""NILAI!$C:$C""), IMPORTRANGE(""https://docs.google.com/spreadsheets/d/1InAUV0Unn1qpvohFdwVwR-4diVZRnPNegt6ApYb3kgk"", ""NILAI!$E:$R"")}"&amp;",(B32+1), False))"),"")</f>
        <v/>
      </c>
      <c r="D32" s="18" t="str">
        <f t="shared" si="1"/>
        <v/>
      </c>
      <c r="E32" s="19" t="str">
        <f>IFERROR(__xludf.DUMMYFUNCTION("ARRAYFORMULA(VLOOKUP($B$3&amp;$C$5&amp;$C$6,{IMPORTRANGE(""https://docs.google.com/spreadsheets/d/1InAUV0Unn1qpvohFdwVwR-4diVZRnPNegt6ApYb3kgk"", ""COMMENTS!$A:$A"")&amp;IMPORTRANGE(""https://docs.google.com/spreadsheets/d/1InAUV0Unn1qpvohFdwVwR-4diVZRnPNegt6ApYb3kgk"&amp;""", ""COMMENTS!$B:$B"")&amp;IMPORTRANGE(""https://docs.google.com/spreadsheets/d/1InAUV0Unn1qpvohFdwVwR-4diVZRnPNegt6ApYb3kgk"", ""COMMENTS!$C:$C""), IMPORTRANGE(""https://docs.google.com/spreadsheets/d/1InAUV0Unn1qpvohFdwVwR-4diVZRnPNegt6ApYb3kgk"", ""COMMEN"&amp;"TS!$E:$R"")},(B32+1), False))"),"")</f>
        <v/>
      </c>
      <c r="F32" s="19" t="str">
        <f>IFERROR(__xludf.DUMMYFUNCTION("ARRAYFORMULA(VLOOKUP($B$3&amp;$C$5&amp;$C$6,{IMPORTRANGE(""https://docs.google.com/spreadsheets/d/1InAUV0Unn1qpvohFdwVwR-4diVZRnPNegt6ApYb3kgk"", ""PERSONAL ASSESSMENT!$A:$A"")&amp;IMPORTRANGE(""https://docs.google.com/spreadsheets/d/1InAUV0Unn1qpvohFdwVwR-4diVZRnPNe"&amp;"gt6ApYb3kgk"", ""PERSONAL ASSESSMENT!$B:$B"")&amp;IMPORTRANGE(""https://docs.google.com/spreadsheets/d/1InAUV0Unn1qpvohFdwVwR-4diVZRnPNegt6ApYb3kgk"", ""PERSONAL ASSESSMENT!$C:$C""), IMPORTRANGE(""https://docs.google.com/spreadsheets/d/1InAUV0Unn1qpvohFdwVwR-"&amp;"4diVZRnPNegt6ApYb3kgk"", ""PERSONAL ASSESSMENT!$E:$R"")},B31, False))"),"#N/A")</f>
        <v>#N/A</v>
      </c>
      <c r="G32" s="19" t="str">
        <f>IFERROR(__xludf.DUMMYFUNCTION("ARRAYFORMULA(VLOOKUP($B$3&amp;$C$5&amp;$C$6,{IMPORTRANGE(""https://docs.google.com/spreadsheets/d/1InAUV0Unn1qpvohFdwVwR-4diVZRnPNegt6ApYb3kgk"", ""MISSING POINT!$A:$A"")&amp;IMPORTRANGE(""https://docs.google.com/spreadsheets/d/1InAUV0Unn1qpvohFdwVwR-4diVZRnPNegt6ApY"&amp;"b3kgk"", ""MISSING POINT!$B:$B"")&amp;IMPORTRANGE(""https://docs.google.com/spreadsheets/d/1InAUV0Unn1qpvohFdwVwR-4diVZRnPNegt6ApYb3kgk"", ""MISSING POINT!$C:$C""), IMPORTRANGE(""https://docs.google.com/spreadsheets/d/1InAUV0Unn1qpvohFdwVwR-4diVZRnPNegt6ApYb3"&amp;"kgk"", ""MISSING POINT!$E:$R"")},(B31), False))"),"#N/A")</f>
        <v>#N/A</v>
      </c>
    </row>
    <row r="33">
      <c r="A33" s="15"/>
      <c r="B33" s="16">
        <v>11.0</v>
      </c>
      <c r="C33" s="17" t="str">
        <f>IFERROR(__xludf.DUMMYFUNCTION("ARRAYFORMULA(VLOOKUP($B$3&amp;$C$5&amp;$C$6,{IMPORTRANGE(""https://docs.google.com/spreadsheets/d/1InAUV0Unn1qpvohFdwVwR-4diVZRnPNegt6ApYb3kgk"", ""NILAI!$A:$A"")&amp;IMPORTRANGE(""https://docs.google.com/spreadsheets/d/1InAUV0Unn1qpvohFdwVwR-4diVZRnPNegt6ApYb3kgk"","&amp;" ""NILAI!$B:$B"")&amp;IMPORTRANGE(""https://docs.google.com/spreadsheets/d/1InAUV0Unn1qpvohFdwVwR-4diVZRnPNegt6ApYb3kgk"", ""NILAI!$C:$C""), IMPORTRANGE(""https://docs.google.com/spreadsheets/d/1InAUV0Unn1qpvohFdwVwR-4diVZRnPNegt6ApYb3kgk"", ""NILAI!$E:$R"")}"&amp;",(B33+1), False))"),"")</f>
        <v/>
      </c>
      <c r="D33" s="18" t="str">
        <f t="shared" si="1"/>
        <v/>
      </c>
      <c r="E33" s="19" t="str">
        <f>IFERROR(__xludf.DUMMYFUNCTION("ARRAYFORMULA(VLOOKUP($B$3&amp;$C$5&amp;$C$6,{IMPORTRANGE(""https://docs.google.com/spreadsheets/d/1InAUV0Unn1qpvohFdwVwR-4diVZRnPNegt6ApYb3kgk"", ""COMMENTS!$A:$A"")&amp;IMPORTRANGE(""https://docs.google.com/spreadsheets/d/1InAUV0Unn1qpvohFdwVwR-4diVZRnPNegt6ApYb3kgk"&amp;""", ""COMMENTS!$B:$B"")&amp;IMPORTRANGE(""https://docs.google.com/spreadsheets/d/1InAUV0Unn1qpvohFdwVwR-4diVZRnPNegt6ApYb3kgk"", ""COMMENTS!$C:$C""), IMPORTRANGE(""https://docs.google.com/spreadsheets/d/1InAUV0Unn1qpvohFdwVwR-4diVZRnPNegt6ApYb3kgk"", ""COMMEN"&amp;"TS!$E:$R"")},(B33+1), False))"),"")</f>
        <v/>
      </c>
      <c r="F33" s="19" t="str">
        <f>IFERROR(__xludf.DUMMYFUNCTION("ARRAYFORMULA(VLOOKUP($B$3&amp;$C$5&amp;$C$6,{IMPORTRANGE(""https://docs.google.com/spreadsheets/d/1InAUV0Unn1qpvohFdwVwR-4diVZRnPNegt6ApYb3kgk"", ""PERSONAL ASSESSMENT!$A:$A"")&amp;IMPORTRANGE(""https://docs.google.com/spreadsheets/d/1InAUV0Unn1qpvohFdwVwR-4diVZRnPNe"&amp;"gt6ApYb3kgk"", ""PERSONAL ASSESSMENT!$B:$B"")&amp;IMPORTRANGE(""https://docs.google.com/spreadsheets/d/1InAUV0Unn1qpvohFdwVwR-4diVZRnPNegt6ApYb3kgk"", ""PERSONAL ASSESSMENT!$C:$C""), IMPORTRANGE(""https://docs.google.com/spreadsheets/d/1InAUV0Unn1qpvohFdwVwR-"&amp;"4diVZRnPNegt6ApYb3kgk"", ""PERSONAL ASSESSMENT!$E:$R"")},B32, False))"),"#N/A")</f>
        <v>#N/A</v>
      </c>
      <c r="G33" s="19" t="str">
        <f>IFERROR(__xludf.DUMMYFUNCTION("ARRAYFORMULA(VLOOKUP($B$3&amp;$C$5&amp;$C$6,{IMPORTRANGE(""https://docs.google.com/spreadsheets/d/1InAUV0Unn1qpvohFdwVwR-4diVZRnPNegt6ApYb3kgk"", ""MISSING POINT!$A:$A"")&amp;IMPORTRANGE(""https://docs.google.com/spreadsheets/d/1InAUV0Unn1qpvohFdwVwR-4diVZRnPNegt6ApY"&amp;"b3kgk"", ""MISSING POINT!$B:$B"")&amp;IMPORTRANGE(""https://docs.google.com/spreadsheets/d/1InAUV0Unn1qpvohFdwVwR-4diVZRnPNegt6ApYb3kgk"", ""MISSING POINT!$C:$C""), IMPORTRANGE(""https://docs.google.com/spreadsheets/d/1InAUV0Unn1qpvohFdwVwR-4diVZRnPNegt6ApYb3"&amp;"kgk"", ""MISSING POINT!$E:$R"")},(B32), False))"),"#N/A")</f>
        <v>#N/A</v>
      </c>
    </row>
    <row r="34">
      <c r="A34" s="15"/>
      <c r="B34" s="16">
        <v>12.0</v>
      </c>
      <c r="C34" s="17" t="str">
        <f>IFERROR(__xludf.DUMMYFUNCTION("ARRAYFORMULA(VLOOKUP($B$3&amp;$C$5&amp;$C$6,{IMPORTRANGE(""https://docs.google.com/spreadsheets/d/1InAUV0Unn1qpvohFdwVwR-4diVZRnPNegt6ApYb3kgk"", ""NILAI!$A:$A"")&amp;IMPORTRANGE(""https://docs.google.com/spreadsheets/d/1InAUV0Unn1qpvohFdwVwR-4diVZRnPNegt6ApYb3kgk"","&amp;" ""NILAI!$B:$B"")&amp;IMPORTRANGE(""https://docs.google.com/spreadsheets/d/1InAUV0Unn1qpvohFdwVwR-4diVZRnPNegt6ApYb3kgk"", ""NILAI!$C:$C""), IMPORTRANGE(""https://docs.google.com/spreadsheets/d/1InAUV0Unn1qpvohFdwVwR-4diVZRnPNegt6ApYb3kgk"", ""NILAI!$E:$R"")}"&amp;",(B34+1), False))"),"")</f>
        <v/>
      </c>
      <c r="D34" s="18" t="str">
        <f t="shared" si="1"/>
        <v/>
      </c>
      <c r="E34" s="19" t="str">
        <f>IFERROR(__xludf.DUMMYFUNCTION("ARRAYFORMULA(VLOOKUP($B$3&amp;$C$5&amp;$C$6,{IMPORTRANGE(""https://docs.google.com/spreadsheets/d/1InAUV0Unn1qpvohFdwVwR-4diVZRnPNegt6ApYb3kgk"", ""COMMENTS!$A:$A"")&amp;IMPORTRANGE(""https://docs.google.com/spreadsheets/d/1InAUV0Unn1qpvohFdwVwR-4diVZRnPNegt6ApYb3kgk"&amp;""", ""COMMENTS!$B:$B"")&amp;IMPORTRANGE(""https://docs.google.com/spreadsheets/d/1InAUV0Unn1qpvohFdwVwR-4diVZRnPNegt6ApYb3kgk"", ""COMMENTS!$C:$C""), IMPORTRANGE(""https://docs.google.com/spreadsheets/d/1InAUV0Unn1qpvohFdwVwR-4diVZRnPNegt6ApYb3kgk"", ""COMMEN"&amp;"TS!$E:$R"")},(B34+1), False))"),"")</f>
        <v/>
      </c>
      <c r="F34" s="19" t="str">
        <f>IFERROR(__xludf.DUMMYFUNCTION("ARRAYFORMULA(VLOOKUP($B$3&amp;$C$5&amp;$C$6,{IMPORTRANGE(""https://docs.google.com/spreadsheets/d/1InAUV0Unn1qpvohFdwVwR-4diVZRnPNegt6ApYb3kgk"", ""PERSONAL ASSESSMENT!$A:$A"")&amp;IMPORTRANGE(""https://docs.google.com/spreadsheets/d/1InAUV0Unn1qpvohFdwVwR-4diVZRnPNe"&amp;"gt6ApYb3kgk"", ""PERSONAL ASSESSMENT!$B:$B"")&amp;IMPORTRANGE(""https://docs.google.com/spreadsheets/d/1InAUV0Unn1qpvohFdwVwR-4diVZRnPNegt6ApYb3kgk"", ""PERSONAL ASSESSMENT!$C:$C""), IMPORTRANGE(""https://docs.google.com/spreadsheets/d/1InAUV0Unn1qpvohFdwVwR-"&amp;"4diVZRnPNegt6ApYb3kgk"", ""PERSONAL ASSESSMENT!$E:$R"")},B33, False))"),"#N/A")</f>
        <v>#N/A</v>
      </c>
      <c r="G34" s="19" t="str">
        <f>IFERROR(__xludf.DUMMYFUNCTION("ARRAYFORMULA(VLOOKUP($B$3&amp;$C$5&amp;$C$6,{IMPORTRANGE(""https://docs.google.com/spreadsheets/d/1InAUV0Unn1qpvohFdwVwR-4diVZRnPNegt6ApYb3kgk"", ""MISSING POINT!$A:$A"")&amp;IMPORTRANGE(""https://docs.google.com/spreadsheets/d/1InAUV0Unn1qpvohFdwVwR-4diVZRnPNegt6ApY"&amp;"b3kgk"", ""MISSING POINT!$B:$B"")&amp;IMPORTRANGE(""https://docs.google.com/spreadsheets/d/1InAUV0Unn1qpvohFdwVwR-4diVZRnPNegt6ApYb3kgk"", ""MISSING POINT!$C:$C""), IMPORTRANGE(""https://docs.google.com/spreadsheets/d/1InAUV0Unn1qpvohFdwVwR-4diVZRnPNegt6ApYb3"&amp;"kgk"", ""MISSING POINT!$E:$R"")},(B33), False))"),"#N/A")</f>
        <v>#N/A</v>
      </c>
    </row>
    <row r="35">
      <c r="B35" s="21" t="s">
        <v>14</v>
      </c>
      <c r="C35" s="22">
        <f>AVERAGE(C23:C34)</f>
        <v>80</v>
      </c>
      <c r="D35" s="3"/>
      <c r="E35" s="3"/>
      <c r="F35" s="3"/>
      <c r="G35" s="3"/>
    </row>
    <row r="36">
      <c r="B36" s="23" t="s">
        <v>15</v>
      </c>
      <c r="C36" s="24" t="str">
        <f>IF(C35 &gt;= 95, "A+", IF(C35 &gt;= 90, "A", IF(C35 &gt;= 85, "B+", IF(C35 &gt;= 75, "B", IF(C35 &gt;= 60, "C", IF(C35 &gt;= 50, "D", "E"))))))</f>
        <v>B</v>
      </c>
      <c r="D36" s="25"/>
      <c r="E36" s="26"/>
      <c r="F36" s="3"/>
      <c r="G36" s="3"/>
    </row>
    <row r="37">
      <c r="B37" s="27" t="s">
        <v>16</v>
      </c>
      <c r="C37" s="27"/>
      <c r="D37" s="28"/>
      <c r="E37" s="28"/>
      <c r="F37" s="29"/>
      <c r="G37" s="29"/>
    </row>
    <row r="38">
      <c r="C38" s="30"/>
      <c r="D38" s="3"/>
      <c r="E38" s="3"/>
      <c r="F38" s="3"/>
      <c r="G38" s="3"/>
    </row>
  </sheetData>
  <conditionalFormatting sqref="C23:C35">
    <cfRule type="colorScale" priority="1">
      <colorScale>
        <cfvo type="formula" val="0"/>
        <cfvo type="formula" val="75"/>
        <color rgb="FFFF0000"/>
        <color rgb="FFFFFFFF"/>
      </colorScale>
    </cfRule>
  </conditionalFormatting>
  <conditionalFormatting sqref="D23:D34 C36">
    <cfRule type="cellIs" dxfId="0" priority="2" operator="equal">
      <formula>"C"</formula>
    </cfRule>
  </conditionalFormatting>
  <conditionalFormatting sqref="D23:D34 C36">
    <cfRule type="cellIs" dxfId="1" priority="3" operator="equal">
      <formula>"D"</formula>
    </cfRule>
  </conditionalFormatting>
  <conditionalFormatting sqref="D23:D34 C36">
    <cfRule type="cellIs" dxfId="2" priority="4" operator="equal">
      <formula>"E"</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3" width="12.43"/>
    <col customWidth="1" min="4" max="6" width="57.57"/>
  </cols>
  <sheetData>
    <row r="1">
      <c r="D1" s="3"/>
      <c r="E1" s="3"/>
      <c r="F1" s="3"/>
    </row>
    <row r="2">
      <c r="B2" s="4" t="s">
        <v>17</v>
      </c>
      <c r="D2" s="3"/>
      <c r="E2" s="3"/>
      <c r="F2" s="3"/>
    </row>
    <row r="3">
      <c r="B3" s="5" t="s">
        <v>1</v>
      </c>
      <c r="D3" s="3"/>
      <c r="E3" s="3"/>
      <c r="F3" s="3"/>
    </row>
    <row r="4">
      <c r="B4" s="7" t="s">
        <v>2</v>
      </c>
      <c r="C4" s="8" t="s">
        <v>3</v>
      </c>
      <c r="D4" s="3"/>
      <c r="E4" s="26"/>
      <c r="F4" s="3"/>
    </row>
    <row r="5">
      <c r="B5" s="9" t="s">
        <v>4</v>
      </c>
      <c r="C5" s="10">
        <v>20.0</v>
      </c>
      <c r="D5" s="3"/>
      <c r="E5" s="3"/>
      <c r="F5" s="3"/>
    </row>
    <row r="6">
      <c r="B6" s="9" t="s">
        <v>5</v>
      </c>
      <c r="C6" s="10" t="s">
        <v>6</v>
      </c>
      <c r="D6" s="3"/>
      <c r="E6" s="3"/>
      <c r="F6" s="3"/>
    </row>
    <row r="7">
      <c r="D7" s="3"/>
      <c r="E7" s="3"/>
      <c r="F7" s="3"/>
    </row>
    <row r="8">
      <c r="B8" s="31" t="s">
        <v>18</v>
      </c>
      <c r="C8" s="32" t="s">
        <v>19</v>
      </c>
      <c r="D8" s="32" t="s">
        <v>20</v>
      </c>
      <c r="E8" s="32" t="s">
        <v>21</v>
      </c>
      <c r="F8" s="32" t="s">
        <v>22</v>
      </c>
    </row>
    <row r="9">
      <c r="B9" s="33">
        <v>1.0</v>
      </c>
      <c r="C9" s="34" t="str">
        <f t="array" ref="C9">IFERROR(INDEX('ALL DAILY STANDUP'!C$2:C$700,SMALL(IF('ALL DAILY STANDUP'!$B$2:$B$700=$B$3,ROW('ALL DAILY STANDUP'!$B$2:$B$700)-ROW(INDEX('ALL DAILY STANDUP'!$B$2:$B$700,1,1))+1),$B9)), "")</f>
        <v/>
      </c>
      <c r="D9" s="35" t="str">
        <f t="array" ref="D9">IFERROR(INDEX('ALL DAILY STANDUP'!D$2:D$700,SMALL(IF('ALL DAILY STANDUP'!$B$2:$B$700=$B$3,ROW('ALL DAILY STANDUP'!$B$2:$B$700)-ROW(INDEX('ALL DAILY STANDUP'!$B$2:$B$700,1,1))+1),$B9)), "")</f>
        <v/>
      </c>
      <c r="E9" s="35" t="str">
        <f t="array" ref="E9">IFERROR(INDEX('ALL DAILY STANDUP'!E$2:E$700,SMALL(IF('ALL DAILY STANDUP'!$B$2:$B$700=$B$3,ROW('ALL DAILY STANDUP'!$B$2:$B$700)-ROW(INDEX('ALL DAILY STANDUP'!$B$2:$B$700,1,1))+1),$B9)), "")</f>
        <v/>
      </c>
      <c r="F9" s="35" t="str">
        <f t="array" ref="F9">IFERROR(INDEX('ALL DAILY STANDUP'!F$2:F$700,SMALL(IF('ALL DAILY STANDUP'!$B$2:$B$700=$B$3,ROW('ALL DAILY STANDUP'!$B$2:$B$700)-ROW(INDEX('ALL DAILY STANDUP'!$B$2:$B$700,1,1))+1),$B9)), "")</f>
        <v/>
      </c>
    </row>
    <row r="10">
      <c r="B10" s="36">
        <v>2.0</v>
      </c>
      <c r="C10" s="34" t="str">
        <f t="array" ref="C10">IFERROR(INDEX('ALL DAILY STANDUP'!C$2:C$700,SMALL(IF('ALL DAILY STANDUP'!$B$2:$B$700=$B$3,ROW('ALL DAILY STANDUP'!$B$2:$B$700)-ROW(INDEX('ALL DAILY STANDUP'!$B$2:$B$700,1,1))+1),$B10)), "")</f>
        <v/>
      </c>
      <c r="D10" s="35" t="str">
        <f t="array" ref="D10">IFERROR(INDEX('ALL DAILY STANDUP'!D$2:D$700,SMALL(IF('ALL DAILY STANDUP'!$B$2:$B$700=$B$3,ROW('ALL DAILY STANDUP'!$B$2:$B$700)-ROW(INDEX('ALL DAILY STANDUP'!$B$2:$B$700,1,1))+1),$B10)), "")</f>
        <v/>
      </c>
      <c r="E10" s="35" t="str">
        <f t="array" ref="E10">IFERROR(INDEX('ALL DAILY STANDUP'!E$2:E$700,SMALL(IF('ALL DAILY STANDUP'!$B$2:$B$700=$B$3,ROW('ALL DAILY STANDUP'!$B$2:$B$700)-ROW(INDEX('ALL DAILY STANDUP'!$B$2:$B$700,1,1))+1),$B10)), "")</f>
        <v/>
      </c>
      <c r="F10" s="35" t="str">
        <f t="array" ref="F10">IFERROR(INDEX('ALL DAILY STANDUP'!F$2:F$700,SMALL(IF('ALL DAILY STANDUP'!$B$2:$B$700=$B$3,ROW('ALL DAILY STANDUP'!$B$2:$B$700)-ROW(INDEX('ALL DAILY STANDUP'!$B$2:$B$700,1,1))+1),$B10)), "")</f>
        <v/>
      </c>
    </row>
    <row r="11">
      <c r="B11" s="33">
        <v>3.0</v>
      </c>
      <c r="C11" s="34" t="str">
        <f t="array" ref="C11">IFERROR(INDEX('ALL DAILY STANDUP'!C$2:C$700,SMALL(IF('ALL DAILY STANDUP'!$B$2:$B$700=$B$3,ROW('ALL DAILY STANDUP'!$B$2:$B$700)-ROW(INDEX('ALL DAILY STANDUP'!$B$2:$B$700,1,1))+1),$B11)), "")</f>
        <v/>
      </c>
      <c r="D11" s="35" t="str">
        <f t="array" ref="D11">IFERROR(INDEX('ALL DAILY STANDUP'!D$2:D$700,SMALL(IF('ALL DAILY STANDUP'!$B$2:$B$700=$B$3,ROW('ALL DAILY STANDUP'!$B$2:$B$700)-ROW(INDEX('ALL DAILY STANDUP'!$B$2:$B$700,1,1))+1),$B11)), "")</f>
        <v/>
      </c>
      <c r="E11" s="35" t="str">
        <f t="array" ref="E11">IFERROR(INDEX('ALL DAILY STANDUP'!E$2:E$700,SMALL(IF('ALL DAILY STANDUP'!$B$2:$B$700=$B$3,ROW('ALL DAILY STANDUP'!$B$2:$B$700)-ROW(INDEX('ALL DAILY STANDUP'!$B$2:$B$700,1,1))+1),$B11)), "")</f>
        <v/>
      </c>
      <c r="F11" s="35" t="str">
        <f t="array" ref="F11">IFERROR(INDEX('ALL DAILY STANDUP'!F$2:F$700,SMALL(IF('ALL DAILY STANDUP'!$B$2:$B$700=$B$3,ROW('ALL DAILY STANDUP'!$B$2:$B$700)-ROW(INDEX('ALL DAILY STANDUP'!$B$2:$B$700,1,1))+1),$B11)), "")</f>
        <v/>
      </c>
    </row>
    <row r="12">
      <c r="B12" s="36">
        <v>4.0</v>
      </c>
      <c r="C12" s="34" t="str">
        <f t="array" ref="C12">IFERROR(INDEX('ALL DAILY STANDUP'!C$2:C$700,SMALL(IF('ALL DAILY STANDUP'!$B$2:$B$700=$B$3,ROW('ALL DAILY STANDUP'!$B$2:$B$700)-ROW(INDEX('ALL DAILY STANDUP'!$B$2:$B$700,1,1))+1),$B12)), "")</f>
        <v/>
      </c>
      <c r="D12" s="35" t="str">
        <f t="array" ref="D12">IFERROR(INDEX('ALL DAILY STANDUP'!D$2:D$700,SMALL(IF('ALL DAILY STANDUP'!$B$2:$B$700=$B$3,ROW('ALL DAILY STANDUP'!$B$2:$B$700)-ROW(INDEX('ALL DAILY STANDUP'!$B$2:$B$700,1,1))+1),$B12)), "")</f>
        <v/>
      </c>
      <c r="E12" s="35" t="str">
        <f t="array" ref="E12">IFERROR(INDEX('ALL DAILY STANDUP'!E$2:E$700,SMALL(IF('ALL DAILY STANDUP'!$B$2:$B$700=$B$3,ROW('ALL DAILY STANDUP'!$B$2:$B$700)-ROW(INDEX('ALL DAILY STANDUP'!$B$2:$B$700,1,1))+1),$B12)), "")</f>
        <v/>
      </c>
      <c r="F12" s="35" t="str">
        <f t="array" ref="F12">IFERROR(INDEX('ALL DAILY STANDUP'!F$2:F$700,SMALL(IF('ALL DAILY STANDUP'!$B$2:$B$700=$B$3,ROW('ALL DAILY STANDUP'!$B$2:$B$700)-ROW(INDEX('ALL DAILY STANDUP'!$B$2:$B$700,1,1))+1),$B12)), "")</f>
        <v/>
      </c>
    </row>
    <row r="13">
      <c r="B13" s="33">
        <v>5.0</v>
      </c>
      <c r="C13" s="34" t="str">
        <f t="array" ref="C13">IFERROR(INDEX('ALL DAILY STANDUP'!C$2:C$700,SMALL(IF('ALL DAILY STANDUP'!$B$2:$B$700=$B$3,ROW('ALL DAILY STANDUP'!$B$2:$B$700)-ROW(INDEX('ALL DAILY STANDUP'!$B$2:$B$700,1,1))+1),$B13)), "")</f>
        <v/>
      </c>
      <c r="D13" s="35" t="str">
        <f t="array" ref="D13">IFERROR(INDEX('ALL DAILY STANDUP'!D$2:D$700,SMALL(IF('ALL DAILY STANDUP'!$B$2:$B$700=$B$3,ROW('ALL DAILY STANDUP'!$B$2:$B$700)-ROW(INDEX('ALL DAILY STANDUP'!$B$2:$B$700,1,1))+1),$B13)), "")</f>
        <v/>
      </c>
      <c r="E13" s="35" t="str">
        <f t="array" ref="E13">IFERROR(INDEX('ALL DAILY STANDUP'!E$2:E$700,SMALL(IF('ALL DAILY STANDUP'!$B$2:$B$700=$B$3,ROW('ALL DAILY STANDUP'!$B$2:$B$700)-ROW(INDEX('ALL DAILY STANDUP'!$B$2:$B$700,1,1))+1),$B13)), "")</f>
        <v/>
      </c>
      <c r="F13" s="35" t="str">
        <f t="array" ref="F13">IFERROR(INDEX('ALL DAILY STANDUP'!F$2:F$700,SMALL(IF('ALL DAILY STANDUP'!$B$2:$B$700=$B$3,ROW('ALL DAILY STANDUP'!$B$2:$B$700)-ROW(INDEX('ALL DAILY STANDUP'!$B$2:$B$700,1,1))+1),$B13)), "")</f>
        <v/>
      </c>
    </row>
    <row r="14">
      <c r="B14" s="36">
        <v>6.0</v>
      </c>
      <c r="C14" s="34" t="str">
        <f t="array" ref="C14">IFERROR(INDEX('ALL DAILY STANDUP'!C$2:C$700,SMALL(IF('ALL DAILY STANDUP'!$B$2:$B$700=$B$3,ROW('ALL DAILY STANDUP'!$B$2:$B$700)-ROW(INDEX('ALL DAILY STANDUP'!$B$2:$B$700,1,1))+1),$B14)), "")</f>
        <v/>
      </c>
      <c r="D14" s="35" t="str">
        <f t="array" ref="D14">IFERROR(INDEX('ALL DAILY STANDUP'!D$2:D$700,SMALL(IF('ALL DAILY STANDUP'!$B$2:$B$700=$B$3,ROW('ALL DAILY STANDUP'!$B$2:$B$700)-ROW(INDEX('ALL DAILY STANDUP'!$B$2:$B$700,1,1))+1),$B14)), "")</f>
        <v/>
      </c>
      <c r="E14" s="35" t="str">
        <f t="array" ref="E14">IFERROR(INDEX('ALL DAILY STANDUP'!E$2:E$700,SMALL(IF('ALL DAILY STANDUP'!$B$2:$B$700=$B$3,ROW('ALL DAILY STANDUP'!$B$2:$B$700)-ROW(INDEX('ALL DAILY STANDUP'!$B$2:$B$700,1,1))+1),$B14)), "")</f>
        <v/>
      </c>
      <c r="F14" s="35" t="str">
        <f t="array" ref="F14">IFERROR(INDEX('ALL DAILY STANDUP'!F$2:F$700,SMALL(IF('ALL DAILY STANDUP'!$B$2:$B$700=$B$3,ROW('ALL DAILY STANDUP'!$B$2:$B$700)-ROW(INDEX('ALL DAILY STANDUP'!$B$2:$B$700,1,1))+1),$B14)), "")</f>
        <v/>
      </c>
    </row>
    <row r="15">
      <c r="B15" s="33">
        <v>7.0</v>
      </c>
      <c r="C15" s="34" t="str">
        <f t="array" ref="C15">IFERROR(INDEX('ALL DAILY STANDUP'!C$2:C$700,SMALL(IF('ALL DAILY STANDUP'!$B$2:$B$700=$B$3,ROW('ALL DAILY STANDUP'!$B$2:$B$700)-ROW(INDEX('ALL DAILY STANDUP'!$B$2:$B$700,1,1))+1),$B15)), "")</f>
        <v/>
      </c>
      <c r="D15" s="35" t="str">
        <f t="array" ref="D15">IFERROR(INDEX('ALL DAILY STANDUP'!D$2:D$700,SMALL(IF('ALL DAILY STANDUP'!$B$2:$B$700=$B$3,ROW('ALL DAILY STANDUP'!$B$2:$B$700)-ROW(INDEX('ALL DAILY STANDUP'!$B$2:$B$700,1,1))+1),$B15)), "")</f>
        <v/>
      </c>
      <c r="E15" s="35" t="str">
        <f t="array" ref="E15">IFERROR(INDEX('ALL DAILY STANDUP'!E$2:E$700,SMALL(IF('ALL DAILY STANDUP'!$B$2:$B$700=$B$3,ROW('ALL DAILY STANDUP'!$B$2:$B$700)-ROW(INDEX('ALL DAILY STANDUP'!$B$2:$B$700,1,1))+1),$B15)), "")</f>
        <v/>
      </c>
      <c r="F15" s="35" t="str">
        <f t="array" ref="F15">IFERROR(INDEX('ALL DAILY STANDUP'!F$2:F$700,SMALL(IF('ALL DAILY STANDUP'!$B$2:$B$700=$B$3,ROW('ALL DAILY STANDUP'!$B$2:$B$700)-ROW(INDEX('ALL DAILY STANDUP'!$B$2:$B$700,1,1))+1),$B15)), "")</f>
        <v/>
      </c>
    </row>
    <row r="16">
      <c r="B16" s="36">
        <v>8.0</v>
      </c>
      <c r="C16" s="34" t="str">
        <f t="array" ref="C16">IFERROR(INDEX('ALL DAILY STANDUP'!C$2:C$700,SMALL(IF('ALL DAILY STANDUP'!$B$2:$B$700=$B$3,ROW('ALL DAILY STANDUP'!$B$2:$B$700)-ROW(INDEX('ALL DAILY STANDUP'!$B$2:$B$700,1,1))+1),$B16)), "")</f>
        <v/>
      </c>
      <c r="D16" s="35" t="str">
        <f t="array" ref="D16">IFERROR(INDEX('ALL DAILY STANDUP'!D$2:D$700,SMALL(IF('ALL DAILY STANDUP'!$B$2:$B$700=$B$3,ROW('ALL DAILY STANDUP'!$B$2:$B$700)-ROW(INDEX('ALL DAILY STANDUP'!$B$2:$B$700,1,1))+1),$B16)), "")</f>
        <v/>
      </c>
      <c r="E16" s="35" t="str">
        <f t="array" ref="E16">IFERROR(INDEX('ALL DAILY STANDUP'!E$2:E$700,SMALL(IF('ALL DAILY STANDUP'!$B$2:$B$700=$B$3,ROW('ALL DAILY STANDUP'!$B$2:$B$700)-ROW(INDEX('ALL DAILY STANDUP'!$B$2:$B$700,1,1))+1),$B16)), "")</f>
        <v/>
      </c>
      <c r="F16" s="35" t="str">
        <f t="array" ref="F16">IFERROR(INDEX('ALL DAILY STANDUP'!F$2:F$700,SMALL(IF('ALL DAILY STANDUP'!$B$2:$B$700=$B$3,ROW('ALL DAILY STANDUP'!$B$2:$B$700)-ROW(INDEX('ALL DAILY STANDUP'!$B$2:$B$700,1,1))+1),$B16)), "")</f>
        <v/>
      </c>
    </row>
    <row r="17">
      <c r="B17" s="33">
        <v>9.0</v>
      </c>
      <c r="C17" s="34" t="str">
        <f t="array" ref="C17">IFERROR(INDEX('ALL DAILY STANDUP'!C$2:C$700,SMALL(IF('ALL DAILY STANDUP'!$B$2:$B$700=$B$3,ROW('ALL DAILY STANDUP'!$B$2:$B$700)-ROW(INDEX('ALL DAILY STANDUP'!$B$2:$B$700,1,1))+1),$B17)), "")</f>
        <v/>
      </c>
      <c r="D17" s="35" t="str">
        <f t="array" ref="D17">IFERROR(INDEX('ALL DAILY STANDUP'!D$2:D$700,SMALL(IF('ALL DAILY STANDUP'!$B$2:$B$700=$B$3,ROW('ALL DAILY STANDUP'!$B$2:$B$700)-ROW(INDEX('ALL DAILY STANDUP'!$B$2:$B$700,1,1))+1),$B17)), "")</f>
        <v/>
      </c>
      <c r="E17" s="35" t="str">
        <f t="array" ref="E17">IFERROR(INDEX('ALL DAILY STANDUP'!E$2:E$700,SMALL(IF('ALL DAILY STANDUP'!$B$2:$B$700=$B$3,ROW('ALL DAILY STANDUP'!$B$2:$B$700)-ROW(INDEX('ALL DAILY STANDUP'!$B$2:$B$700,1,1))+1),$B17)), "")</f>
        <v/>
      </c>
      <c r="F17" s="35" t="str">
        <f t="array" ref="F17">IFERROR(INDEX('ALL DAILY STANDUP'!F$2:F$700,SMALL(IF('ALL DAILY STANDUP'!$B$2:$B$700=$B$3,ROW('ALL DAILY STANDUP'!$B$2:$B$700)-ROW(INDEX('ALL DAILY STANDUP'!$B$2:$B$700,1,1))+1),$B17)), "")</f>
        <v/>
      </c>
    </row>
    <row r="18">
      <c r="B18" s="36">
        <v>10.0</v>
      </c>
      <c r="C18" s="34" t="str">
        <f t="array" ref="C18">IFERROR(INDEX('ALL DAILY STANDUP'!C$2:C$700,SMALL(IF('ALL DAILY STANDUP'!$B$2:$B$700=$B$3,ROW('ALL DAILY STANDUP'!$B$2:$B$700)-ROW(INDEX('ALL DAILY STANDUP'!$B$2:$B$700,1,1))+1),$B18)), "")</f>
        <v/>
      </c>
      <c r="D18" s="35" t="str">
        <f t="array" ref="D18">IFERROR(INDEX('ALL DAILY STANDUP'!D$2:D$700,SMALL(IF('ALL DAILY STANDUP'!$B$2:$B$700=$B$3,ROW('ALL DAILY STANDUP'!$B$2:$B$700)-ROW(INDEX('ALL DAILY STANDUP'!$B$2:$B$700,1,1))+1),$B18)), "")</f>
        <v/>
      </c>
      <c r="E18" s="35" t="str">
        <f t="array" ref="E18">IFERROR(INDEX('ALL DAILY STANDUP'!E$2:E$700,SMALL(IF('ALL DAILY STANDUP'!$B$2:$B$700=$B$3,ROW('ALL DAILY STANDUP'!$B$2:$B$700)-ROW(INDEX('ALL DAILY STANDUP'!$B$2:$B$700,1,1))+1),$B18)), "")</f>
        <v/>
      </c>
      <c r="F18" s="35" t="str">
        <f t="array" ref="F18">IFERROR(INDEX('ALL DAILY STANDUP'!F$2:F$700,SMALL(IF('ALL DAILY STANDUP'!$B$2:$B$700=$B$3,ROW('ALL DAILY STANDUP'!$B$2:$B$700)-ROW(INDEX('ALL DAILY STANDUP'!$B$2:$B$700,1,1))+1),$B18)), "")</f>
        <v/>
      </c>
    </row>
    <row r="19">
      <c r="B19" s="33">
        <v>11.0</v>
      </c>
      <c r="C19" s="34" t="str">
        <f t="array" ref="C19">IFERROR(INDEX('ALL DAILY STANDUP'!C$2:C$700,SMALL(IF('ALL DAILY STANDUP'!$B$2:$B$700=$B$3,ROW('ALL DAILY STANDUP'!$B$2:$B$700)-ROW(INDEX('ALL DAILY STANDUP'!$B$2:$B$700,1,1))+1),$B19)), "")</f>
        <v/>
      </c>
      <c r="D19" s="35" t="str">
        <f t="array" ref="D19">IFERROR(INDEX('ALL DAILY STANDUP'!D$2:D$700,SMALL(IF('ALL DAILY STANDUP'!$B$2:$B$700=$B$3,ROW('ALL DAILY STANDUP'!$B$2:$B$700)-ROW(INDEX('ALL DAILY STANDUP'!$B$2:$B$700,1,1))+1),$B19)), "")</f>
        <v/>
      </c>
      <c r="E19" s="35" t="str">
        <f t="array" ref="E19">IFERROR(INDEX('ALL DAILY STANDUP'!E$2:E$700,SMALL(IF('ALL DAILY STANDUP'!$B$2:$B$700=$B$3,ROW('ALL DAILY STANDUP'!$B$2:$B$700)-ROW(INDEX('ALL DAILY STANDUP'!$B$2:$B$700,1,1))+1),$B19)), "")</f>
        <v/>
      </c>
      <c r="F19" s="35" t="str">
        <f t="array" ref="F19">IFERROR(INDEX('ALL DAILY STANDUP'!F$2:F$700,SMALL(IF('ALL DAILY STANDUP'!$B$2:$B$700=$B$3,ROW('ALL DAILY STANDUP'!$B$2:$B$700)-ROW(INDEX('ALL DAILY STANDUP'!$B$2:$B$700,1,1))+1),$B19)), "")</f>
        <v/>
      </c>
    </row>
    <row r="20">
      <c r="B20" s="36">
        <v>12.0</v>
      </c>
      <c r="C20" s="34" t="str">
        <f t="array" ref="C20">IFERROR(INDEX('ALL DAILY STANDUP'!C$2:C$700,SMALL(IF('ALL DAILY STANDUP'!$B$2:$B$700=$B$3,ROW('ALL DAILY STANDUP'!$B$2:$B$700)-ROW(INDEX('ALL DAILY STANDUP'!$B$2:$B$700,1,1))+1),$B20)), "")</f>
        <v/>
      </c>
      <c r="D20" s="35" t="str">
        <f t="array" ref="D20">IFERROR(INDEX('ALL DAILY STANDUP'!D$2:D$700,SMALL(IF('ALL DAILY STANDUP'!$B$2:$B$700=$B$3,ROW('ALL DAILY STANDUP'!$B$2:$B$700)-ROW(INDEX('ALL DAILY STANDUP'!$B$2:$B$700,1,1))+1),$B20)), "")</f>
        <v/>
      </c>
      <c r="E20" s="35" t="str">
        <f t="array" ref="E20">IFERROR(INDEX('ALL DAILY STANDUP'!E$2:E$700,SMALL(IF('ALL DAILY STANDUP'!$B$2:$B$700=$B$3,ROW('ALL DAILY STANDUP'!$B$2:$B$700)-ROW(INDEX('ALL DAILY STANDUP'!$B$2:$B$700,1,1))+1),$B20)), "")</f>
        <v/>
      </c>
      <c r="F20" s="35" t="str">
        <f t="array" ref="F20">IFERROR(INDEX('ALL DAILY STANDUP'!F$2:F$700,SMALL(IF('ALL DAILY STANDUP'!$B$2:$B$700=$B$3,ROW('ALL DAILY STANDUP'!$B$2:$B$700)-ROW(INDEX('ALL DAILY STANDUP'!$B$2:$B$700,1,1))+1),$B20)), "")</f>
        <v/>
      </c>
    </row>
    <row r="21">
      <c r="B21" s="33">
        <v>13.0</v>
      </c>
      <c r="C21" s="34" t="str">
        <f t="array" ref="C21">IFERROR(INDEX('ALL DAILY STANDUP'!C$2:C$700,SMALL(IF('ALL DAILY STANDUP'!$B$2:$B$700=$B$3,ROW('ALL DAILY STANDUP'!$B$2:$B$700)-ROW(INDEX('ALL DAILY STANDUP'!$B$2:$B$700,1,1))+1),$B21)), "")</f>
        <v/>
      </c>
      <c r="D21" s="35" t="str">
        <f t="array" ref="D21">IFERROR(INDEX('ALL DAILY STANDUP'!D$2:D$700,SMALL(IF('ALL DAILY STANDUP'!$B$2:$B$700=$B$3,ROW('ALL DAILY STANDUP'!$B$2:$B$700)-ROW(INDEX('ALL DAILY STANDUP'!$B$2:$B$700,1,1))+1),$B21)), "")</f>
        <v/>
      </c>
      <c r="E21" s="35" t="str">
        <f t="array" ref="E21">IFERROR(INDEX('ALL DAILY STANDUP'!E$2:E$700,SMALL(IF('ALL DAILY STANDUP'!$B$2:$B$700=$B$3,ROW('ALL DAILY STANDUP'!$B$2:$B$700)-ROW(INDEX('ALL DAILY STANDUP'!$B$2:$B$700,1,1))+1),$B21)), "")</f>
        <v/>
      </c>
      <c r="F21" s="35" t="str">
        <f t="array" ref="F21">IFERROR(INDEX('ALL DAILY STANDUP'!F$2:F$700,SMALL(IF('ALL DAILY STANDUP'!$B$2:$B$700=$B$3,ROW('ALL DAILY STANDUP'!$B$2:$B$700)-ROW(INDEX('ALL DAILY STANDUP'!$B$2:$B$700,1,1))+1),$B21)), "")</f>
        <v/>
      </c>
    </row>
    <row r="22">
      <c r="B22" s="36">
        <v>14.0</v>
      </c>
      <c r="C22" s="34" t="str">
        <f t="array" ref="C22">IFERROR(INDEX('ALL DAILY STANDUP'!C$2:C$700,SMALL(IF('ALL DAILY STANDUP'!$B$2:$B$700=$B$3,ROW('ALL DAILY STANDUP'!$B$2:$B$700)-ROW(INDEX('ALL DAILY STANDUP'!$B$2:$B$700,1,1))+1),$B22)), "")</f>
        <v/>
      </c>
      <c r="D22" s="35" t="str">
        <f t="array" ref="D22">IFERROR(INDEX('ALL DAILY STANDUP'!D$2:D$700,SMALL(IF('ALL DAILY STANDUP'!$B$2:$B$700=$B$3,ROW('ALL DAILY STANDUP'!$B$2:$B$700)-ROW(INDEX('ALL DAILY STANDUP'!$B$2:$B$700,1,1))+1),$B22)), "")</f>
        <v/>
      </c>
      <c r="E22" s="35" t="str">
        <f t="array" ref="E22">IFERROR(INDEX('ALL DAILY STANDUP'!E$2:E$700,SMALL(IF('ALL DAILY STANDUP'!$B$2:$B$700=$B$3,ROW('ALL DAILY STANDUP'!$B$2:$B$700)-ROW(INDEX('ALL DAILY STANDUP'!$B$2:$B$700,1,1))+1),$B22)), "")</f>
        <v/>
      </c>
      <c r="F22" s="35" t="str">
        <f t="array" ref="F22">IFERROR(INDEX('ALL DAILY STANDUP'!F$2:F$700,SMALL(IF('ALL DAILY STANDUP'!$B$2:$B$700=$B$3,ROW('ALL DAILY STANDUP'!$B$2:$B$700)-ROW(INDEX('ALL DAILY STANDUP'!$B$2:$B$700,1,1))+1),$B22)), "")</f>
        <v/>
      </c>
    </row>
    <row r="23">
      <c r="B23" s="33">
        <v>15.0</v>
      </c>
      <c r="C23" s="34" t="str">
        <f t="array" ref="C23">IFERROR(INDEX('ALL DAILY STANDUP'!C$2:C$700,SMALL(IF('ALL DAILY STANDUP'!$B$2:$B$700=$B$3,ROW('ALL DAILY STANDUP'!$B$2:$B$700)-ROW(INDEX('ALL DAILY STANDUP'!$B$2:$B$700,1,1))+1),$B23)), "")</f>
        <v/>
      </c>
      <c r="D23" s="35" t="str">
        <f t="array" ref="D23">IFERROR(INDEX('ALL DAILY STANDUP'!D$2:D$700,SMALL(IF('ALL DAILY STANDUP'!$B$2:$B$700=$B$3,ROW('ALL DAILY STANDUP'!$B$2:$B$700)-ROW(INDEX('ALL DAILY STANDUP'!$B$2:$B$700,1,1))+1),$B23)), "")</f>
        <v/>
      </c>
      <c r="E23" s="35" t="str">
        <f t="array" ref="E23">IFERROR(INDEX('ALL DAILY STANDUP'!E$2:E$700,SMALL(IF('ALL DAILY STANDUP'!$B$2:$B$700=$B$3,ROW('ALL DAILY STANDUP'!$B$2:$B$700)-ROW(INDEX('ALL DAILY STANDUP'!$B$2:$B$700,1,1))+1),$B23)), "")</f>
        <v/>
      </c>
      <c r="F23" s="35" t="str">
        <f t="array" ref="F23">IFERROR(INDEX('ALL DAILY STANDUP'!F$2:F$700,SMALL(IF('ALL DAILY STANDUP'!$B$2:$B$700=$B$3,ROW('ALL DAILY STANDUP'!$B$2:$B$700)-ROW(INDEX('ALL DAILY STANDUP'!$B$2:$B$700,1,1))+1),$B23)), "")</f>
        <v/>
      </c>
    </row>
    <row r="24">
      <c r="B24" s="36">
        <v>16.0</v>
      </c>
      <c r="C24" s="34" t="str">
        <f t="array" ref="C24">IFERROR(INDEX('ALL DAILY STANDUP'!C$2:C$700,SMALL(IF('ALL DAILY STANDUP'!$B$2:$B$700=$B$3,ROW('ALL DAILY STANDUP'!$B$2:$B$700)-ROW(INDEX('ALL DAILY STANDUP'!$B$2:$B$700,1,1))+1),$B24)), "")</f>
        <v/>
      </c>
      <c r="D24" s="35" t="str">
        <f t="array" ref="D24">IFERROR(INDEX('ALL DAILY STANDUP'!D$2:D$700,SMALL(IF('ALL DAILY STANDUP'!$B$2:$B$700=$B$3,ROW('ALL DAILY STANDUP'!$B$2:$B$700)-ROW(INDEX('ALL DAILY STANDUP'!$B$2:$B$700,1,1))+1),$B24)), "")</f>
        <v/>
      </c>
      <c r="E24" s="35" t="str">
        <f t="array" ref="E24">IFERROR(INDEX('ALL DAILY STANDUP'!E$2:E$700,SMALL(IF('ALL DAILY STANDUP'!$B$2:$B$700=$B$3,ROW('ALL DAILY STANDUP'!$B$2:$B$700)-ROW(INDEX('ALL DAILY STANDUP'!$B$2:$B$700,1,1))+1),$B24)), "")</f>
        <v/>
      </c>
      <c r="F24" s="35" t="str">
        <f t="array" ref="F24">IFERROR(INDEX('ALL DAILY STANDUP'!F$2:F$700,SMALL(IF('ALL DAILY STANDUP'!$B$2:$B$700=$B$3,ROW('ALL DAILY STANDUP'!$B$2:$B$700)-ROW(INDEX('ALL DAILY STANDUP'!$B$2:$B$700,1,1))+1),$B24)), "")</f>
        <v/>
      </c>
    </row>
    <row r="25">
      <c r="B25" s="33">
        <v>17.0</v>
      </c>
      <c r="C25" s="34" t="str">
        <f t="array" ref="C25">IFERROR(INDEX('ALL DAILY STANDUP'!C$2:C$700,SMALL(IF('ALL DAILY STANDUP'!$B$2:$B$700=$B$3,ROW('ALL DAILY STANDUP'!$B$2:$B$700)-ROW(INDEX('ALL DAILY STANDUP'!$B$2:$B$700,1,1))+1),$B25)), "")</f>
        <v/>
      </c>
      <c r="D25" s="35" t="str">
        <f t="array" ref="D25">IFERROR(INDEX('ALL DAILY STANDUP'!D$2:D$700,SMALL(IF('ALL DAILY STANDUP'!$B$2:$B$700=$B$3,ROW('ALL DAILY STANDUP'!$B$2:$B$700)-ROW(INDEX('ALL DAILY STANDUP'!$B$2:$B$700,1,1))+1),$B25)), "")</f>
        <v/>
      </c>
      <c r="E25" s="35" t="str">
        <f t="array" ref="E25">IFERROR(INDEX('ALL DAILY STANDUP'!E$2:E$700,SMALL(IF('ALL DAILY STANDUP'!$B$2:$B$700=$B$3,ROW('ALL DAILY STANDUP'!$B$2:$B$700)-ROW(INDEX('ALL DAILY STANDUP'!$B$2:$B$700,1,1))+1),$B25)), "")</f>
        <v/>
      </c>
      <c r="F25" s="35" t="str">
        <f t="array" ref="F25">IFERROR(INDEX('ALL DAILY STANDUP'!F$2:F$700,SMALL(IF('ALL DAILY STANDUP'!$B$2:$B$700=$B$3,ROW('ALL DAILY STANDUP'!$B$2:$B$700)-ROW(INDEX('ALL DAILY STANDUP'!$B$2:$B$700,1,1))+1),$B25)), "")</f>
        <v/>
      </c>
    </row>
    <row r="26">
      <c r="B26" s="36">
        <v>18.0</v>
      </c>
      <c r="C26" s="34" t="str">
        <f t="array" ref="C26">IFERROR(INDEX('ALL DAILY STANDUP'!C$2:C$700,SMALL(IF('ALL DAILY STANDUP'!$B$2:$B$700=$B$3,ROW('ALL DAILY STANDUP'!$B$2:$B$700)-ROW(INDEX('ALL DAILY STANDUP'!$B$2:$B$700,1,1))+1),$B26)), "")</f>
        <v/>
      </c>
      <c r="D26" s="35" t="str">
        <f t="array" ref="D26">IFERROR(INDEX('ALL DAILY STANDUP'!D$2:D$700,SMALL(IF('ALL DAILY STANDUP'!$B$2:$B$700=$B$3,ROW('ALL DAILY STANDUP'!$B$2:$B$700)-ROW(INDEX('ALL DAILY STANDUP'!$B$2:$B$700,1,1))+1),$B26)), "")</f>
        <v/>
      </c>
      <c r="E26" s="35" t="str">
        <f t="array" ref="E26">IFERROR(INDEX('ALL DAILY STANDUP'!E$2:E$700,SMALL(IF('ALL DAILY STANDUP'!$B$2:$B$700=$B$3,ROW('ALL DAILY STANDUP'!$B$2:$B$700)-ROW(INDEX('ALL DAILY STANDUP'!$B$2:$B$700,1,1))+1),$B26)), "")</f>
        <v/>
      </c>
      <c r="F26" s="35" t="str">
        <f t="array" ref="F26">IFERROR(INDEX('ALL DAILY STANDUP'!F$2:F$700,SMALL(IF('ALL DAILY STANDUP'!$B$2:$B$700=$B$3,ROW('ALL DAILY STANDUP'!$B$2:$B$700)-ROW(INDEX('ALL DAILY STANDUP'!$B$2:$B$700,1,1))+1),$B26)), "")</f>
        <v/>
      </c>
    </row>
    <row r="27">
      <c r="B27" s="33">
        <v>19.0</v>
      </c>
      <c r="C27" s="34" t="str">
        <f t="array" ref="C27">IFERROR(INDEX('ALL DAILY STANDUP'!C$2:C$700,SMALL(IF('ALL DAILY STANDUP'!$B$2:$B$700=$B$3,ROW('ALL DAILY STANDUP'!$B$2:$B$700)-ROW(INDEX('ALL DAILY STANDUP'!$B$2:$B$700,1,1))+1),$B27)), "")</f>
        <v/>
      </c>
      <c r="D27" s="35" t="str">
        <f t="array" ref="D27">IFERROR(INDEX('ALL DAILY STANDUP'!D$2:D$700,SMALL(IF('ALL DAILY STANDUP'!$B$2:$B$700=$B$3,ROW('ALL DAILY STANDUP'!$B$2:$B$700)-ROW(INDEX('ALL DAILY STANDUP'!$B$2:$B$700,1,1))+1),$B27)), "")</f>
        <v/>
      </c>
      <c r="E27" s="35" t="str">
        <f t="array" ref="E27">IFERROR(INDEX('ALL DAILY STANDUP'!E$2:E$700,SMALL(IF('ALL DAILY STANDUP'!$B$2:$B$700=$B$3,ROW('ALL DAILY STANDUP'!$B$2:$B$700)-ROW(INDEX('ALL DAILY STANDUP'!$B$2:$B$700,1,1))+1),$B27)), "")</f>
        <v/>
      </c>
      <c r="F27" s="35" t="str">
        <f t="array" ref="F27">IFERROR(INDEX('ALL DAILY STANDUP'!F$2:F$700,SMALL(IF('ALL DAILY STANDUP'!$B$2:$B$700=$B$3,ROW('ALL DAILY STANDUP'!$B$2:$B$700)-ROW(INDEX('ALL DAILY STANDUP'!$B$2:$B$700,1,1))+1),$B27)), "")</f>
        <v/>
      </c>
    </row>
    <row r="28">
      <c r="B28" s="36">
        <v>20.0</v>
      </c>
      <c r="C28" s="34" t="str">
        <f t="array" ref="C28">IFERROR(INDEX('ALL DAILY STANDUP'!C$2:C$700,SMALL(IF('ALL DAILY STANDUP'!$B$2:$B$700=$B$3,ROW('ALL DAILY STANDUP'!$B$2:$B$700)-ROW(INDEX('ALL DAILY STANDUP'!$B$2:$B$700,1,1))+1),$B28)), "")</f>
        <v/>
      </c>
      <c r="D28" s="35" t="str">
        <f t="array" ref="D28">IFERROR(INDEX('ALL DAILY STANDUP'!D$2:D$700,SMALL(IF('ALL DAILY STANDUP'!$B$2:$B$700=$B$3,ROW('ALL DAILY STANDUP'!$B$2:$B$700)-ROW(INDEX('ALL DAILY STANDUP'!$B$2:$B$700,1,1))+1),$B28)), "")</f>
        <v/>
      </c>
      <c r="E28" s="35" t="str">
        <f t="array" ref="E28">IFERROR(INDEX('ALL DAILY STANDUP'!E$2:E$700,SMALL(IF('ALL DAILY STANDUP'!$B$2:$B$700=$B$3,ROW('ALL DAILY STANDUP'!$B$2:$B$700)-ROW(INDEX('ALL DAILY STANDUP'!$B$2:$B$700,1,1))+1),$B28)), "")</f>
        <v/>
      </c>
      <c r="F28" s="35" t="str">
        <f t="array" ref="F28">IFERROR(INDEX('ALL DAILY STANDUP'!F$2:F$700,SMALL(IF('ALL DAILY STANDUP'!$B$2:$B$700=$B$3,ROW('ALL DAILY STANDUP'!$B$2:$B$700)-ROW(INDEX('ALL DAILY STANDUP'!$B$2:$B$700,1,1))+1),$B28)), "")</f>
        <v/>
      </c>
    </row>
    <row r="29">
      <c r="B29" s="33">
        <v>21.0</v>
      </c>
      <c r="C29" s="34" t="str">
        <f t="array" ref="C29">IFERROR(INDEX('ALL DAILY STANDUP'!C$2:C$700,SMALL(IF('ALL DAILY STANDUP'!$B$2:$B$700=$B$3,ROW('ALL DAILY STANDUP'!$B$2:$B$700)-ROW(INDEX('ALL DAILY STANDUP'!$B$2:$B$700,1,1))+1),$B29)), "")</f>
        <v/>
      </c>
      <c r="D29" s="35" t="str">
        <f t="array" ref="D29">IFERROR(INDEX('ALL DAILY STANDUP'!D$2:D$700,SMALL(IF('ALL DAILY STANDUP'!$B$2:$B$700=$B$3,ROW('ALL DAILY STANDUP'!$B$2:$B$700)-ROW(INDEX('ALL DAILY STANDUP'!$B$2:$B$700,1,1))+1),$B29)), "")</f>
        <v/>
      </c>
      <c r="E29" s="35" t="str">
        <f t="array" ref="E29">IFERROR(INDEX('ALL DAILY STANDUP'!E$2:E$700,SMALL(IF('ALL DAILY STANDUP'!$B$2:$B$700=$B$3,ROW('ALL DAILY STANDUP'!$B$2:$B$700)-ROW(INDEX('ALL DAILY STANDUP'!$B$2:$B$700,1,1))+1),$B29)), "")</f>
        <v/>
      </c>
      <c r="F29" s="35" t="str">
        <f t="array" ref="F29">IFERROR(INDEX('ALL DAILY STANDUP'!F$2:F$700,SMALL(IF('ALL DAILY STANDUP'!$B$2:$B$700=$B$3,ROW('ALL DAILY STANDUP'!$B$2:$B$700)-ROW(INDEX('ALL DAILY STANDUP'!$B$2:$B$700,1,1))+1),$B29)), "")</f>
        <v/>
      </c>
    </row>
    <row r="30">
      <c r="B30" s="36">
        <v>22.0</v>
      </c>
      <c r="C30" s="34" t="str">
        <f t="array" ref="C30">IFERROR(INDEX('ALL DAILY STANDUP'!C$2:C$700,SMALL(IF('ALL DAILY STANDUP'!$B$2:$B$700=$B$3,ROW('ALL DAILY STANDUP'!$B$2:$B$700)-ROW(INDEX('ALL DAILY STANDUP'!$B$2:$B$700,1,1))+1),$B30)), "")</f>
        <v/>
      </c>
      <c r="D30" s="35" t="str">
        <f t="array" ref="D30">IFERROR(INDEX('ALL DAILY STANDUP'!D$2:D$700,SMALL(IF('ALL DAILY STANDUP'!$B$2:$B$700=$B$3,ROW('ALL DAILY STANDUP'!$B$2:$B$700)-ROW(INDEX('ALL DAILY STANDUP'!$B$2:$B$700,1,1))+1),$B30)), "")</f>
        <v/>
      </c>
      <c r="E30" s="35" t="str">
        <f t="array" ref="E30">IFERROR(INDEX('ALL DAILY STANDUP'!E$2:E$700,SMALL(IF('ALL DAILY STANDUP'!$B$2:$B$700=$B$3,ROW('ALL DAILY STANDUP'!$B$2:$B$700)-ROW(INDEX('ALL DAILY STANDUP'!$B$2:$B$700,1,1))+1),$B30)), "")</f>
        <v/>
      </c>
      <c r="F30" s="35" t="str">
        <f t="array" ref="F30">IFERROR(INDEX('ALL DAILY STANDUP'!F$2:F$700,SMALL(IF('ALL DAILY STANDUP'!$B$2:$B$700=$B$3,ROW('ALL DAILY STANDUP'!$B$2:$B$700)-ROW(INDEX('ALL DAILY STANDUP'!$B$2:$B$700,1,1))+1),$B30)), "")</f>
        <v/>
      </c>
    </row>
    <row r="31">
      <c r="B31" s="33">
        <v>23.0</v>
      </c>
      <c r="C31" s="34" t="str">
        <f t="array" ref="C31">IFERROR(INDEX('ALL DAILY STANDUP'!C$2:C$700,SMALL(IF('ALL DAILY STANDUP'!$B$2:$B$700=$B$3,ROW('ALL DAILY STANDUP'!$B$2:$B$700)-ROW(INDEX('ALL DAILY STANDUP'!$B$2:$B$700,1,1))+1),$B31)), "")</f>
        <v/>
      </c>
      <c r="D31" s="35" t="str">
        <f t="array" ref="D31">IFERROR(INDEX('ALL DAILY STANDUP'!D$2:D$700,SMALL(IF('ALL DAILY STANDUP'!$B$2:$B$700=$B$3,ROW('ALL DAILY STANDUP'!$B$2:$B$700)-ROW(INDEX('ALL DAILY STANDUP'!$B$2:$B$700,1,1))+1),$B31)), "")</f>
        <v/>
      </c>
      <c r="E31" s="35" t="str">
        <f t="array" ref="E31">IFERROR(INDEX('ALL DAILY STANDUP'!E$2:E$700,SMALL(IF('ALL DAILY STANDUP'!$B$2:$B$700=$B$3,ROW('ALL DAILY STANDUP'!$B$2:$B$700)-ROW(INDEX('ALL DAILY STANDUP'!$B$2:$B$700,1,1))+1),$B31)), "")</f>
        <v/>
      </c>
      <c r="F31" s="35" t="str">
        <f t="array" ref="F31">IFERROR(INDEX('ALL DAILY STANDUP'!F$2:F$700,SMALL(IF('ALL DAILY STANDUP'!$B$2:$B$700=$B$3,ROW('ALL DAILY STANDUP'!$B$2:$B$700)-ROW(INDEX('ALL DAILY STANDUP'!$B$2:$B$700,1,1))+1),$B31)), "")</f>
        <v/>
      </c>
    </row>
    <row r="32">
      <c r="B32" s="36">
        <v>24.0</v>
      </c>
      <c r="C32" s="34" t="str">
        <f t="array" ref="C32">IFERROR(INDEX('ALL DAILY STANDUP'!C$2:C$700,SMALL(IF('ALL DAILY STANDUP'!$B$2:$B$700=$B$3,ROW('ALL DAILY STANDUP'!$B$2:$B$700)-ROW(INDEX('ALL DAILY STANDUP'!$B$2:$B$700,1,1))+1),$B32)), "")</f>
        <v/>
      </c>
      <c r="D32" s="35" t="str">
        <f t="array" ref="D32">IFERROR(INDEX('ALL DAILY STANDUP'!D$2:D$700,SMALL(IF('ALL DAILY STANDUP'!$B$2:$B$700=$B$3,ROW('ALL DAILY STANDUP'!$B$2:$B$700)-ROW(INDEX('ALL DAILY STANDUP'!$B$2:$B$700,1,1))+1),$B32)), "")</f>
        <v/>
      </c>
      <c r="E32" s="35" t="str">
        <f t="array" ref="E32">IFERROR(INDEX('ALL DAILY STANDUP'!E$2:E$700,SMALL(IF('ALL DAILY STANDUP'!$B$2:$B$700=$B$3,ROW('ALL DAILY STANDUP'!$B$2:$B$700)-ROW(INDEX('ALL DAILY STANDUP'!$B$2:$B$700,1,1))+1),$B32)), "")</f>
        <v/>
      </c>
      <c r="F32" s="35" t="str">
        <f t="array" ref="F32">IFERROR(INDEX('ALL DAILY STANDUP'!F$2:F$700,SMALL(IF('ALL DAILY STANDUP'!$B$2:$B$700=$B$3,ROW('ALL DAILY STANDUP'!$B$2:$B$700)-ROW(INDEX('ALL DAILY STANDUP'!$B$2:$B$700,1,1))+1),$B32)), "")</f>
        <v/>
      </c>
    </row>
    <row r="33">
      <c r="B33" s="33">
        <v>25.0</v>
      </c>
      <c r="C33" s="34" t="str">
        <f t="array" ref="C33">IFERROR(INDEX('ALL DAILY STANDUP'!C$2:C$700,SMALL(IF('ALL DAILY STANDUP'!$B$2:$B$700=$B$3,ROW('ALL DAILY STANDUP'!$B$2:$B$700)-ROW(INDEX('ALL DAILY STANDUP'!$B$2:$B$700,1,1))+1),$B33)), "")</f>
        <v/>
      </c>
      <c r="D33" s="35" t="str">
        <f t="array" ref="D33">IFERROR(INDEX('ALL DAILY STANDUP'!D$2:D$700,SMALL(IF('ALL DAILY STANDUP'!$B$2:$B$700=$B$3,ROW('ALL DAILY STANDUP'!$B$2:$B$700)-ROW(INDEX('ALL DAILY STANDUP'!$B$2:$B$700,1,1))+1),$B33)), "")</f>
        <v/>
      </c>
      <c r="E33" s="35" t="str">
        <f t="array" ref="E33">IFERROR(INDEX('ALL DAILY STANDUP'!E$2:E$700,SMALL(IF('ALL DAILY STANDUP'!$B$2:$B$700=$B$3,ROW('ALL DAILY STANDUP'!$B$2:$B$700)-ROW(INDEX('ALL DAILY STANDUP'!$B$2:$B$700,1,1))+1),$B33)), "")</f>
        <v/>
      </c>
      <c r="F33" s="35" t="str">
        <f t="array" ref="F33">IFERROR(INDEX('ALL DAILY STANDUP'!F$2:F$700,SMALL(IF('ALL DAILY STANDUP'!$B$2:$B$700=$B$3,ROW('ALL DAILY STANDUP'!$B$2:$B$700)-ROW(INDEX('ALL DAILY STANDUP'!$B$2:$B$700,1,1))+1),$B33)), "")</f>
        <v/>
      </c>
    </row>
    <row r="34">
      <c r="B34" s="36">
        <v>26.0</v>
      </c>
      <c r="C34" s="34" t="str">
        <f t="array" ref="C34">IFERROR(INDEX('ALL DAILY STANDUP'!C$2:C$700,SMALL(IF('ALL DAILY STANDUP'!$B$2:$B$700=$B$3,ROW('ALL DAILY STANDUP'!$B$2:$B$700)-ROW(INDEX('ALL DAILY STANDUP'!$B$2:$B$700,1,1))+1),$B34)), "")</f>
        <v/>
      </c>
      <c r="D34" s="35" t="str">
        <f t="array" ref="D34">IFERROR(INDEX('ALL DAILY STANDUP'!D$2:D$700,SMALL(IF('ALL DAILY STANDUP'!$B$2:$B$700=$B$3,ROW('ALL DAILY STANDUP'!$B$2:$B$700)-ROW(INDEX('ALL DAILY STANDUP'!$B$2:$B$700,1,1))+1),$B34)), "")</f>
        <v/>
      </c>
      <c r="E34" s="35" t="str">
        <f t="array" ref="E34">IFERROR(INDEX('ALL DAILY STANDUP'!E$2:E$700,SMALL(IF('ALL DAILY STANDUP'!$B$2:$B$700=$B$3,ROW('ALL DAILY STANDUP'!$B$2:$B$700)-ROW(INDEX('ALL DAILY STANDUP'!$B$2:$B$700,1,1))+1),$B34)), "")</f>
        <v/>
      </c>
      <c r="F34" s="35" t="str">
        <f t="array" ref="F34">IFERROR(INDEX('ALL DAILY STANDUP'!F$2:F$700,SMALL(IF('ALL DAILY STANDUP'!$B$2:$B$700=$B$3,ROW('ALL DAILY STANDUP'!$B$2:$B$700)-ROW(INDEX('ALL DAILY STANDUP'!$B$2:$B$700,1,1))+1),$B34)), "")</f>
        <v/>
      </c>
    </row>
    <row r="35">
      <c r="B35" s="33">
        <v>27.0</v>
      </c>
      <c r="C35" s="34" t="str">
        <f t="array" ref="C35">IFERROR(INDEX('ALL DAILY STANDUP'!C$2:C$700,SMALL(IF('ALL DAILY STANDUP'!$B$2:$B$700=$B$3,ROW('ALL DAILY STANDUP'!$B$2:$B$700)-ROW(INDEX('ALL DAILY STANDUP'!$B$2:$B$700,1,1))+1),$B35)), "")</f>
        <v/>
      </c>
      <c r="D35" s="35" t="str">
        <f t="array" ref="D35">IFERROR(INDEX('ALL DAILY STANDUP'!D$2:D$700,SMALL(IF('ALL DAILY STANDUP'!$B$2:$B$700=$B$3,ROW('ALL DAILY STANDUP'!$B$2:$B$700)-ROW(INDEX('ALL DAILY STANDUP'!$B$2:$B$700,1,1))+1),$B35)), "")</f>
        <v/>
      </c>
      <c r="E35" s="35" t="str">
        <f t="array" ref="E35">IFERROR(INDEX('ALL DAILY STANDUP'!E$2:E$700,SMALL(IF('ALL DAILY STANDUP'!$B$2:$B$700=$B$3,ROW('ALL DAILY STANDUP'!$B$2:$B$700)-ROW(INDEX('ALL DAILY STANDUP'!$B$2:$B$700,1,1))+1),$B35)), "")</f>
        <v/>
      </c>
      <c r="F35" s="35" t="str">
        <f t="array" ref="F35">IFERROR(INDEX('ALL DAILY STANDUP'!F$2:F$700,SMALL(IF('ALL DAILY STANDUP'!$B$2:$B$700=$B$3,ROW('ALL DAILY STANDUP'!$B$2:$B$700)-ROW(INDEX('ALL DAILY STANDUP'!$B$2:$B$700,1,1))+1),$B35)), "")</f>
        <v/>
      </c>
    </row>
    <row r="36">
      <c r="B36" s="36">
        <v>28.0</v>
      </c>
      <c r="C36" s="34" t="str">
        <f t="array" ref="C36">IFERROR(INDEX('ALL DAILY STANDUP'!C$2:C$700,SMALL(IF('ALL DAILY STANDUP'!$B$2:$B$700=$B$3,ROW('ALL DAILY STANDUP'!$B$2:$B$700)-ROW(INDEX('ALL DAILY STANDUP'!$B$2:$B$700,1,1))+1),$B36)), "")</f>
        <v/>
      </c>
      <c r="D36" s="35" t="str">
        <f t="array" ref="D36">IFERROR(INDEX('ALL DAILY STANDUP'!D$2:D$700,SMALL(IF('ALL DAILY STANDUP'!$B$2:$B$700=$B$3,ROW('ALL DAILY STANDUP'!$B$2:$B$700)-ROW(INDEX('ALL DAILY STANDUP'!$B$2:$B$700,1,1))+1),$B36)), "")</f>
        <v/>
      </c>
      <c r="E36" s="35" t="str">
        <f t="array" ref="E36">IFERROR(INDEX('ALL DAILY STANDUP'!E$2:E$700,SMALL(IF('ALL DAILY STANDUP'!$B$2:$B$700=$B$3,ROW('ALL DAILY STANDUP'!$B$2:$B$700)-ROW(INDEX('ALL DAILY STANDUP'!$B$2:$B$700,1,1))+1),$B36)), "")</f>
        <v/>
      </c>
      <c r="F36" s="35" t="str">
        <f t="array" ref="F36">IFERROR(INDEX('ALL DAILY STANDUP'!F$2:F$700,SMALL(IF('ALL DAILY STANDUP'!$B$2:$B$700=$B$3,ROW('ALL DAILY STANDUP'!$B$2:$B$700)-ROW(INDEX('ALL DAILY STANDUP'!$B$2:$B$700,1,1))+1),$B36)), "")</f>
        <v/>
      </c>
    </row>
    <row r="37">
      <c r="B37" s="33">
        <v>29.0</v>
      </c>
      <c r="C37" s="34" t="str">
        <f t="array" ref="C37">IFERROR(INDEX('ALL DAILY STANDUP'!C$2:C$700,SMALL(IF('ALL DAILY STANDUP'!$B$2:$B$700=$B$3,ROW('ALL DAILY STANDUP'!$B$2:$B$700)-ROW(INDEX('ALL DAILY STANDUP'!$B$2:$B$700,1,1))+1),$B37)), "")</f>
        <v/>
      </c>
      <c r="D37" s="35" t="str">
        <f t="array" ref="D37">IFERROR(INDEX('ALL DAILY STANDUP'!D$2:D$700,SMALL(IF('ALL DAILY STANDUP'!$B$2:$B$700=$B$3,ROW('ALL DAILY STANDUP'!$B$2:$B$700)-ROW(INDEX('ALL DAILY STANDUP'!$B$2:$B$700,1,1))+1),$B37)), "")</f>
        <v/>
      </c>
      <c r="E37" s="35" t="str">
        <f t="array" ref="E37">IFERROR(INDEX('ALL DAILY STANDUP'!E$2:E$700,SMALL(IF('ALL DAILY STANDUP'!$B$2:$B$700=$B$3,ROW('ALL DAILY STANDUP'!$B$2:$B$700)-ROW(INDEX('ALL DAILY STANDUP'!$B$2:$B$700,1,1))+1),$B37)), "")</f>
        <v/>
      </c>
      <c r="F37" s="35" t="str">
        <f t="array" ref="F37">IFERROR(INDEX('ALL DAILY STANDUP'!F$2:F$700,SMALL(IF('ALL DAILY STANDUP'!$B$2:$B$700=$B$3,ROW('ALL DAILY STANDUP'!$B$2:$B$700)-ROW(INDEX('ALL DAILY STANDUP'!$B$2:$B$700,1,1))+1),$B37)), "")</f>
        <v/>
      </c>
    </row>
    <row r="38">
      <c r="B38" s="36">
        <v>30.0</v>
      </c>
      <c r="C38" s="34" t="str">
        <f t="array" ref="C38">IFERROR(INDEX('ALL DAILY STANDUP'!C$2:C$700,SMALL(IF('ALL DAILY STANDUP'!$B$2:$B$700=$B$3,ROW('ALL DAILY STANDUP'!$B$2:$B$700)-ROW(INDEX('ALL DAILY STANDUP'!$B$2:$B$700,1,1))+1),$B38)), "")</f>
        <v/>
      </c>
      <c r="D38" s="35" t="str">
        <f t="array" ref="D38">IFERROR(INDEX('ALL DAILY STANDUP'!D$2:D$700,SMALL(IF('ALL DAILY STANDUP'!$B$2:$B$700=$B$3,ROW('ALL DAILY STANDUP'!$B$2:$B$700)-ROW(INDEX('ALL DAILY STANDUP'!$B$2:$B$700,1,1))+1),$B38)), "")</f>
        <v/>
      </c>
      <c r="E38" s="35" t="str">
        <f t="array" ref="E38">IFERROR(INDEX('ALL DAILY STANDUP'!E$2:E$700,SMALL(IF('ALL DAILY STANDUP'!$B$2:$B$700=$B$3,ROW('ALL DAILY STANDUP'!$B$2:$B$700)-ROW(INDEX('ALL DAILY STANDUP'!$B$2:$B$700,1,1))+1),$B38)), "")</f>
        <v/>
      </c>
      <c r="F38" s="35" t="str">
        <f t="array" ref="F38">IFERROR(INDEX('ALL DAILY STANDUP'!F$2:F$700,SMALL(IF('ALL DAILY STANDUP'!$B$2:$B$700=$B$3,ROW('ALL DAILY STANDUP'!$B$2:$B$700)-ROW(INDEX('ALL DAILY STANDUP'!$B$2:$B$700,1,1))+1),$B38)), "")</f>
        <v/>
      </c>
    </row>
    <row r="39">
      <c r="B39" s="33">
        <v>31.0</v>
      </c>
      <c r="C39" s="34" t="str">
        <f t="array" ref="C39">IFERROR(INDEX('ALL DAILY STANDUP'!C$2:C$700,SMALL(IF('ALL DAILY STANDUP'!$B$2:$B$700=$B$3,ROW('ALL DAILY STANDUP'!$B$2:$B$700)-ROW(INDEX('ALL DAILY STANDUP'!$B$2:$B$700,1,1))+1),$B39)), "")</f>
        <v/>
      </c>
      <c r="D39" s="35" t="str">
        <f t="array" ref="D39">IFERROR(INDEX('ALL DAILY STANDUP'!D$2:D$700,SMALL(IF('ALL DAILY STANDUP'!$B$2:$B$700=$B$3,ROW('ALL DAILY STANDUP'!$B$2:$B$700)-ROW(INDEX('ALL DAILY STANDUP'!$B$2:$B$700,1,1))+1),$B39)), "")</f>
        <v/>
      </c>
      <c r="E39" s="35" t="str">
        <f t="array" ref="E39">IFERROR(INDEX('ALL DAILY STANDUP'!E$2:E$700,SMALL(IF('ALL DAILY STANDUP'!$B$2:$B$700=$B$3,ROW('ALL DAILY STANDUP'!$B$2:$B$700)-ROW(INDEX('ALL DAILY STANDUP'!$B$2:$B$700,1,1))+1),$B39)), "")</f>
        <v/>
      </c>
      <c r="F39" s="35" t="str">
        <f t="array" ref="F39">IFERROR(INDEX('ALL DAILY STANDUP'!F$2:F$700,SMALL(IF('ALL DAILY STANDUP'!$B$2:$B$700=$B$3,ROW('ALL DAILY STANDUP'!$B$2:$B$700)-ROW(INDEX('ALL DAILY STANDUP'!$B$2:$B$700,1,1))+1),$B39)), "")</f>
        <v/>
      </c>
    </row>
    <row r="40">
      <c r="B40" s="36">
        <v>32.0</v>
      </c>
      <c r="C40" s="34" t="str">
        <f t="array" ref="C40">IFERROR(INDEX('ALL DAILY STANDUP'!C$2:C$700,SMALL(IF('ALL DAILY STANDUP'!$B$2:$B$700=$B$3,ROW('ALL DAILY STANDUP'!$B$2:$B$700)-ROW(INDEX('ALL DAILY STANDUP'!$B$2:$B$700,1,1))+1),$B40)), "")</f>
        <v/>
      </c>
      <c r="D40" s="35" t="str">
        <f t="array" ref="D40">IFERROR(INDEX('ALL DAILY STANDUP'!D$2:D$700,SMALL(IF('ALL DAILY STANDUP'!$B$2:$B$700=$B$3,ROW('ALL DAILY STANDUP'!$B$2:$B$700)-ROW(INDEX('ALL DAILY STANDUP'!$B$2:$B$700,1,1))+1),$B40)), "")</f>
        <v/>
      </c>
      <c r="E40" s="35" t="str">
        <f t="array" ref="E40">IFERROR(INDEX('ALL DAILY STANDUP'!E$2:E$700,SMALL(IF('ALL DAILY STANDUP'!$B$2:$B$700=$B$3,ROW('ALL DAILY STANDUP'!$B$2:$B$700)-ROW(INDEX('ALL DAILY STANDUP'!$B$2:$B$700,1,1))+1),$B40)), "")</f>
        <v/>
      </c>
      <c r="F40" s="35" t="str">
        <f t="array" ref="F40">IFERROR(INDEX('ALL DAILY STANDUP'!F$2:F$700,SMALL(IF('ALL DAILY STANDUP'!$B$2:$B$700=$B$3,ROW('ALL DAILY STANDUP'!$B$2:$B$700)-ROW(INDEX('ALL DAILY STANDUP'!$B$2:$B$700,1,1))+1),$B40)), "")</f>
        <v/>
      </c>
    </row>
    <row r="41">
      <c r="B41" s="33">
        <v>33.0</v>
      </c>
      <c r="C41" s="34" t="str">
        <f t="array" ref="C41">IFERROR(INDEX('ALL DAILY STANDUP'!C$2:C$700,SMALL(IF('ALL DAILY STANDUP'!$B$2:$B$700=$B$3,ROW('ALL DAILY STANDUP'!$B$2:$B$700)-ROW(INDEX('ALL DAILY STANDUP'!$B$2:$B$700,1,1))+1),$B41)), "")</f>
        <v/>
      </c>
      <c r="D41" s="35" t="str">
        <f t="array" ref="D41">IFERROR(INDEX('ALL DAILY STANDUP'!D$2:D$700,SMALL(IF('ALL DAILY STANDUP'!$B$2:$B$700=$B$3,ROW('ALL DAILY STANDUP'!$B$2:$B$700)-ROW(INDEX('ALL DAILY STANDUP'!$B$2:$B$700,1,1))+1),$B41)), "")</f>
        <v/>
      </c>
      <c r="E41" s="35" t="str">
        <f t="array" ref="E41">IFERROR(INDEX('ALL DAILY STANDUP'!E$2:E$700,SMALL(IF('ALL DAILY STANDUP'!$B$2:$B$700=$B$3,ROW('ALL DAILY STANDUP'!$B$2:$B$700)-ROW(INDEX('ALL DAILY STANDUP'!$B$2:$B$700,1,1))+1),$B41)), "")</f>
        <v/>
      </c>
      <c r="F41" s="35" t="str">
        <f t="array" ref="F41">IFERROR(INDEX('ALL DAILY STANDUP'!F$2:F$700,SMALL(IF('ALL DAILY STANDUP'!$B$2:$B$700=$B$3,ROW('ALL DAILY STANDUP'!$B$2:$B$700)-ROW(INDEX('ALL DAILY STANDUP'!$B$2:$B$700,1,1))+1),$B41)), "")</f>
        <v/>
      </c>
    </row>
    <row r="42">
      <c r="B42" s="36">
        <v>34.0</v>
      </c>
      <c r="C42" s="34" t="str">
        <f t="array" ref="C42">IFERROR(INDEX('ALL DAILY STANDUP'!C$2:C$700,SMALL(IF('ALL DAILY STANDUP'!$B$2:$B$700=$B$3,ROW('ALL DAILY STANDUP'!$B$2:$B$700)-ROW(INDEX('ALL DAILY STANDUP'!$B$2:$B$700,1,1))+1),$B42)), "")</f>
        <v/>
      </c>
      <c r="D42" s="35" t="str">
        <f t="array" ref="D42">IFERROR(INDEX('ALL DAILY STANDUP'!D$2:D$700,SMALL(IF('ALL DAILY STANDUP'!$B$2:$B$700=$B$3,ROW('ALL DAILY STANDUP'!$B$2:$B$700)-ROW(INDEX('ALL DAILY STANDUP'!$B$2:$B$700,1,1))+1),$B42)), "")</f>
        <v/>
      </c>
      <c r="E42" s="35" t="str">
        <f t="array" ref="E42">IFERROR(INDEX('ALL DAILY STANDUP'!E$2:E$700,SMALL(IF('ALL DAILY STANDUP'!$B$2:$B$700=$B$3,ROW('ALL DAILY STANDUP'!$B$2:$B$700)-ROW(INDEX('ALL DAILY STANDUP'!$B$2:$B$700,1,1))+1),$B42)), "")</f>
        <v/>
      </c>
      <c r="F42" s="35" t="str">
        <f t="array" ref="F42">IFERROR(INDEX('ALL DAILY STANDUP'!F$2:F$700,SMALL(IF('ALL DAILY STANDUP'!$B$2:$B$700=$B$3,ROW('ALL DAILY STANDUP'!$B$2:$B$700)-ROW(INDEX('ALL DAILY STANDUP'!$B$2:$B$700,1,1))+1),$B42)), "")</f>
        <v/>
      </c>
    </row>
    <row r="43">
      <c r="B43" s="33">
        <v>35.0</v>
      </c>
      <c r="C43" s="34" t="str">
        <f t="array" ref="C43">IFERROR(INDEX('ALL DAILY STANDUP'!C$2:C$700,SMALL(IF('ALL DAILY STANDUP'!$B$2:$B$700=$B$3,ROW('ALL DAILY STANDUP'!$B$2:$B$700)-ROW(INDEX('ALL DAILY STANDUP'!$B$2:$B$700,1,1))+1),$B43)), "")</f>
        <v/>
      </c>
      <c r="D43" s="35" t="str">
        <f t="array" ref="D43">IFERROR(INDEX('ALL DAILY STANDUP'!D$2:D$700,SMALL(IF('ALL DAILY STANDUP'!$B$2:$B$700=$B$3,ROW('ALL DAILY STANDUP'!$B$2:$B$700)-ROW(INDEX('ALL DAILY STANDUP'!$B$2:$B$700,1,1))+1),$B43)), "")</f>
        <v/>
      </c>
      <c r="E43" s="35" t="str">
        <f t="array" ref="E43">IFERROR(INDEX('ALL DAILY STANDUP'!E$2:E$700,SMALL(IF('ALL DAILY STANDUP'!$B$2:$B$700=$B$3,ROW('ALL DAILY STANDUP'!$B$2:$B$700)-ROW(INDEX('ALL DAILY STANDUP'!$B$2:$B$700,1,1))+1),$B43)), "")</f>
        <v/>
      </c>
      <c r="F43" s="35" t="str">
        <f t="array" ref="F43">IFERROR(INDEX('ALL DAILY STANDUP'!F$2:F$700,SMALL(IF('ALL DAILY STANDUP'!$B$2:$B$700=$B$3,ROW('ALL DAILY STANDUP'!$B$2:$B$700)-ROW(INDEX('ALL DAILY STANDUP'!$B$2:$B$700,1,1))+1),$B43)), "")</f>
        <v/>
      </c>
    </row>
    <row r="44">
      <c r="B44" s="36">
        <v>36.0</v>
      </c>
      <c r="C44" s="34" t="str">
        <f t="array" ref="C44">IFERROR(INDEX('ALL DAILY STANDUP'!C$2:C$700,SMALL(IF('ALL DAILY STANDUP'!$B$2:$B$700=$B$3,ROW('ALL DAILY STANDUP'!$B$2:$B$700)-ROW(INDEX('ALL DAILY STANDUP'!$B$2:$B$700,1,1))+1),$B44)), "")</f>
        <v/>
      </c>
      <c r="D44" s="35" t="str">
        <f t="array" ref="D44">IFERROR(INDEX('ALL DAILY STANDUP'!D$2:D$700,SMALL(IF('ALL DAILY STANDUP'!$B$2:$B$700=$B$3,ROW('ALL DAILY STANDUP'!$B$2:$B$700)-ROW(INDEX('ALL DAILY STANDUP'!$B$2:$B$700,1,1))+1),$B44)), "")</f>
        <v/>
      </c>
      <c r="E44" s="35" t="str">
        <f t="array" ref="E44">IFERROR(INDEX('ALL DAILY STANDUP'!E$2:E$700,SMALL(IF('ALL DAILY STANDUP'!$B$2:$B$700=$B$3,ROW('ALL DAILY STANDUP'!$B$2:$B$700)-ROW(INDEX('ALL DAILY STANDUP'!$B$2:$B$700,1,1))+1),$B44)), "")</f>
        <v/>
      </c>
      <c r="F44" s="35" t="str">
        <f t="array" ref="F44">IFERROR(INDEX('ALL DAILY STANDUP'!F$2:F$700,SMALL(IF('ALL DAILY STANDUP'!$B$2:$B$700=$B$3,ROW('ALL DAILY STANDUP'!$B$2:$B$700)-ROW(INDEX('ALL DAILY STANDUP'!$B$2:$B$700,1,1))+1),$B44)), "")</f>
        <v/>
      </c>
    </row>
    <row r="45">
      <c r="B45" s="33">
        <v>37.0</v>
      </c>
      <c r="C45" s="34" t="str">
        <f t="array" ref="C45">IFERROR(INDEX('ALL DAILY STANDUP'!C$2:C$700,SMALL(IF('ALL DAILY STANDUP'!$B$2:$B$700=$B$3,ROW('ALL DAILY STANDUP'!$B$2:$B$700)-ROW(INDEX('ALL DAILY STANDUP'!$B$2:$B$700,1,1))+1),$B45)), "")</f>
        <v/>
      </c>
      <c r="D45" s="35" t="str">
        <f t="array" ref="D45">IFERROR(INDEX('ALL DAILY STANDUP'!D$2:D$700,SMALL(IF('ALL DAILY STANDUP'!$B$2:$B$700=$B$3,ROW('ALL DAILY STANDUP'!$B$2:$B$700)-ROW(INDEX('ALL DAILY STANDUP'!$B$2:$B$700,1,1))+1),$B45)), "")</f>
        <v/>
      </c>
      <c r="E45" s="35" t="str">
        <f t="array" ref="E45">IFERROR(INDEX('ALL DAILY STANDUP'!E$2:E$700,SMALL(IF('ALL DAILY STANDUP'!$B$2:$B$700=$B$3,ROW('ALL DAILY STANDUP'!$B$2:$B$700)-ROW(INDEX('ALL DAILY STANDUP'!$B$2:$B$700,1,1))+1),$B45)), "")</f>
        <v/>
      </c>
      <c r="F45" s="35" t="str">
        <f t="array" ref="F45">IFERROR(INDEX('ALL DAILY STANDUP'!F$2:F$700,SMALL(IF('ALL DAILY STANDUP'!$B$2:$B$700=$B$3,ROW('ALL DAILY STANDUP'!$B$2:$B$700)-ROW(INDEX('ALL DAILY STANDUP'!$B$2:$B$700,1,1))+1),$B45)), "")</f>
        <v/>
      </c>
    </row>
    <row r="46">
      <c r="B46" s="36">
        <v>38.0</v>
      </c>
      <c r="C46" s="34" t="str">
        <f t="array" ref="C46">IFERROR(INDEX('ALL DAILY STANDUP'!C$2:C$700,SMALL(IF('ALL DAILY STANDUP'!$B$2:$B$700=$B$3,ROW('ALL DAILY STANDUP'!$B$2:$B$700)-ROW(INDEX('ALL DAILY STANDUP'!$B$2:$B$700,1,1))+1),$B46)), "")</f>
        <v/>
      </c>
      <c r="D46" s="35" t="str">
        <f t="array" ref="D46">IFERROR(INDEX('ALL DAILY STANDUP'!D$2:D$700,SMALL(IF('ALL DAILY STANDUP'!$B$2:$B$700=$B$3,ROW('ALL DAILY STANDUP'!$B$2:$B$700)-ROW(INDEX('ALL DAILY STANDUP'!$B$2:$B$700,1,1))+1),$B46)), "")</f>
        <v/>
      </c>
      <c r="E46" s="35" t="str">
        <f t="array" ref="E46">IFERROR(INDEX('ALL DAILY STANDUP'!E$2:E$700,SMALL(IF('ALL DAILY STANDUP'!$B$2:$B$700=$B$3,ROW('ALL DAILY STANDUP'!$B$2:$B$700)-ROW(INDEX('ALL DAILY STANDUP'!$B$2:$B$700,1,1))+1),$B46)), "")</f>
        <v/>
      </c>
      <c r="F46" s="35" t="str">
        <f t="array" ref="F46">IFERROR(INDEX('ALL DAILY STANDUP'!F$2:F$700,SMALL(IF('ALL DAILY STANDUP'!$B$2:$B$700=$B$3,ROW('ALL DAILY STANDUP'!$B$2:$B$700)-ROW(INDEX('ALL DAILY STANDUP'!$B$2:$B$700,1,1))+1),$B46)), "")</f>
        <v/>
      </c>
    </row>
    <row r="47">
      <c r="B47" s="33">
        <v>39.0</v>
      </c>
      <c r="C47" s="34" t="str">
        <f t="array" ref="C47">IFERROR(INDEX('ALL DAILY STANDUP'!C$2:C$700,SMALL(IF('ALL DAILY STANDUP'!$B$2:$B$700=$B$3,ROW('ALL DAILY STANDUP'!$B$2:$B$700)-ROW(INDEX('ALL DAILY STANDUP'!$B$2:$B$700,1,1))+1),$B47)), "")</f>
        <v/>
      </c>
      <c r="D47" s="35" t="str">
        <f t="array" ref="D47">IFERROR(INDEX('ALL DAILY STANDUP'!D$2:D$700,SMALL(IF('ALL DAILY STANDUP'!$B$2:$B$700=$B$3,ROW('ALL DAILY STANDUP'!$B$2:$B$700)-ROW(INDEX('ALL DAILY STANDUP'!$B$2:$B$700,1,1))+1),$B47)), "")</f>
        <v/>
      </c>
      <c r="E47" s="35" t="str">
        <f t="array" ref="E47">IFERROR(INDEX('ALL DAILY STANDUP'!E$2:E$700,SMALL(IF('ALL DAILY STANDUP'!$B$2:$B$700=$B$3,ROW('ALL DAILY STANDUP'!$B$2:$B$700)-ROW(INDEX('ALL DAILY STANDUP'!$B$2:$B$700,1,1))+1),$B47)), "")</f>
        <v/>
      </c>
      <c r="F47" s="35" t="str">
        <f t="array" ref="F47">IFERROR(INDEX('ALL DAILY STANDUP'!F$2:F$700,SMALL(IF('ALL DAILY STANDUP'!$B$2:$B$700=$B$3,ROW('ALL DAILY STANDUP'!$B$2:$B$700)-ROW(INDEX('ALL DAILY STANDUP'!$B$2:$B$700,1,1))+1),$B47)), "")</f>
        <v/>
      </c>
    </row>
    <row r="48">
      <c r="B48" s="36">
        <v>40.0</v>
      </c>
      <c r="C48" s="34" t="str">
        <f t="array" ref="C48">IFERROR(INDEX('ALL DAILY STANDUP'!C$2:C$700,SMALL(IF('ALL DAILY STANDUP'!$B$2:$B$700=$B$3,ROW('ALL DAILY STANDUP'!$B$2:$B$700)-ROW(INDEX('ALL DAILY STANDUP'!$B$2:$B$700,1,1))+1),$B48)), "")</f>
        <v/>
      </c>
      <c r="D48" s="35" t="str">
        <f t="array" ref="D48">IFERROR(INDEX('ALL DAILY STANDUP'!D$2:D$700,SMALL(IF('ALL DAILY STANDUP'!$B$2:$B$700=$B$3,ROW('ALL DAILY STANDUP'!$B$2:$B$700)-ROW(INDEX('ALL DAILY STANDUP'!$B$2:$B$700,1,1))+1),$B48)), "")</f>
        <v/>
      </c>
      <c r="E48" s="35" t="str">
        <f t="array" ref="E48">IFERROR(INDEX('ALL DAILY STANDUP'!E$2:E$700,SMALL(IF('ALL DAILY STANDUP'!$B$2:$B$700=$B$3,ROW('ALL DAILY STANDUP'!$B$2:$B$700)-ROW(INDEX('ALL DAILY STANDUP'!$B$2:$B$700,1,1))+1),$B48)), "")</f>
        <v/>
      </c>
      <c r="F48" s="35" t="str">
        <f t="array" ref="F48">IFERROR(INDEX('ALL DAILY STANDUP'!F$2:F$700,SMALL(IF('ALL DAILY STANDUP'!$B$2:$B$700=$B$3,ROW('ALL DAILY STANDUP'!$B$2:$B$700)-ROW(INDEX('ALL DAILY STANDUP'!$B$2:$B$700,1,1))+1),$B48)), "")</f>
        <v/>
      </c>
    </row>
    <row r="49">
      <c r="B49" s="33">
        <v>41.0</v>
      </c>
      <c r="C49" s="34" t="str">
        <f t="array" ref="C49">IFERROR(INDEX('ALL DAILY STANDUP'!C$2:C$700,SMALL(IF('ALL DAILY STANDUP'!$B$2:$B$700=$B$3,ROW('ALL DAILY STANDUP'!$B$2:$B$700)-ROW(INDEX('ALL DAILY STANDUP'!$B$2:$B$700,1,1))+1),$B49)), "")</f>
        <v/>
      </c>
      <c r="D49" s="35" t="str">
        <f t="array" ref="D49">IFERROR(INDEX('ALL DAILY STANDUP'!D$2:D$700,SMALL(IF('ALL DAILY STANDUP'!$B$2:$B$700=$B$3,ROW('ALL DAILY STANDUP'!$B$2:$B$700)-ROW(INDEX('ALL DAILY STANDUP'!$B$2:$B$700,1,1))+1),$B49)), "")</f>
        <v/>
      </c>
      <c r="E49" s="35" t="str">
        <f t="array" ref="E49">IFERROR(INDEX('ALL DAILY STANDUP'!E$2:E$700,SMALL(IF('ALL DAILY STANDUP'!$B$2:$B$700=$B$3,ROW('ALL DAILY STANDUP'!$B$2:$B$700)-ROW(INDEX('ALL DAILY STANDUP'!$B$2:$B$700,1,1))+1),$B49)), "")</f>
        <v/>
      </c>
      <c r="F49" s="35" t="str">
        <f t="array" ref="F49">IFERROR(INDEX('ALL DAILY STANDUP'!F$2:F$700,SMALL(IF('ALL DAILY STANDUP'!$B$2:$B$700=$B$3,ROW('ALL DAILY STANDUP'!$B$2:$B$700)-ROW(INDEX('ALL DAILY STANDUP'!$B$2:$B$700,1,1))+1),$B49)), "")</f>
        <v/>
      </c>
    </row>
    <row r="50">
      <c r="B50" s="36">
        <v>42.0</v>
      </c>
      <c r="C50" s="34" t="str">
        <f t="array" ref="C50">IFERROR(INDEX('ALL DAILY STANDUP'!C$2:C$700,SMALL(IF('ALL DAILY STANDUP'!$B$2:$B$700=$B$3,ROW('ALL DAILY STANDUP'!$B$2:$B$700)-ROW(INDEX('ALL DAILY STANDUP'!$B$2:$B$700,1,1))+1),$B50)), "")</f>
        <v/>
      </c>
      <c r="D50" s="35" t="str">
        <f t="array" ref="D50">IFERROR(INDEX('ALL DAILY STANDUP'!D$2:D$700,SMALL(IF('ALL DAILY STANDUP'!$B$2:$B$700=$B$3,ROW('ALL DAILY STANDUP'!$B$2:$B$700)-ROW(INDEX('ALL DAILY STANDUP'!$B$2:$B$700,1,1))+1),$B50)), "")</f>
        <v/>
      </c>
      <c r="E50" s="35" t="str">
        <f t="array" ref="E50">IFERROR(INDEX('ALL DAILY STANDUP'!E$2:E$700,SMALL(IF('ALL DAILY STANDUP'!$B$2:$B$700=$B$3,ROW('ALL DAILY STANDUP'!$B$2:$B$700)-ROW(INDEX('ALL DAILY STANDUP'!$B$2:$B$700,1,1))+1),$B50)), "")</f>
        <v/>
      </c>
      <c r="F50" s="35" t="str">
        <f t="array" ref="F50">IFERROR(INDEX('ALL DAILY STANDUP'!F$2:F$700,SMALL(IF('ALL DAILY STANDUP'!$B$2:$B$700=$B$3,ROW('ALL DAILY STANDUP'!$B$2:$B$700)-ROW(INDEX('ALL DAILY STANDUP'!$B$2:$B$700,1,1))+1),$B50)), "")</f>
        <v/>
      </c>
    </row>
    <row r="51">
      <c r="B51" s="33">
        <v>43.0</v>
      </c>
      <c r="C51" s="34" t="str">
        <f t="array" ref="C51">IFERROR(INDEX('ALL DAILY STANDUP'!C$2:C$700,SMALL(IF('ALL DAILY STANDUP'!$B$2:$B$700=$B$3,ROW('ALL DAILY STANDUP'!$B$2:$B$700)-ROW(INDEX('ALL DAILY STANDUP'!$B$2:$B$700,1,1))+1),$B51)), "")</f>
        <v/>
      </c>
      <c r="D51" s="35" t="str">
        <f t="array" ref="D51">IFERROR(INDEX('ALL DAILY STANDUP'!D$2:D$700,SMALL(IF('ALL DAILY STANDUP'!$B$2:$B$700=$B$3,ROW('ALL DAILY STANDUP'!$B$2:$B$700)-ROW(INDEX('ALL DAILY STANDUP'!$B$2:$B$700,1,1))+1),$B51)), "")</f>
        <v/>
      </c>
      <c r="E51" s="35" t="str">
        <f t="array" ref="E51">IFERROR(INDEX('ALL DAILY STANDUP'!E$2:E$700,SMALL(IF('ALL DAILY STANDUP'!$B$2:$B$700=$B$3,ROW('ALL DAILY STANDUP'!$B$2:$B$700)-ROW(INDEX('ALL DAILY STANDUP'!$B$2:$B$700,1,1))+1),$B51)), "")</f>
        <v/>
      </c>
      <c r="F51" s="35" t="str">
        <f t="array" ref="F51">IFERROR(INDEX('ALL DAILY STANDUP'!F$2:F$700,SMALL(IF('ALL DAILY STANDUP'!$B$2:$B$700=$B$3,ROW('ALL DAILY STANDUP'!$B$2:$B$700)-ROW(INDEX('ALL DAILY STANDUP'!$B$2:$B$700,1,1))+1),$B51)), "")</f>
        <v/>
      </c>
    </row>
    <row r="52">
      <c r="B52" s="36">
        <v>44.0</v>
      </c>
      <c r="C52" s="34" t="str">
        <f t="array" ref="C52">IFERROR(INDEX('ALL DAILY STANDUP'!C$2:C$700,SMALL(IF('ALL DAILY STANDUP'!$B$2:$B$700=$B$3,ROW('ALL DAILY STANDUP'!$B$2:$B$700)-ROW(INDEX('ALL DAILY STANDUP'!$B$2:$B$700,1,1))+1),$B52)), "")</f>
        <v/>
      </c>
      <c r="D52" s="35" t="str">
        <f t="array" ref="D52">IFERROR(INDEX('ALL DAILY STANDUP'!D$2:D$700,SMALL(IF('ALL DAILY STANDUP'!$B$2:$B$700=$B$3,ROW('ALL DAILY STANDUP'!$B$2:$B$700)-ROW(INDEX('ALL DAILY STANDUP'!$B$2:$B$700,1,1))+1),$B52)), "")</f>
        <v/>
      </c>
      <c r="E52" s="35" t="str">
        <f t="array" ref="E52">IFERROR(INDEX('ALL DAILY STANDUP'!E$2:E$700,SMALL(IF('ALL DAILY STANDUP'!$B$2:$B$700=$B$3,ROW('ALL DAILY STANDUP'!$B$2:$B$700)-ROW(INDEX('ALL DAILY STANDUP'!$B$2:$B$700,1,1))+1),$B52)), "")</f>
        <v/>
      </c>
      <c r="F52" s="35" t="str">
        <f t="array" ref="F52">IFERROR(INDEX('ALL DAILY STANDUP'!F$2:F$700,SMALL(IF('ALL DAILY STANDUP'!$B$2:$B$700=$B$3,ROW('ALL DAILY STANDUP'!$B$2:$B$700)-ROW(INDEX('ALL DAILY STANDUP'!$B$2:$B$700,1,1))+1),$B52)), "")</f>
        <v/>
      </c>
    </row>
    <row r="53">
      <c r="B53" s="33">
        <v>45.0</v>
      </c>
      <c r="C53" s="34" t="str">
        <f t="array" ref="C53">IFERROR(INDEX('ALL DAILY STANDUP'!C$2:C$700,SMALL(IF('ALL DAILY STANDUP'!$B$2:$B$700=$B$3,ROW('ALL DAILY STANDUP'!$B$2:$B$700)-ROW(INDEX('ALL DAILY STANDUP'!$B$2:$B$700,1,1))+1),$B53)), "")</f>
        <v/>
      </c>
      <c r="D53" s="35" t="str">
        <f t="array" ref="D53">IFERROR(INDEX('ALL DAILY STANDUP'!D$2:D$700,SMALL(IF('ALL DAILY STANDUP'!$B$2:$B$700=$B$3,ROW('ALL DAILY STANDUP'!$B$2:$B$700)-ROW(INDEX('ALL DAILY STANDUP'!$B$2:$B$700,1,1))+1),$B53)), "")</f>
        <v/>
      </c>
      <c r="E53" s="35" t="str">
        <f t="array" ref="E53">IFERROR(INDEX('ALL DAILY STANDUP'!E$2:E$700,SMALL(IF('ALL DAILY STANDUP'!$B$2:$B$700=$B$3,ROW('ALL DAILY STANDUP'!$B$2:$B$700)-ROW(INDEX('ALL DAILY STANDUP'!$B$2:$B$700,1,1))+1),$B53)), "")</f>
        <v/>
      </c>
      <c r="F53" s="35" t="str">
        <f t="array" ref="F53">IFERROR(INDEX('ALL DAILY STANDUP'!F$2:F$700,SMALL(IF('ALL DAILY STANDUP'!$B$2:$B$700=$B$3,ROW('ALL DAILY STANDUP'!$B$2:$B$700)-ROW(INDEX('ALL DAILY STANDUP'!$B$2:$B$700,1,1))+1),$B53)), "")</f>
        <v/>
      </c>
    </row>
    <row r="54">
      <c r="B54" s="36">
        <v>46.0</v>
      </c>
      <c r="C54" s="34" t="str">
        <f t="array" ref="C54">IFERROR(INDEX('ALL DAILY STANDUP'!C$2:C$700,SMALL(IF('ALL DAILY STANDUP'!$B$2:$B$700=$B$3,ROW('ALL DAILY STANDUP'!$B$2:$B$700)-ROW(INDEX('ALL DAILY STANDUP'!$B$2:$B$700,1,1))+1),$B54)), "")</f>
        <v/>
      </c>
      <c r="D54" s="35" t="str">
        <f t="array" ref="D54">IFERROR(INDEX('ALL DAILY STANDUP'!D$2:D$700,SMALL(IF('ALL DAILY STANDUP'!$B$2:$B$700=$B$3,ROW('ALL DAILY STANDUP'!$B$2:$B$700)-ROW(INDEX('ALL DAILY STANDUP'!$B$2:$B$700,1,1))+1),$B54)), "")</f>
        <v/>
      </c>
      <c r="E54" s="35" t="str">
        <f t="array" ref="E54">IFERROR(INDEX('ALL DAILY STANDUP'!E$2:E$700,SMALL(IF('ALL DAILY STANDUP'!$B$2:$B$700=$B$3,ROW('ALL DAILY STANDUP'!$B$2:$B$700)-ROW(INDEX('ALL DAILY STANDUP'!$B$2:$B$700,1,1))+1),$B54)), "")</f>
        <v/>
      </c>
      <c r="F54" s="35" t="str">
        <f t="array" ref="F54">IFERROR(INDEX('ALL DAILY STANDUP'!F$2:F$700,SMALL(IF('ALL DAILY STANDUP'!$B$2:$B$700=$B$3,ROW('ALL DAILY STANDUP'!$B$2:$B$700)-ROW(INDEX('ALL DAILY STANDUP'!$B$2:$B$700,1,1))+1),$B54)), "")</f>
        <v/>
      </c>
    </row>
    <row r="55">
      <c r="B55" s="33">
        <v>47.0</v>
      </c>
      <c r="C55" s="34" t="str">
        <f t="array" ref="C55">IFERROR(INDEX('ALL DAILY STANDUP'!C$2:C$700,SMALL(IF('ALL DAILY STANDUP'!$B$2:$B$700=$B$3,ROW('ALL DAILY STANDUP'!$B$2:$B$700)-ROW(INDEX('ALL DAILY STANDUP'!$B$2:$B$700,1,1))+1),$B55)), "")</f>
        <v/>
      </c>
      <c r="D55" s="35" t="str">
        <f t="array" ref="D55">IFERROR(INDEX('ALL DAILY STANDUP'!D$2:D$700,SMALL(IF('ALL DAILY STANDUP'!$B$2:$B$700=$B$3,ROW('ALL DAILY STANDUP'!$B$2:$B$700)-ROW(INDEX('ALL DAILY STANDUP'!$B$2:$B$700,1,1))+1),$B55)), "")</f>
        <v/>
      </c>
      <c r="E55" s="35" t="str">
        <f t="array" ref="E55">IFERROR(INDEX('ALL DAILY STANDUP'!E$2:E$700,SMALL(IF('ALL DAILY STANDUP'!$B$2:$B$700=$B$3,ROW('ALL DAILY STANDUP'!$B$2:$B$700)-ROW(INDEX('ALL DAILY STANDUP'!$B$2:$B$700,1,1))+1),$B55)), "")</f>
        <v/>
      </c>
      <c r="F55" s="35" t="str">
        <f t="array" ref="F55">IFERROR(INDEX('ALL DAILY STANDUP'!F$2:F$700,SMALL(IF('ALL DAILY STANDUP'!$B$2:$B$700=$B$3,ROW('ALL DAILY STANDUP'!$B$2:$B$700)-ROW(INDEX('ALL DAILY STANDUP'!$B$2:$B$700,1,1))+1),$B55)), "")</f>
        <v/>
      </c>
    </row>
    <row r="56">
      <c r="B56" s="36">
        <v>48.0</v>
      </c>
      <c r="C56" s="34" t="str">
        <f t="array" ref="C56">IFERROR(INDEX('ALL DAILY STANDUP'!C$2:C$700,SMALL(IF('ALL DAILY STANDUP'!$B$2:$B$700=$B$3,ROW('ALL DAILY STANDUP'!$B$2:$B$700)-ROW(INDEX('ALL DAILY STANDUP'!$B$2:$B$700,1,1))+1),$B56)), "")</f>
        <v/>
      </c>
      <c r="D56" s="35" t="str">
        <f t="array" ref="D56">IFERROR(INDEX('ALL DAILY STANDUP'!D$2:D$700,SMALL(IF('ALL DAILY STANDUP'!$B$2:$B$700=$B$3,ROW('ALL DAILY STANDUP'!$B$2:$B$700)-ROW(INDEX('ALL DAILY STANDUP'!$B$2:$B$700,1,1))+1),$B56)), "")</f>
        <v/>
      </c>
      <c r="E56" s="35" t="str">
        <f t="array" ref="E56">IFERROR(INDEX('ALL DAILY STANDUP'!E$2:E$700,SMALL(IF('ALL DAILY STANDUP'!$B$2:$B$700=$B$3,ROW('ALL DAILY STANDUP'!$B$2:$B$700)-ROW(INDEX('ALL DAILY STANDUP'!$B$2:$B$700,1,1))+1),$B56)), "")</f>
        <v/>
      </c>
      <c r="F56" s="35" t="str">
        <f t="array" ref="F56">IFERROR(INDEX('ALL DAILY STANDUP'!F$2:F$700,SMALL(IF('ALL DAILY STANDUP'!$B$2:$B$700=$B$3,ROW('ALL DAILY STANDUP'!$B$2:$B$700)-ROW(INDEX('ALL DAILY STANDUP'!$B$2:$B$700,1,1))+1),$B56)), "")</f>
        <v/>
      </c>
    </row>
    <row r="57">
      <c r="B57" s="33">
        <v>49.0</v>
      </c>
      <c r="C57" s="34" t="str">
        <f t="array" ref="C57">IFERROR(INDEX('ALL DAILY STANDUP'!C$2:C$700,SMALL(IF('ALL DAILY STANDUP'!$B$2:$B$700=$B$3,ROW('ALL DAILY STANDUP'!$B$2:$B$700)-ROW(INDEX('ALL DAILY STANDUP'!$B$2:$B$700,1,1))+1),$B57)), "")</f>
        <v/>
      </c>
      <c r="D57" s="35" t="str">
        <f t="array" ref="D57">IFERROR(INDEX('ALL DAILY STANDUP'!D$2:D$700,SMALL(IF('ALL DAILY STANDUP'!$B$2:$B$700=$B$3,ROW('ALL DAILY STANDUP'!$B$2:$B$700)-ROW(INDEX('ALL DAILY STANDUP'!$B$2:$B$700,1,1))+1),$B57)), "")</f>
        <v/>
      </c>
      <c r="E57" s="35" t="str">
        <f t="array" ref="E57">IFERROR(INDEX('ALL DAILY STANDUP'!E$2:E$700,SMALL(IF('ALL DAILY STANDUP'!$B$2:$B$700=$B$3,ROW('ALL DAILY STANDUP'!$B$2:$B$700)-ROW(INDEX('ALL DAILY STANDUP'!$B$2:$B$700,1,1))+1),$B57)), "")</f>
        <v/>
      </c>
      <c r="F57" s="35" t="str">
        <f t="array" ref="F57">IFERROR(INDEX('ALL DAILY STANDUP'!F$2:F$700,SMALL(IF('ALL DAILY STANDUP'!$B$2:$B$700=$B$3,ROW('ALL DAILY STANDUP'!$B$2:$B$700)-ROW(INDEX('ALL DAILY STANDUP'!$B$2:$B$700,1,1))+1),$B57)), "")</f>
        <v/>
      </c>
    </row>
    <row r="58">
      <c r="B58" s="36">
        <v>50.0</v>
      </c>
      <c r="C58" s="34" t="str">
        <f t="array" ref="C58">IFERROR(INDEX('ALL DAILY STANDUP'!C$2:C$700,SMALL(IF('ALL DAILY STANDUP'!$B$2:$B$700=$B$3,ROW('ALL DAILY STANDUP'!$B$2:$B$700)-ROW(INDEX('ALL DAILY STANDUP'!$B$2:$B$700,1,1))+1),$B58)), "")</f>
        <v/>
      </c>
      <c r="D58" s="35" t="str">
        <f t="array" ref="D58">IFERROR(INDEX('ALL DAILY STANDUP'!D$2:D$700,SMALL(IF('ALL DAILY STANDUP'!$B$2:$B$700=$B$3,ROW('ALL DAILY STANDUP'!$B$2:$B$700)-ROW(INDEX('ALL DAILY STANDUP'!$B$2:$B$700,1,1))+1),$B58)), "")</f>
        <v/>
      </c>
      <c r="E58" s="35" t="str">
        <f t="array" ref="E58">IFERROR(INDEX('ALL DAILY STANDUP'!E$2:E$700,SMALL(IF('ALL DAILY STANDUP'!$B$2:$B$700=$B$3,ROW('ALL DAILY STANDUP'!$B$2:$B$700)-ROW(INDEX('ALL DAILY STANDUP'!$B$2:$B$700,1,1))+1),$B58)), "")</f>
        <v/>
      </c>
      <c r="F58" s="35" t="str">
        <f t="array" ref="F58">IFERROR(INDEX('ALL DAILY STANDUP'!F$2:F$700,SMALL(IF('ALL DAILY STANDUP'!$B$2:$B$700=$B$3,ROW('ALL DAILY STANDUP'!$B$2:$B$700)-ROW(INDEX('ALL DAILY STANDUP'!$B$2:$B$700,1,1))+1),$B58)), "")</f>
        <v/>
      </c>
    </row>
    <row r="59">
      <c r="B59" s="33">
        <v>51.0</v>
      </c>
      <c r="C59" s="34" t="str">
        <f t="array" ref="C59">IFERROR(INDEX('ALL DAILY STANDUP'!C$2:C$700,SMALL(IF('ALL DAILY STANDUP'!$B$2:$B$700=$B$3,ROW('ALL DAILY STANDUP'!$B$2:$B$700)-ROW(INDEX('ALL DAILY STANDUP'!$B$2:$B$700,1,1))+1),$B59)), "")</f>
        <v/>
      </c>
      <c r="D59" s="35" t="str">
        <f t="array" ref="D59">IFERROR(INDEX('ALL DAILY STANDUP'!D$2:D$700,SMALL(IF('ALL DAILY STANDUP'!$B$2:$B$700=$B$3,ROW('ALL DAILY STANDUP'!$B$2:$B$700)-ROW(INDEX('ALL DAILY STANDUP'!$B$2:$B$700,1,1))+1),$B59)), "")</f>
        <v/>
      </c>
      <c r="E59" s="35" t="str">
        <f t="array" ref="E59">IFERROR(INDEX('ALL DAILY STANDUP'!E$2:E$700,SMALL(IF('ALL DAILY STANDUP'!$B$2:$B$700=$B$3,ROW('ALL DAILY STANDUP'!$B$2:$B$700)-ROW(INDEX('ALL DAILY STANDUP'!$B$2:$B$700,1,1))+1),$B59)), "")</f>
        <v/>
      </c>
      <c r="F59" s="35" t="str">
        <f t="array" ref="F59">IFERROR(INDEX('ALL DAILY STANDUP'!F$2:F$700,SMALL(IF('ALL DAILY STANDUP'!$B$2:$B$700=$B$3,ROW('ALL DAILY STANDUP'!$B$2:$B$700)-ROW(INDEX('ALL DAILY STANDUP'!$B$2:$B$700,1,1))+1),$B59)), "")</f>
        <v/>
      </c>
    </row>
    <row r="60">
      <c r="B60" s="36">
        <v>52.0</v>
      </c>
      <c r="C60" s="34" t="str">
        <f t="array" ref="C60">IFERROR(INDEX('ALL DAILY STANDUP'!C$2:C$700,SMALL(IF('ALL DAILY STANDUP'!$B$2:$B$700=$B$3,ROW('ALL DAILY STANDUP'!$B$2:$B$700)-ROW(INDEX('ALL DAILY STANDUP'!$B$2:$B$700,1,1))+1),$B60)), "")</f>
        <v/>
      </c>
      <c r="D60" s="35" t="str">
        <f t="array" ref="D60">IFERROR(INDEX('ALL DAILY STANDUP'!D$2:D$700,SMALL(IF('ALL DAILY STANDUP'!$B$2:$B$700=$B$3,ROW('ALL DAILY STANDUP'!$B$2:$B$700)-ROW(INDEX('ALL DAILY STANDUP'!$B$2:$B$700,1,1))+1),$B60)), "")</f>
        <v/>
      </c>
      <c r="E60" s="35" t="str">
        <f t="array" ref="E60">IFERROR(INDEX('ALL DAILY STANDUP'!E$2:E$700,SMALL(IF('ALL DAILY STANDUP'!$B$2:$B$700=$B$3,ROW('ALL DAILY STANDUP'!$B$2:$B$700)-ROW(INDEX('ALL DAILY STANDUP'!$B$2:$B$700,1,1))+1),$B60)), "")</f>
        <v/>
      </c>
      <c r="F60" s="35" t="str">
        <f t="array" ref="F60">IFERROR(INDEX('ALL DAILY STANDUP'!F$2:F$700,SMALL(IF('ALL DAILY STANDUP'!$B$2:$B$700=$B$3,ROW('ALL DAILY STANDUP'!$B$2:$B$700)-ROW(INDEX('ALL DAILY STANDUP'!$B$2:$B$700,1,1))+1),$B60)), "")</f>
        <v/>
      </c>
    </row>
    <row r="61">
      <c r="B61" s="33">
        <v>53.0</v>
      </c>
      <c r="C61" s="34" t="str">
        <f t="array" ref="C61">IFERROR(INDEX('ALL DAILY STANDUP'!C$2:C$700,SMALL(IF('ALL DAILY STANDUP'!$B$2:$B$700=$B$3,ROW('ALL DAILY STANDUP'!$B$2:$B$700)-ROW(INDEX('ALL DAILY STANDUP'!$B$2:$B$700,1,1))+1),$B61)), "")</f>
        <v/>
      </c>
      <c r="D61" s="35" t="str">
        <f t="array" ref="D61">IFERROR(INDEX('ALL DAILY STANDUP'!D$2:D$700,SMALL(IF('ALL DAILY STANDUP'!$B$2:$B$700=$B$3,ROW('ALL DAILY STANDUP'!$B$2:$B$700)-ROW(INDEX('ALL DAILY STANDUP'!$B$2:$B$700,1,1))+1),$B61)), "")</f>
        <v/>
      </c>
      <c r="E61" s="35" t="str">
        <f t="array" ref="E61">IFERROR(INDEX('ALL DAILY STANDUP'!E$2:E$700,SMALL(IF('ALL DAILY STANDUP'!$B$2:$B$700=$B$3,ROW('ALL DAILY STANDUP'!$B$2:$B$700)-ROW(INDEX('ALL DAILY STANDUP'!$B$2:$B$700,1,1))+1),$B61)), "")</f>
        <v/>
      </c>
      <c r="F61" s="35" t="str">
        <f t="array" ref="F61">IFERROR(INDEX('ALL DAILY STANDUP'!F$2:F$700,SMALL(IF('ALL DAILY STANDUP'!$B$2:$B$700=$B$3,ROW('ALL DAILY STANDUP'!$B$2:$B$700)-ROW(INDEX('ALL DAILY STANDUP'!$B$2:$B$700,1,1))+1),$B61)), "")</f>
        <v/>
      </c>
    </row>
    <row r="62">
      <c r="B62" s="36">
        <v>54.0</v>
      </c>
      <c r="C62" s="34" t="str">
        <f t="array" ref="C62">IFERROR(INDEX('ALL DAILY STANDUP'!C$2:C$700,SMALL(IF('ALL DAILY STANDUP'!$B$2:$B$700=$B$3,ROW('ALL DAILY STANDUP'!$B$2:$B$700)-ROW(INDEX('ALL DAILY STANDUP'!$B$2:$B$700,1,1))+1),$B62)), "")</f>
        <v/>
      </c>
      <c r="D62" s="35" t="str">
        <f t="array" ref="D62">IFERROR(INDEX('ALL DAILY STANDUP'!D$2:D$700,SMALL(IF('ALL DAILY STANDUP'!$B$2:$B$700=$B$3,ROW('ALL DAILY STANDUP'!$B$2:$B$700)-ROW(INDEX('ALL DAILY STANDUP'!$B$2:$B$700,1,1))+1),$B62)), "")</f>
        <v/>
      </c>
      <c r="E62" s="35" t="str">
        <f t="array" ref="E62">IFERROR(INDEX('ALL DAILY STANDUP'!E$2:E$700,SMALL(IF('ALL DAILY STANDUP'!$B$2:$B$700=$B$3,ROW('ALL DAILY STANDUP'!$B$2:$B$700)-ROW(INDEX('ALL DAILY STANDUP'!$B$2:$B$700,1,1))+1),$B62)), "")</f>
        <v/>
      </c>
      <c r="F62" s="35" t="str">
        <f t="array" ref="F62">IFERROR(INDEX('ALL DAILY STANDUP'!F$2:F$700,SMALL(IF('ALL DAILY STANDUP'!$B$2:$B$700=$B$3,ROW('ALL DAILY STANDUP'!$B$2:$B$700)-ROW(INDEX('ALL DAILY STANDUP'!$B$2:$B$700,1,1))+1),$B62)), "")</f>
        <v/>
      </c>
    </row>
    <row r="63">
      <c r="B63" s="33">
        <v>55.0</v>
      </c>
      <c r="C63" s="34" t="str">
        <f t="array" ref="C63">IFERROR(INDEX('ALL DAILY STANDUP'!C$2:C$700,SMALL(IF('ALL DAILY STANDUP'!$B$2:$B$700=$B$3,ROW('ALL DAILY STANDUP'!$B$2:$B$700)-ROW(INDEX('ALL DAILY STANDUP'!$B$2:$B$700,1,1))+1),$B63)), "")</f>
        <v/>
      </c>
      <c r="D63" s="35" t="str">
        <f t="array" ref="D63">IFERROR(INDEX('ALL DAILY STANDUP'!D$2:D$700,SMALL(IF('ALL DAILY STANDUP'!$B$2:$B$700=$B$3,ROW('ALL DAILY STANDUP'!$B$2:$B$700)-ROW(INDEX('ALL DAILY STANDUP'!$B$2:$B$700,1,1))+1),$B63)), "")</f>
        <v/>
      </c>
      <c r="E63" s="35" t="str">
        <f t="array" ref="E63">IFERROR(INDEX('ALL DAILY STANDUP'!E$2:E$700,SMALL(IF('ALL DAILY STANDUP'!$B$2:$B$700=$B$3,ROW('ALL DAILY STANDUP'!$B$2:$B$700)-ROW(INDEX('ALL DAILY STANDUP'!$B$2:$B$700,1,1))+1),$B63)), "")</f>
        <v/>
      </c>
      <c r="F63" s="35" t="str">
        <f t="array" ref="F63">IFERROR(INDEX('ALL DAILY STANDUP'!F$2:F$700,SMALL(IF('ALL DAILY STANDUP'!$B$2:$B$700=$B$3,ROW('ALL DAILY STANDUP'!$B$2:$B$700)-ROW(INDEX('ALL DAILY STANDUP'!$B$2:$B$700,1,1))+1),$B63)), "")</f>
        <v/>
      </c>
    </row>
    <row r="64">
      <c r="B64" s="36">
        <v>56.0</v>
      </c>
      <c r="C64" s="34" t="str">
        <f t="array" ref="C64">IFERROR(INDEX('ALL DAILY STANDUP'!C$2:C$700,SMALL(IF('ALL DAILY STANDUP'!$B$2:$B$700=$B$3,ROW('ALL DAILY STANDUP'!$B$2:$B$700)-ROW(INDEX('ALL DAILY STANDUP'!$B$2:$B$700,1,1))+1),$B64)), "")</f>
        <v/>
      </c>
      <c r="D64" s="35" t="str">
        <f t="array" ref="D64">IFERROR(INDEX('ALL DAILY STANDUP'!D$2:D$700,SMALL(IF('ALL DAILY STANDUP'!$B$2:$B$700=$B$3,ROW('ALL DAILY STANDUP'!$B$2:$B$700)-ROW(INDEX('ALL DAILY STANDUP'!$B$2:$B$700,1,1))+1),$B64)), "")</f>
        <v/>
      </c>
      <c r="E64" s="35" t="str">
        <f t="array" ref="E64">IFERROR(INDEX('ALL DAILY STANDUP'!E$2:E$700,SMALL(IF('ALL DAILY STANDUP'!$B$2:$B$700=$B$3,ROW('ALL DAILY STANDUP'!$B$2:$B$700)-ROW(INDEX('ALL DAILY STANDUP'!$B$2:$B$700,1,1))+1),$B64)), "")</f>
        <v/>
      </c>
      <c r="F64" s="35" t="str">
        <f t="array" ref="F64">IFERROR(INDEX('ALL DAILY STANDUP'!F$2:F$700,SMALL(IF('ALL DAILY STANDUP'!$B$2:$B$700=$B$3,ROW('ALL DAILY STANDUP'!$B$2:$B$700)-ROW(INDEX('ALL DAILY STANDUP'!$B$2:$B$700,1,1))+1),$B64)), "")</f>
        <v/>
      </c>
    </row>
    <row r="65">
      <c r="B65" s="33">
        <v>57.0</v>
      </c>
      <c r="C65" s="34" t="str">
        <f t="array" ref="C65">IFERROR(INDEX('ALL DAILY STANDUP'!C$2:C$700,SMALL(IF('ALL DAILY STANDUP'!$B$2:$B$700=$B$3,ROW('ALL DAILY STANDUP'!$B$2:$B$700)-ROW(INDEX('ALL DAILY STANDUP'!$B$2:$B$700,1,1))+1),$B65)), "")</f>
        <v/>
      </c>
      <c r="D65" s="35" t="str">
        <f t="array" ref="D65">IFERROR(INDEX('ALL DAILY STANDUP'!D$2:D$700,SMALL(IF('ALL DAILY STANDUP'!$B$2:$B$700=$B$3,ROW('ALL DAILY STANDUP'!$B$2:$B$700)-ROW(INDEX('ALL DAILY STANDUP'!$B$2:$B$700,1,1))+1),$B65)), "")</f>
        <v/>
      </c>
      <c r="E65" s="35" t="str">
        <f t="array" ref="E65">IFERROR(INDEX('ALL DAILY STANDUP'!E$2:E$700,SMALL(IF('ALL DAILY STANDUP'!$B$2:$B$700=$B$3,ROW('ALL DAILY STANDUP'!$B$2:$B$700)-ROW(INDEX('ALL DAILY STANDUP'!$B$2:$B$700,1,1))+1),$B65)), "")</f>
        <v/>
      </c>
      <c r="F65" s="35" t="str">
        <f t="array" ref="F65">IFERROR(INDEX('ALL DAILY STANDUP'!F$2:F$700,SMALL(IF('ALL DAILY STANDUP'!$B$2:$B$700=$B$3,ROW('ALL DAILY STANDUP'!$B$2:$B$700)-ROW(INDEX('ALL DAILY STANDUP'!$B$2:$B$700,1,1))+1),$B65)), "")</f>
        <v/>
      </c>
    </row>
    <row r="66">
      <c r="B66" s="36">
        <v>58.0</v>
      </c>
      <c r="C66" s="34" t="str">
        <f t="array" ref="C66">IFERROR(INDEX('ALL DAILY STANDUP'!C$2:C$700,SMALL(IF('ALL DAILY STANDUP'!$B$2:$B$700=$B$3,ROW('ALL DAILY STANDUP'!$B$2:$B$700)-ROW(INDEX('ALL DAILY STANDUP'!$B$2:$B$700,1,1))+1),$B66)), "")</f>
        <v/>
      </c>
      <c r="D66" s="35" t="str">
        <f t="array" ref="D66">IFERROR(INDEX('ALL DAILY STANDUP'!D$2:D$700,SMALL(IF('ALL DAILY STANDUP'!$B$2:$B$700=$B$3,ROW('ALL DAILY STANDUP'!$B$2:$B$700)-ROW(INDEX('ALL DAILY STANDUP'!$B$2:$B$700,1,1))+1),$B66)), "")</f>
        <v/>
      </c>
      <c r="E66" s="35" t="str">
        <f t="array" ref="E66">IFERROR(INDEX('ALL DAILY STANDUP'!E$2:E$700,SMALL(IF('ALL DAILY STANDUP'!$B$2:$B$700=$B$3,ROW('ALL DAILY STANDUP'!$B$2:$B$700)-ROW(INDEX('ALL DAILY STANDUP'!$B$2:$B$700,1,1))+1),$B66)), "")</f>
        <v/>
      </c>
      <c r="F66" s="35" t="str">
        <f t="array" ref="F66">IFERROR(INDEX('ALL DAILY STANDUP'!F$2:F$700,SMALL(IF('ALL DAILY STANDUP'!$B$2:$B$700=$B$3,ROW('ALL DAILY STANDUP'!$B$2:$B$700)-ROW(INDEX('ALL DAILY STANDUP'!$B$2:$B$700,1,1))+1),$B66)), "")</f>
        <v/>
      </c>
    </row>
    <row r="67">
      <c r="B67" s="33">
        <v>59.0</v>
      </c>
      <c r="C67" s="34" t="str">
        <f t="array" ref="C67">IFERROR(INDEX('ALL DAILY STANDUP'!C$2:C$700,SMALL(IF('ALL DAILY STANDUP'!$B$2:$B$700=$B$3,ROW('ALL DAILY STANDUP'!$B$2:$B$700)-ROW(INDEX('ALL DAILY STANDUP'!$B$2:$B$700,1,1))+1),$B67)), "")</f>
        <v/>
      </c>
      <c r="D67" s="35" t="str">
        <f t="array" ref="D67">IFERROR(INDEX('ALL DAILY STANDUP'!D$2:D$700,SMALL(IF('ALL DAILY STANDUP'!$B$2:$B$700=$B$3,ROW('ALL DAILY STANDUP'!$B$2:$B$700)-ROW(INDEX('ALL DAILY STANDUP'!$B$2:$B$700,1,1))+1),$B67)), "")</f>
        <v/>
      </c>
      <c r="E67" s="35" t="str">
        <f t="array" ref="E67">IFERROR(INDEX('ALL DAILY STANDUP'!E$2:E$700,SMALL(IF('ALL DAILY STANDUP'!$B$2:$B$700=$B$3,ROW('ALL DAILY STANDUP'!$B$2:$B$700)-ROW(INDEX('ALL DAILY STANDUP'!$B$2:$B$700,1,1))+1),$B67)), "")</f>
        <v/>
      </c>
      <c r="F67" s="35" t="str">
        <f t="array" ref="F67">IFERROR(INDEX('ALL DAILY STANDUP'!F$2:F$700,SMALL(IF('ALL DAILY STANDUP'!$B$2:$B$700=$B$3,ROW('ALL DAILY STANDUP'!$B$2:$B$700)-ROW(INDEX('ALL DAILY STANDUP'!$B$2:$B$700,1,1))+1),$B67)), "")</f>
        <v/>
      </c>
    </row>
    <row r="68">
      <c r="B68" s="36">
        <v>60.0</v>
      </c>
      <c r="C68" s="34" t="str">
        <f t="array" ref="C68">IFERROR(INDEX('ALL DAILY STANDUP'!C$2:C$700,SMALL(IF('ALL DAILY STANDUP'!$B$2:$B$700=$B$3,ROW('ALL DAILY STANDUP'!$B$2:$B$700)-ROW(INDEX('ALL DAILY STANDUP'!$B$2:$B$700,1,1))+1),$B68)), "")</f>
        <v/>
      </c>
      <c r="D68" s="35" t="str">
        <f t="array" ref="D68">IFERROR(INDEX('ALL DAILY STANDUP'!D$2:D$700,SMALL(IF('ALL DAILY STANDUP'!$B$2:$B$700=$B$3,ROW('ALL DAILY STANDUP'!$B$2:$B$700)-ROW(INDEX('ALL DAILY STANDUP'!$B$2:$B$700,1,1))+1),$B68)), "")</f>
        <v/>
      </c>
      <c r="E68" s="35" t="str">
        <f t="array" ref="E68">IFERROR(INDEX('ALL DAILY STANDUP'!E$2:E$700,SMALL(IF('ALL DAILY STANDUP'!$B$2:$B$700=$B$3,ROW('ALL DAILY STANDUP'!$B$2:$B$700)-ROW(INDEX('ALL DAILY STANDUP'!$B$2:$B$700,1,1))+1),$B68)), "")</f>
        <v/>
      </c>
      <c r="F68" s="35" t="str">
        <f t="array" ref="F68">IFERROR(INDEX('ALL DAILY STANDUP'!F$2:F$700,SMALL(IF('ALL DAILY STANDUP'!$B$2:$B$700=$B$3,ROW('ALL DAILY STANDUP'!$B$2:$B$700)-ROW(INDEX('ALL DAILY STANDUP'!$B$2:$B$700,1,1))+1),$B68)), "")</f>
        <v/>
      </c>
    </row>
    <row r="69">
      <c r="B69" s="33">
        <v>61.0</v>
      </c>
      <c r="C69" s="34" t="str">
        <f t="array" ref="C69">IFERROR(INDEX('ALL DAILY STANDUP'!C$2:C$700,SMALL(IF('ALL DAILY STANDUP'!$B$2:$B$700=$B$3,ROW('ALL DAILY STANDUP'!$B$2:$B$700)-ROW(INDEX('ALL DAILY STANDUP'!$B$2:$B$700,1,1))+1),$B69)), "")</f>
        <v/>
      </c>
      <c r="D69" s="35" t="str">
        <f t="array" ref="D69">IFERROR(INDEX('ALL DAILY STANDUP'!D$2:D$700,SMALL(IF('ALL DAILY STANDUP'!$B$2:$B$700=$B$3,ROW('ALL DAILY STANDUP'!$B$2:$B$700)-ROW(INDEX('ALL DAILY STANDUP'!$B$2:$B$700,1,1))+1),$B69)), "")</f>
        <v/>
      </c>
      <c r="E69" s="35" t="str">
        <f t="array" ref="E69">IFERROR(INDEX('ALL DAILY STANDUP'!E$2:E$700,SMALL(IF('ALL DAILY STANDUP'!$B$2:$B$700=$B$3,ROW('ALL DAILY STANDUP'!$B$2:$B$700)-ROW(INDEX('ALL DAILY STANDUP'!$B$2:$B$700,1,1))+1),$B69)), "")</f>
        <v/>
      </c>
      <c r="F69" s="35" t="str">
        <f t="array" ref="F69">IFERROR(INDEX('ALL DAILY STANDUP'!F$2:F$700,SMALL(IF('ALL DAILY STANDUP'!$B$2:$B$700=$B$3,ROW('ALL DAILY STANDUP'!$B$2:$B$700)-ROW(INDEX('ALL DAILY STANDUP'!$B$2:$B$700,1,1))+1),$B69)), "")</f>
        <v/>
      </c>
    </row>
    <row r="70">
      <c r="B70" s="36">
        <v>62.0</v>
      </c>
      <c r="C70" s="34" t="str">
        <f t="array" ref="C70">IFERROR(INDEX('ALL DAILY STANDUP'!C$2:C$700,SMALL(IF('ALL DAILY STANDUP'!$B$2:$B$700=$B$3,ROW('ALL DAILY STANDUP'!$B$2:$B$700)-ROW(INDEX('ALL DAILY STANDUP'!$B$2:$B$700,1,1))+1),$B70)), "")</f>
        <v/>
      </c>
      <c r="D70" s="35" t="str">
        <f t="array" ref="D70">IFERROR(INDEX('ALL DAILY STANDUP'!D$2:D$700,SMALL(IF('ALL DAILY STANDUP'!$B$2:$B$700=$B$3,ROW('ALL DAILY STANDUP'!$B$2:$B$700)-ROW(INDEX('ALL DAILY STANDUP'!$B$2:$B$700,1,1))+1),$B70)), "")</f>
        <v/>
      </c>
      <c r="E70" s="35" t="str">
        <f t="array" ref="E70">IFERROR(INDEX('ALL DAILY STANDUP'!E$2:E$700,SMALL(IF('ALL DAILY STANDUP'!$B$2:$B$700=$B$3,ROW('ALL DAILY STANDUP'!$B$2:$B$700)-ROW(INDEX('ALL DAILY STANDUP'!$B$2:$B$700,1,1))+1),$B70)), "")</f>
        <v/>
      </c>
      <c r="F70" s="35" t="str">
        <f t="array" ref="F70">IFERROR(INDEX('ALL DAILY STANDUP'!F$2:F$700,SMALL(IF('ALL DAILY STANDUP'!$B$2:$B$700=$B$3,ROW('ALL DAILY STANDUP'!$B$2:$B$700)-ROW(INDEX('ALL DAILY STANDUP'!$B$2:$B$700,1,1))+1),$B70)), "")</f>
        <v/>
      </c>
    </row>
    <row r="71">
      <c r="B71" s="33">
        <v>63.0</v>
      </c>
      <c r="C71" s="34" t="str">
        <f t="array" ref="C71">IFERROR(INDEX('ALL DAILY STANDUP'!C$2:C$700,SMALL(IF('ALL DAILY STANDUP'!$B$2:$B$700=$B$3,ROW('ALL DAILY STANDUP'!$B$2:$B$700)-ROW(INDEX('ALL DAILY STANDUP'!$B$2:$B$700,1,1))+1),$B71)), "")</f>
        <v/>
      </c>
      <c r="D71" s="35" t="str">
        <f t="array" ref="D71">IFERROR(INDEX('ALL DAILY STANDUP'!D$2:D$700,SMALL(IF('ALL DAILY STANDUP'!$B$2:$B$700=$B$3,ROW('ALL DAILY STANDUP'!$B$2:$B$700)-ROW(INDEX('ALL DAILY STANDUP'!$B$2:$B$700,1,1))+1),$B71)), "")</f>
        <v/>
      </c>
      <c r="E71" s="35" t="str">
        <f t="array" ref="E71">IFERROR(INDEX('ALL DAILY STANDUP'!E$2:E$700,SMALL(IF('ALL DAILY STANDUP'!$B$2:$B$700=$B$3,ROW('ALL DAILY STANDUP'!$B$2:$B$700)-ROW(INDEX('ALL DAILY STANDUP'!$B$2:$B$700,1,1))+1),$B71)), "")</f>
        <v/>
      </c>
      <c r="F71" s="35" t="str">
        <f t="array" ref="F71">IFERROR(INDEX('ALL DAILY STANDUP'!F$2:F$700,SMALL(IF('ALL DAILY STANDUP'!$B$2:$B$700=$B$3,ROW('ALL DAILY STANDUP'!$B$2:$B$700)-ROW(INDEX('ALL DAILY STANDUP'!$B$2:$B$700,1,1))+1),$B71)), "")</f>
        <v/>
      </c>
    </row>
    <row r="72">
      <c r="B72" s="36">
        <v>64.0</v>
      </c>
      <c r="C72" s="34" t="str">
        <f t="array" ref="C72">IFERROR(INDEX('ALL DAILY STANDUP'!C$2:C$700,SMALL(IF('ALL DAILY STANDUP'!$B$2:$B$700=$B$3,ROW('ALL DAILY STANDUP'!$B$2:$B$700)-ROW(INDEX('ALL DAILY STANDUP'!$B$2:$B$700,1,1))+1),$B72)), "")</f>
        <v/>
      </c>
      <c r="D72" s="35" t="str">
        <f t="array" ref="D72">IFERROR(INDEX('ALL DAILY STANDUP'!D$2:D$700,SMALL(IF('ALL DAILY STANDUP'!$B$2:$B$700=$B$3,ROW('ALL DAILY STANDUP'!$B$2:$B$700)-ROW(INDEX('ALL DAILY STANDUP'!$B$2:$B$700,1,1))+1),$B72)), "")</f>
        <v/>
      </c>
      <c r="E72" s="35" t="str">
        <f t="array" ref="E72">IFERROR(INDEX('ALL DAILY STANDUP'!E$2:E$700,SMALL(IF('ALL DAILY STANDUP'!$B$2:$B$700=$B$3,ROW('ALL DAILY STANDUP'!$B$2:$B$700)-ROW(INDEX('ALL DAILY STANDUP'!$B$2:$B$700,1,1))+1),$B72)), "")</f>
        <v/>
      </c>
      <c r="F72" s="35" t="str">
        <f t="array" ref="F72">IFERROR(INDEX('ALL DAILY STANDUP'!F$2:F$700,SMALL(IF('ALL DAILY STANDUP'!$B$2:$B$700=$B$3,ROW('ALL DAILY STANDUP'!$B$2:$B$700)-ROW(INDEX('ALL DAILY STANDUP'!$B$2:$B$700,1,1))+1),$B72)), "")</f>
        <v/>
      </c>
    </row>
    <row r="73">
      <c r="B73" s="33">
        <v>65.0</v>
      </c>
      <c r="C73" s="34" t="str">
        <f t="array" ref="C73">IFERROR(INDEX('ALL DAILY STANDUP'!C$2:C$700,SMALL(IF('ALL DAILY STANDUP'!$B$2:$B$700=$B$3,ROW('ALL DAILY STANDUP'!$B$2:$B$700)-ROW(INDEX('ALL DAILY STANDUP'!$B$2:$B$700,1,1))+1),$B73)), "")</f>
        <v/>
      </c>
      <c r="D73" s="35" t="str">
        <f t="array" ref="D73">IFERROR(INDEX('ALL DAILY STANDUP'!D$2:D$700,SMALL(IF('ALL DAILY STANDUP'!$B$2:$B$700=$B$3,ROW('ALL DAILY STANDUP'!$B$2:$B$700)-ROW(INDEX('ALL DAILY STANDUP'!$B$2:$B$700,1,1))+1),$B73)), "")</f>
        <v/>
      </c>
      <c r="E73" s="35" t="str">
        <f t="array" ref="E73">IFERROR(INDEX('ALL DAILY STANDUP'!E$2:E$700,SMALL(IF('ALL DAILY STANDUP'!$B$2:$B$700=$B$3,ROW('ALL DAILY STANDUP'!$B$2:$B$700)-ROW(INDEX('ALL DAILY STANDUP'!$B$2:$B$700,1,1))+1),$B73)), "")</f>
        <v/>
      </c>
      <c r="F73" s="35" t="str">
        <f t="array" ref="F73">IFERROR(INDEX('ALL DAILY STANDUP'!F$2:F$700,SMALL(IF('ALL DAILY STANDUP'!$B$2:$B$700=$B$3,ROW('ALL DAILY STANDUP'!$B$2:$B$700)-ROW(INDEX('ALL DAILY STANDUP'!$B$2:$B$700,1,1))+1),$B73)), "")</f>
        <v/>
      </c>
    </row>
    <row r="74">
      <c r="B74" s="36">
        <v>66.0</v>
      </c>
      <c r="C74" s="34" t="str">
        <f t="array" ref="C74">IFERROR(INDEX('ALL DAILY STANDUP'!C$2:C$700,SMALL(IF('ALL DAILY STANDUP'!$B$2:$B$700=$B$3,ROW('ALL DAILY STANDUP'!$B$2:$B$700)-ROW(INDEX('ALL DAILY STANDUP'!$B$2:$B$700,1,1))+1),$B74)), "")</f>
        <v/>
      </c>
      <c r="D74" s="35" t="str">
        <f t="array" ref="D74">IFERROR(INDEX('ALL DAILY STANDUP'!D$2:D$700,SMALL(IF('ALL DAILY STANDUP'!$B$2:$B$700=$B$3,ROW('ALL DAILY STANDUP'!$B$2:$B$700)-ROW(INDEX('ALL DAILY STANDUP'!$B$2:$B$700,1,1))+1),$B74)), "")</f>
        <v/>
      </c>
      <c r="E74" s="35" t="str">
        <f t="array" ref="E74">IFERROR(INDEX('ALL DAILY STANDUP'!E$2:E$700,SMALL(IF('ALL DAILY STANDUP'!$B$2:$B$700=$B$3,ROW('ALL DAILY STANDUP'!$B$2:$B$700)-ROW(INDEX('ALL DAILY STANDUP'!$B$2:$B$700,1,1))+1),$B74)), "")</f>
        <v/>
      </c>
      <c r="F74" s="35" t="str">
        <f t="array" ref="F74">IFERROR(INDEX('ALL DAILY STANDUP'!F$2:F$700,SMALL(IF('ALL DAILY STANDUP'!$B$2:$B$700=$B$3,ROW('ALL DAILY STANDUP'!$B$2:$B$700)-ROW(INDEX('ALL DAILY STANDUP'!$B$2:$B$700,1,1))+1),$B74)), "")</f>
        <v/>
      </c>
    </row>
    <row r="75">
      <c r="B75" s="33">
        <v>67.0</v>
      </c>
      <c r="C75" s="34" t="str">
        <f t="array" ref="C75">IFERROR(INDEX('ALL DAILY STANDUP'!C$2:C$700,SMALL(IF('ALL DAILY STANDUP'!$B$2:$B$700=$B$3,ROW('ALL DAILY STANDUP'!$B$2:$B$700)-ROW(INDEX('ALL DAILY STANDUP'!$B$2:$B$700,1,1))+1),$B75)), "")</f>
        <v/>
      </c>
      <c r="D75" s="35" t="str">
        <f t="array" ref="D75">IFERROR(INDEX('ALL DAILY STANDUP'!D$2:D$700,SMALL(IF('ALL DAILY STANDUP'!$B$2:$B$700=$B$3,ROW('ALL DAILY STANDUP'!$B$2:$B$700)-ROW(INDEX('ALL DAILY STANDUP'!$B$2:$B$700,1,1))+1),$B75)), "")</f>
        <v/>
      </c>
      <c r="E75" s="35" t="str">
        <f t="array" ref="E75">IFERROR(INDEX('ALL DAILY STANDUP'!E$2:E$700,SMALL(IF('ALL DAILY STANDUP'!$B$2:$B$700=$B$3,ROW('ALL DAILY STANDUP'!$B$2:$B$700)-ROW(INDEX('ALL DAILY STANDUP'!$B$2:$B$700,1,1))+1),$B75)), "")</f>
        <v/>
      </c>
      <c r="F75" s="35" t="str">
        <f t="array" ref="F75">IFERROR(INDEX('ALL DAILY STANDUP'!F$2:F$700,SMALL(IF('ALL DAILY STANDUP'!$B$2:$B$700=$B$3,ROW('ALL DAILY STANDUP'!$B$2:$B$700)-ROW(INDEX('ALL DAILY STANDUP'!$B$2:$B$700,1,1))+1),$B75)), "")</f>
        <v/>
      </c>
    </row>
    <row r="76">
      <c r="B76" s="36">
        <v>68.0</v>
      </c>
      <c r="C76" s="34" t="str">
        <f t="array" ref="C76">IFERROR(INDEX('ALL DAILY STANDUP'!C$2:C$700,SMALL(IF('ALL DAILY STANDUP'!$B$2:$B$700=$B$3,ROW('ALL DAILY STANDUP'!$B$2:$B$700)-ROW(INDEX('ALL DAILY STANDUP'!$B$2:$B$700,1,1))+1),$B76)), "")</f>
        <v/>
      </c>
      <c r="D76" s="35" t="str">
        <f t="array" ref="D76">IFERROR(INDEX('ALL DAILY STANDUP'!D$2:D$700,SMALL(IF('ALL DAILY STANDUP'!$B$2:$B$700=$B$3,ROW('ALL DAILY STANDUP'!$B$2:$B$700)-ROW(INDEX('ALL DAILY STANDUP'!$B$2:$B$700,1,1))+1),$B76)), "")</f>
        <v/>
      </c>
      <c r="E76" s="35" t="str">
        <f t="array" ref="E76">IFERROR(INDEX('ALL DAILY STANDUP'!E$2:E$700,SMALL(IF('ALL DAILY STANDUP'!$B$2:$B$700=$B$3,ROW('ALL DAILY STANDUP'!$B$2:$B$700)-ROW(INDEX('ALL DAILY STANDUP'!$B$2:$B$700,1,1))+1),$B76)), "")</f>
        <v/>
      </c>
      <c r="F76" s="35" t="str">
        <f t="array" ref="F76">IFERROR(INDEX('ALL DAILY STANDUP'!F$2:F$700,SMALL(IF('ALL DAILY STANDUP'!$B$2:$B$700=$B$3,ROW('ALL DAILY STANDUP'!$B$2:$B$700)-ROW(INDEX('ALL DAILY STANDUP'!$B$2:$B$700,1,1))+1),$B76)), "")</f>
        <v/>
      </c>
    </row>
    <row r="77">
      <c r="B77" s="33">
        <v>69.0</v>
      </c>
      <c r="C77" s="34" t="str">
        <f t="array" ref="C77">IFERROR(INDEX('ALL DAILY STANDUP'!C$2:C$700,SMALL(IF('ALL DAILY STANDUP'!$B$2:$B$700=$B$3,ROW('ALL DAILY STANDUP'!$B$2:$B$700)-ROW(INDEX('ALL DAILY STANDUP'!$B$2:$B$700,1,1))+1),$B77)), "")</f>
        <v/>
      </c>
      <c r="D77" s="35" t="str">
        <f t="array" ref="D77">IFERROR(INDEX('ALL DAILY STANDUP'!D$2:D$700,SMALL(IF('ALL DAILY STANDUP'!$B$2:$B$700=$B$3,ROW('ALL DAILY STANDUP'!$B$2:$B$700)-ROW(INDEX('ALL DAILY STANDUP'!$B$2:$B$700,1,1))+1),$B77)), "")</f>
        <v/>
      </c>
      <c r="E77" s="35" t="str">
        <f t="array" ref="E77">IFERROR(INDEX('ALL DAILY STANDUP'!E$2:E$700,SMALL(IF('ALL DAILY STANDUP'!$B$2:$B$700=$B$3,ROW('ALL DAILY STANDUP'!$B$2:$B$700)-ROW(INDEX('ALL DAILY STANDUP'!$B$2:$B$700,1,1))+1),$B77)), "")</f>
        <v/>
      </c>
      <c r="F77" s="35" t="str">
        <f t="array" ref="F77">IFERROR(INDEX('ALL DAILY STANDUP'!F$2:F$700,SMALL(IF('ALL DAILY STANDUP'!$B$2:$B$700=$B$3,ROW('ALL DAILY STANDUP'!$B$2:$B$700)-ROW(INDEX('ALL DAILY STANDUP'!$B$2:$B$700,1,1))+1),$B77)), "")</f>
        <v/>
      </c>
    </row>
    <row r="78">
      <c r="B78" s="36">
        <v>70.0</v>
      </c>
      <c r="C78" s="34" t="str">
        <f t="array" ref="C78">IFERROR(INDEX('ALL DAILY STANDUP'!C$2:C$700,SMALL(IF('ALL DAILY STANDUP'!$B$2:$B$700=$B$3,ROW('ALL DAILY STANDUP'!$B$2:$B$700)-ROW(INDEX('ALL DAILY STANDUP'!$B$2:$B$700,1,1))+1),$B78)), "")</f>
        <v/>
      </c>
      <c r="D78" s="35" t="str">
        <f t="array" ref="D78">IFERROR(INDEX('ALL DAILY STANDUP'!D$2:D$700,SMALL(IF('ALL DAILY STANDUP'!$B$2:$B$700=$B$3,ROW('ALL DAILY STANDUP'!$B$2:$B$700)-ROW(INDEX('ALL DAILY STANDUP'!$B$2:$B$700,1,1))+1),$B78)), "")</f>
        <v/>
      </c>
      <c r="E78" s="35" t="str">
        <f t="array" ref="E78">IFERROR(INDEX('ALL DAILY STANDUP'!E$2:E$700,SMALL(IF('ALL DAILY STANDUP'!$B$2:$B$700=$B$3,ROW('ALL DAILY STANDUP'!$B$2:$B$700)-ROW(INDEX('ALL DAILY STANDUP'!$B$2:$B$700,1,1))+1),$B78)), "")</f>
        <v/>
      </c>
      <c r="F78" s="35" t="str">
        <f t="array" ref="F78">IFERROR(INDEX('ALL DAILY STANDUP'!F$2:F$700,SMALL(IF('ALL DAILY STANDUP'!$B$2:$B$700=$B$3,ROW('ALL DAILY STANDUP'!$B$2:$B$700)-ROW(INDEX('ALL DAILY STANDUP'!$B$2:$B$700,1,1))+1),$B78)), "")</f>
        <v/>
      </c>
    </row>
    <row r="79">
      <c r="B79" s="33">
        <v>71.0</v>
      </c>
      <c r="C79" s="34" t="str">
        <f t="array" ref="C79">IFERROR(INDEX('ALL DAILY STANDUP'!C$2:C$700,SMALL(IF('ALL DAILY STANDUP'!$B$2:$B$700=$B$3,ROW('ALL DAILY STANDUP'!$B$2:$B$700)-ROW(INDEX('ALL DAILY STANDUP'!$B$2:$B$700,1,1))+1),$B79)), "")</f>
        <v/>
      </c>
      <c r="D79" s="35" t="str">
        <f t="array" ref="D79">IFERROR(INDEX('ALL DAILY STANDUP'!D$2:D$700,SMALL(IF('ALL DAILY STANDUP'!$B$2:$B$700=$B$3,ROW('ALL DAILY STANDUP'!$B$2:$B$700)-ROW(INDEX('ALL DAILY STANDUP'!$B$2:$B$700,1,1))+1),$B79)), "")</f>
        <v/>
      </c>
      <c r="E79" s="35" t="str">
        <f t="array" ref="E79">IFERROR(INDEX('ALL DAILY STANDUP'!E$2:E$700,SMALL(IF('ALL DAILY STANDUP'!$B$2:$B$700=$B$3,ROW('ALL DAILY STANDUP'!$B$2:$B$700)-ROW(INDEX('ALL DAILY STANDUP'!$B$2:$B$700,1,1))+1),$B79)), "")</f>
        <v/>
      </c>
      <c r="F79" s="35" t="str">
        <f t="array" ref="F79">IFERROR(INDEX('ALL DAILY STANDUP'!F$2:F$700,SMALL(IF('ALL DAILY STANDUP'!$B$2:$B$700=$B$3,ROW('ALL DAILY STANDUP'!$B$2:$B$700)-ROW(INDEX('ALL DAILY STANDUP'!$B$2:$B$700,1,1))+1),$B79)), "")</f>
        <v/>
      </c>
    </row>
    <row r="80">
      <c r="B80" s="36">
        <v>72.0</v>
      </c>
      <c r="C80" s="34" t="str">
        <f t="array" ref="C80">IFERROR(INDEX('ALL DAILY STANDUP'!C$2:C$700,SMALL(IF('ALL DAILY STANDUP'!$B$2:$B$700=$B$3,ROW('ALL DAILY STANDUP'!$B$2:$B$700)-ROW(INDEX('ALL DAILY STANDUP'!$B$2:$B$700,1,1))+1),$B80)), "")</f>
        <v/>
      </c>
      <c r="D80" s="35" t="str">
        <f t="array" ref="D80">IFERROR(INDEX('ALL DAILY STANDUP'!D$2:D$700,SMALL(IF('ALL DAILY STANDUP'!$B$2:$B$700=$B$3,ROW('ALL DAILY STANDUP'!$B$2:$B$700)-ROW(INDEX('ALL DAILY STANDUP'!$B$2:$B$700,1,1))+1),$B80)), "")</f>
        <v/>
      </c>
      <c r="E80" s="35" t="str">
        <f t="array" ref="E80">IFERROR(INDEX('ALL DAILY STANDUP'!E$2:E$700,SMALL(IF('ALL DAILY STANDUP'!$B$2:$B$700=$B$3,ROW('ALL DAILY STANDUP'!$B$2:$B$700)-ROW(INDEX('ALL DAILY STANDUP'!$B$2:$B$700,1,1))+1),$B80)), "")</f>
        <v/>
      </c>
      <c r="F80" s="35" t="str">
        <f t="array" ref="F80">IFERROR(INDEX('ALL DAILY STANDUP'!F$2:F$700,SMALL(IF('ALL DAILY STANDUP'!$B$2:$B$700=$B$3,ROW('ALL DAILY STANDUP'!$B$2:$B$700)-ROW(INDEX('ALL DAILY STANDUP'!$B$2:$B$700,1,1))+1),$B80)), "")</f>
        <v/>
      </c>
    </row>
    <row r="81">
      <c r="B81" s="33">
        <v>73.0</v>
      </c>
      <c r="C81" s="34" t="str">
        <f t="array" ref="C81">IFERROR(INDEX('ALL DAILY STANDUP'!C$2:C$700,SMALL(IF('ALL DAILY STANDUP'!$B$2:$B$700=$B$3,ROW('ALL DAILY STANDUP'!$B$2:$B$700)-ROW(INDEX('ALL DAILY STANDUP'!$B$2:$B$700,1,1))+1),$B81)), "")</f>
        <v/>
      </c>
      <c r="D81" s="35" t="str">
        <f t="array" ref="D81">IFERROR(INDEX('ALL DAILY STANDUP'!D$2:D$700,SMALL(IF('ALL DAILY STANDUP'!$B$2:$B$700=$B$3,ROW('ALL DAILY STANDUP'!$B$2:$B$700)-ROW(INDEX('ALL DAILY STANDUP'!$B$2:$B$700,1,1))+1),$B81)), "")</f>
        <v/>
      </c>
      <c r="E81" s="35" t="str">
        <f t="array" ref="E81">IFERROR(INDEX('ALL DAILY STANDUP'!E$2:E$700,SMALL(IF('ALL DAILY STANDUP'!$B$2:$B$700=$B$3,ROW('ALL DAILY STANDUP'!$B$2:$B$700)-ROW(INDEX('ALL DAILY STANDUP'!$B$2:$B$700,1,1))+1),$B81)), "")</f>
        <v/>
      </c>
      <c r="F81" s="35" t="str">
        <f t="array" ref="F81">IFERROR(INDEX('ALL DAILY STANDUP'!F$2:F$700,SMALL(IF('ALL DAILY STANDUP'!$B$2:$B$700=$B$3,ROW('ALL DAILY STANDUP'!$B$2:$B$700)-ROW(INDEX('ALL DAILY STANDUP'!$B$2:$B$700,1,1))+1),$B81)), "")</f>
        <v/>
      </c>
    </row>
    <row r="82">
      <c r="B82" s="36">
        <v>74.0</v>
      </c>
      <c r="C82" s="34" t="str">
        <f t="array" ref="C82">IFERROR(INDEX('ALL DAILY STANDUP'!C$2:C$700,SMALL(IF('ALL DAILY STANDUP'!$B$2:$B$700=$B$3,ROW('ALL DAILY STANDUP'!$B$2:$B$700)-ROW(INDEX('ALL DAILY STANDUP'!$B$2:$B$700,1,1))+1),$B82)), "")</f>
        <v/>
      </c>
      <c r="D82" s="35" t="str">
        <f t="array" ref="D82">IFERROR(INDEX('ALL DAILY STANDUP'!D$2:D$700,SMALL(IF('ALL DAILY STANDUP'!$B$2:$B$700=$B$3,ROW('ALL DAILY STANDUP'!$B$2:$B$700)-ROW(INDEX('ALL DAILY STANDUP'!$B$2:$B$700,1,1))+1),$B82)), "")</f>
        <v/>
      </c>
      <c r="E82" s="35" t="str">
        <f t="array" ref="E82">IFERROR(INDEX('ALL DAILY STANDUP'!E$2:E$700,SMALL(IF('ALL DAILY STANDUP'!$B$2:$B$700=$B$3,ROW('ALL DAILY STANDUP'!$B$2:$B$700)-ROW(INDEX('ALL DAILY STANDUP'!$B$2:$B$700,1,1))+1),$B82)), "")</f>
        <v/>
      </c>
      <c r="F82" s="35" t="str">
        <f t="array" ref="F82">IFERROR(INDEX('ALL DAILY STANDUP'!F$2:F$700,SMALL(IF('ALL DAILY STANDUP'!$B$2:$B$700=$B$3,ROW('ALL DAILY STANDUP'!$B$2:$B$700)-ROW(INDEX('ALL DAILY STANDUP'!$B$2:$B$700,1,1))+1),$B82)), "")</f>
        <v/>
      </c>
    </row>
    <row r="83">
      <c r="B83" s="33">
        <v>75.0</v>
      </c>
      <c r="C83" s="34" t="str">
        <f t="array" ref="C83">IFERROR(INDEX('ALL DAILY STANDUP'!C$2:C$700,SMALL(IF('ALL DAILY STANDUP'!$B$2:$B$700=$B$3,ROW('ALL DAILY STANDUP'!$B$2:$B$700)-ROW(INDEX('ALL DAILY STANDUP'!$B$2:$B$700,1,1))+1),$B83)), "")</f>
        <v/>
      </c>
      <c r="D83" s="35" t="str">
        <f t="array" ref="D83">IFERROR(INDEX('ALL DAILY STANDUP'!D$2:D$700,SMALL(IF('ALL DAILY STANDUP'!$B$2:$B$700=$B$3,ROW('ALL DAILY STANDUP'!$B$2:$B$700)-ROW(INDEX('ALL DAILY STANDUP'!$B$2:$B$700,1,1))+1),$B83)), "")</f>
        <v/>
      </c>
      <c r="E83" s="35" t="str">
        <f t="array" ref="E83">IFERROR(INDEX('ALL DAILY STANDUP'!E$2:E$700,SMALL(IF('ALL DAILY STANDUP'!$B$2:$B$700=$B$3,ROW('ALL DAILY STANDUP'!$B$2:$B$700)-ROW(INDEX('ALL DAILY STANDUP'!$B$2:$B$700,1,1))+1),$B83)), "")</f>
        <v/>
      </c>
      <c r="F83" s="35" t="str">
        <f t="array" ref="F83">IFERROR(INDEX('ALL DAILY STANDUP'!F$2:F$700,SMALL(IF('ALL DAILY STANDUP'!$B$2:$B$700=$B$3,ROW('ALL DAILY STANDUP'!$B$2:$B$700)-ROW(INDEX('ALL DAILY STANDUP'!$B$2:$B$700,1,1))+1),$B83)), "")</f>
        <v/>
      </c>
    </row>
    <row r="84">
      <c r="B84" s="36">
        <v>76.0</v>
      </c>
      <c r="C84" s="34" t="str">
        <f t="array" ref="C84">IFERROR(INDEX('ALL DAILY STANDUP'!C$2:C$700,SMALL(IF('ALL DAILY STANDUP'!$B$2:$B$700=$B$3,ROW('ALL DAILY STANDUP'!$B$2:$B$700)-ROW(INDEX('ALL DAILY STANDUP'!$B$2:$B$700,1,1))+1),$B84)), "")</f>
        <v/>
      </c>
      <c r="D84" s="35" t="str">
        <f t="array" ref="D84">IFERROR(INDEX('ALL DAILY STANDUP'!D$2:D$700,SMALL(IF('ALL DAILY STANDUP'!$B$2:$B$700=$B$3,ROW('ALL DAILY STANDUP'!$B$2:$B$700)-ROW(INDEX('ALL DAILY STANDUP'!$B$2:$B$700,1,1))+1),$B84)), "")</f>
        <v/>
      </c>
      <c r="E84" s="35" t="str">
        <f t="array" ref="E84">IFERROR(INDEX('ALL DAILY STANDUP'!E$2:E$700,SMALL(IF('ALL DAILY STANDUP'!$B$2:$B$700=$B$3,ROW('ALL DAILY STANDUP'!$B$2:$B$700)-ROW(INDEX('ALL DAILY STANDUP'!$B$2:$B$700,1,1))+1),$B84)), "")</f>
        <v/>
      </c>
      <c r="F84" s="35" t="str">
        <f t="array" ref="F84">IFERROR(INDEX('ALL DAILY STANDUP'!F$2:F$700,SMALL(IF('ALL DAILY STANDUP'!$B$2:$B$700=$B$3,ROW('ALL DAILY STANDUP'!$B$2:$B$700)-ROW(INDEX('ALL DAILY STANDUP'!$B$2:$B$700,1,1))+1),$B84)), "")</f>
        <v/>
      </c>
    </row>
    <row r="85">
      <c r="B85" s="33">
        <v>77.0</v>
      </c>
      <c r="C85" s="34" t="str">
        <f t="array" ref="C85">IFERROR(INDEX('ALL DAILY STANDUP'!C$2:C$700,SMALL(IF('ALL DAILY STANDUP'!$B$2:$B$700=$B$3,ROW('ALL DAILY STANDUP'!$B$2:$B$700)-ROW(INDEX('ALL DAILY STANDUP'!$B$2:$B$700,1,1))+1),$B85)), "")</f>
        <v/>
      </c>
      <c r="D85" s="35" t="str">
        <f t="array" ref="D85">IFERROR(INDEX('ALL DAILY STANDUP'!D$2:D$700,SMALL(IF('ALL DAILY STANDUP'!$B$2:$B$700=$B$3,ROW('ALL DAILY STANDUP'!$B$2:$B$700)-ROW(INDEX('ALL DAILY STANDUP'!$B$2:$B$700,1,1))+1),$B85)), "")</f>
        <v/>
      </c>
      <c r="E85" s="35" t="str">
        <f t="array" ref="E85">IFERROR(INDEX('ALL DAILY STANDUP'!E$2:E$700,SMALL(IF('ALL DAILY STANDUP'!$B$2:$B$700=$B$3,ROW('ALL DAILY STANDUP'!$B$2:$B$700)-ROW(INDEX('ALL DAILY STANDUP'!$B$2:$B$700,1,1))+1),$B85)), "")</f>
        <v/>
      </c>
      <c r="F85" s="35" t="str">
        <f t="array" ref="F85">IFERROR(INDEX('ALL DAILY STANDUP'!F$2:F$700,SMALL(IF('ALL DAILY STANDUP'!$B$2:$B$700=$B$3,ROW('ALL DAILY STANDUP'!$B$2:$B$700)-ROW(INDEX('ALL DAILY STANDUP'!$B$2:$B$700,1,1))+1),$B85)), "")</f>
        <v/>
      </c>
    </row>
    <row r="86">
      <c r="B86" s="36">
        <v>78.0</v>
      </c>
      <c r="C86" s="34" t="str">
        <f t="array" ref="C86">IFERROR(INDEX('ALL DAILY STANDUP'!C$2:C$700,SMALL(IF('ALL DAILY STANDUP'!$B$2:$B$700=$B$3,ROW('ALL DAILY STANDUP'!$B$2:$B$700)-ROW(INDEX('ALL DAILY STANDUP'!$B$2:$B$700,1,1))+1),$B86)), "")</f>
        <v/>
      </c>
      <c r="D86" s="35" t="str">
        <f t="array" ref="D86">IFERROR(INDEX('ALL DAILY STANDUP'!D$2:D$700,SMALL(IF('ALL DAILY STANDUP'!$B$2:$B$700=$B$3,ROW('ALL DAILY STANDUP'!$B$2:$B$700)-ROW(INDEX('ALL DAILY STANDUP'!$B$2:$B$700,1,1))+1),$B86)), "")</f>
        <v/>
      </c>
      <c r="E86" s="35" t="str">
        <f t="array" ref="E86">IFERROR(INDEX('ALL DAILY STANDUP'!E$2:E$700,SMALL(IF('ALL DAILY STANDUP'!$B$2:$B$700=$B$3,ROW('ALL DAILY STANDUP'!$B$2:$B$700)-ROW(INDEX('ALL DAILY STANDUP'!$B$2:$B$700,1,1))+1),$B86)), "")</f>
        <v/>
      </c>
      <c r="F86" s="35" t="str">
        <f t="array" ref="F86">IFERROR(INDEX('ALL DAILY STANDUP'!F$2:F$700,SMALL(IF('ALL DAILY STANDUP'!$B$2:$B$700=$B$3,ROW('ALL DAILY STANDUP'!$B$2:$B$700)-ROW(INDEX('ALL DAILY STANDUP'!$B$2:$B$700,1,1))+1),$B86)), "")</f>
        <v/>
      </c>
    </row>
    <row r="87">
      <c r="B87" s="33">
        <v>79.0</v>
      </c>
      <c r="C87" s="34" t="str">
        <f t="array" ref="C87">IFERROR(INDEX('ALL DAILY STANDUP'!C$2:C$700,SMALL(IF('ALL DAILY STANDUP'!$B$2:$B$700=$B$3,ROW('ALL DAILY STANDUP'!$B$2:$B$700)-ROW(INDEX('ALL DAILY STANDUP'!$B$2:$B$700,1,1))+1),$B87)), "")</f>
        <v/>
      </c>
      <c r="D87" s="35" t="str">
        <f t="array" ref="D87">IFERROR(INDEX('ALL DAILY STANDUP'!D$2:D$700,SMALL(IF('ALL DAILY STANDUP'!$B$2:$B$700=$B$3,ROW('ALL DAILY STANDUP'!$B$2:$B$700)-ROW(INDEX('ALL DAILY STANDUP'!$B$2:$B$700,1,1))+1),$B87)), "")</f>
        <v/>
      </c>
      <c r="E87" s="35" t="str">
        <f t="array" ref="E87">IFERROR(INDEX('ALL DAILY STANDUP'!E$2:E$700,SMALL(IF('ALL DAILY STANDUP'!$B$2:$B$700=$B$3,ROW('ALL DAILY STANDUP'!$B$2:$B$700)-ROW(INDEX('ALL DAILY STANDUP'!$B$2:$B$700,1,1))+1),$B87)), "")</f>
        <v/>
      </c>
      <c r="F87" s="35" t="str">
        <f t="array" ref="F87">IFERROR(INDEX('ALL DAILY STANDUP'!F$2:F$700,SMALL(IF('ALL DAILY STANDUP'!$B$2:$B$700=$B$3,ROW('ALL DAILY STANDUP'!$B$2:$B$700)-ROW(INDEX('ALL DAILY STANDUP'!$B$2:$B$700,1,1))+1),$B87)), "")</f>
        <v/>
      </c>
    </row>
    <row r="88">
      <c r="B88" s="36">
        <v>80.0</v>
      </c>
      <c r="C88" s="34" t="str">
        <f t="array" ref="C88">IFERROR(INDEX('ALL DAILY STANDUP'!C$2:C$700,SMALL(IF('ALL DAILY STANDUP'!$B$2:$B$700=$B$3,ROW('ALL DAILY STANDUP'!$B$2:$B$700)-ROW(INDEX('ALL DAILY STANDUP'!$B$2:$B$700,1,1))+1),$B88)), "")</f>
        <v/>
      </c>
      <c r="D88" s="35" t="str">
        <f t="array" ref="D88">IFERROR(INDEX('ALL DAILY STANDUP'!D$2:D$700,SMALL(IF('ALL DAILY STANDUP'!$B$2:$B$700=$B$3,ROW('ALL DAILY STANDUP'!$B$2:$B$700)-ROW(INDEX('ALL DAILY STANDUP'!$B$2:$B$700,1,1))+1),$B88)), "")</f>
        <v/>
      </c>
      <c r="E88" s="35" t="str">
        <f t="array" ref="E88">IFERROR(INDEX('ALL DAILY STANDUP'!E$2:E$700,SMALL(IF('ALL DAILY STANDUP'!$B$2:$B$700=$B$3,ROW('ALL DAILY STANDUP'!$B$2:$B$700)-ROW(INDEX('ALL DAILY STANDUP'!$B$2:$B$700,1,1))+1),$B88)), "")</f>
        <v/>
      </c>
      <c r="F88" s="35" t="str">
        <f t="array" ref="F88">IFERROR(INDEX('ALL DAILY STANDUP'!F$2:F$700,SMALL(IF('ALL DAILY STANDUP'!$B$2:$B$700=$B$3,ROW('ALL DAILY STANDUP'!$B$2:$B$700)-ROW(INDEX('ALL DAILY STANDUP'!$B$2:$B$700,1,1))+1),$B88)), "")</f>
        <v/>
      </c>
    </row>
    <row r="89">
      <c r="B89" s="33">
        <v>81.0</v>
      </c>
      <c r="C89" s="34" t="str">
        <f t="array" ref="C89">IFERROR(INDEX('ALL DAILY STANDUP'!C$2:C$700,SMALL(IF('ALL DAILY STANDUP'!$B$2:$B$700=$B$3,ROW('ALL DAILY STANDUP'!$B$2:$B$700)-ROW(INDEX('ALL DAILY STANDUP'!$B$2:$B$700,1,1))+1),$B89)), "")</f>
        <v/>
      </c>
      <c r="D89" s="35" t="str">
        <f t="array" ref="D89">IFERROR(INDEX('ALL DAILY STANDUP'!D$2:D$700,SMALL(IF('ALL DAILY STANDUP'!$B$2:$B$700=$B$3,ROW('ALL DAILY STANDUP'!$B$2:$B$700)-ROW(INDEX('ALL DAILY STANDUP'!$B$2:$B$700,1,1))+1),$B89)), "")</f>
        <v/>
      </c>
      <c r="E89" s="35" t="str">
        <f t="array" ref="E89">IFERROR(INDEX('ALL DAILY STANDUP'!E$2:E$700,SMALL(IF('ALL DAILY STANDUP'!$B$2:$B$700=$B$3,ROW('ALL DAILY STANDUP'!$B$2:$B$700)-ROW(INDEX('ALL DAILY STANDUP'!$B$2:$B$700,1,1))+1),$B89)), "")</f>
        <v/>
      </c>
      <c r="F89" s="35" t="str">
        <f t="array" ref="F89">IFERROR(INDEX('ALL DAILY STANDUP'!F$2:F$700,SMALL(IF('ALL DAILY STANDUP'!$B$2:$B$700=$B$3,ROW('ALL DAILY STANDUP'!$B$2:$B$700)-ROW(INDEX('ALL DAILY STANDUP'!$B$2:$B$700,1,1))+1),$B89)), "")</f>
        <v/>
      </c>
    </row>
    <row r="90">
      <c r="B90" s="36">
        <v>82.0</v>
      </c>
      <c r="C90" s="34" t="str">
        <f t="array" ref="C90">IFERROR(INDEX('ALL DAILY STANDUP'!C$2:C$700,SMALL(IF('ALL DAILY STANDUP'!$B$2:$B$700=$B$3,ROW('ALL DAILY STANDUP'!$B$2:$B$700)-ROW(INDEX('ALL DAILY STANDUP'!$B$2:$B$700,1,1))+1),$B90)), "")</f>
        <v/>
      </c>
      <c r="D90" s="35" t="str">
        <f t="array" ref="D90">IFERROR(INDEX('ALL DAILY STANDUP'!D$2:D$700,SMALL(IF('ALL DAILY STANDUP'!$B$2:$B$700=$B$3,ROW('ALL DAILY STANDUP'!$B$2:$B$700)-ROW(INDEX('ALL DAILY STANDUP'!$B$2:$B$700,1,1))+1),$B90)), "")</f>
        <v/>
      </c>
      <c r="E90" s="35" t="str">
        <f t="array" ref="E90">IFERROR(INDEX('ALL DAILY STANDUP'!E$2:E$700,SMALL(IF('ALL DAILY STANDUP'!$B$2:$B$700=$B$3,ROW('ALL DAILY STANDUP'!$B$2:$B$700)-ROW(INDEX('ALL DAILY STANDUP'!$B$2:$B$700,1,1))+1),$B90)), "")</f>
        <v/>
      </c>
      <c r="F90" s="35" t="str">
        <f t="array" ref="F90">IFERROR(INDEX('ALL DAILY STANDUP'!F$2:F$700,SMALL(IF('ALL DAILY STANDUP'!$B$2:$B$700=$B$3,ROW('ALL DAILY STANDUP'!$B$2:$B$700)-ROW(INDEX('ALL DAILY STANDUP'!$B$2:$B$700,1,1))+1),$B90)), "")</f>
        <v/>
      </c>
    </row>
    <row r="91">
      <c r="B91" s="33">
        <v>83.0</v>
      </c>
      <c r="C91" s="34" t="str">
        <f t="array" ref="C91">IFERROR(INDEX('ALL DAILY STANDUP'!C$2:C$700,SMALL(IF('ALL DAILY STANDUP'!$B$2:$B$700=$B$3,ROW('ALL DAILY STANDUP'!$B$2:$B$700)-ROW(INDEX('ALL DAILY STANDUP'!$B$2:$B$700,1,1))+1),$B91)), "")</f>
        <v/>
      </c>
      <c r="D91" s="35" t="str">
        <f t="array" ref="D91">IFERROR(INDEX('ALL DAILY STANDUP'!D$2:D$700,SMALL(IF('ALL DAILY STANDUP'!$B$2:$B$700=$B$3,ROW('ALL DAILY STANDUP'!$B$2:$B$700)-ROW(INDEX('ALL DAILY STANDUP'!$B$2:$B$700,1,1))+1),$B91)), "")</f>
        <v/>
      </c>
      <c r="E91" s="35" t="str">
        <f t="array" ref="E91">IFERROR(INDEX('ALL DAILY STANDUP'!E$2:E$700,SMALL(IF('ALL DAILY STANDUP'!$B$2:$B$700=$B$3,ROW('ALL DAILY STANDUP'!$B$2:$B$700)-ROW(INDEX('ALL DAILY STANDUP'!$B$2:$B$700,1,1))+1),$B91)), "")</f>
        <v/>
      </c>
      <c r="F91" s="35" t="str">
        <f t="array" ref="F91">IFERROR(INDEX('ALL DAILY STANDUP'!F$2:F$700,SMALL(IF('ALL DAILY STANDUP'!$B$2:$B$700=$B$3,ROW('ALL DAILY STANDUP'!$B$2:$B$700)-ROW(INDEX('ALL DAILY STANDUP'!$B$2:$B$700,1,1))+1),$B91)), "")</f>
        <v/>
      </c>
    </row>
    <row r="92">
      <c r="B92" s="36">
        <v>84.0</v>
      </c>
      <c r="C92" s="34" t="str">
        <f t="array" ref="C92">IFERROR(INDEX('ALL DAILY STANDUP'!C$2:C$700,SMALL(IF('ALL DAILY STANDUP'!$B$2:$B$700=$B$3,ROW('ALL DAILY STANDUP'!$B$2:$B$700)-ROW(INDEX('ALL DAILY STANDUP'!$B$2:$B$700,1,1))+1),$B92)), "")</f>
        <v/>
      </c>
      <c r="D92" s="35" t="str">
        <f t="array" ref="D92">IFERROR(INDEX('ALL DAILY STANDUP'!D$2:D$700,SMALL(IF('ALL DAILY STANDUP'!$B$2:$B$700=$B$3,ROW('ALL DAILY STANDUP'!$B$2:$B$700)-ROW(INDEX('ALL DAILY STANDUP'!$B$2:$B$700,1,1))+1),$B92)), "")</f>
        <v/>
      </c>
      <c r="E92" s="35" t="str">
        <f t="array" ref="E92">IFERROR(INDEX('ALL DAILY STANDUP'!E$2:E$700,SMALL(IF('ALL DAILY STANDUP'!$B$2:$B$700=$B$3,ROW('ALL DAILY STANDUP'!$B$2:$B$700)-ROW(INDEX('ALL DAILY STANDUP'!$B$2:$B$700,1,1))+1),$B92)), "")</f>
        <v/>
      </c>
      <c r="F92" s="35" t="str">
        <f t="array" ref="F92">IFERROR(INDEX('ALL DAILY STANDUP'!F$2:F$700,SMALL(IF('ALL DAILY STANDUP'!$B$2:$B$700=$B$3,ROW('ALL DAILY STANDUP'!$B$2:$B$700)-ROW(INDEX('ALL DAILY STANDUP'!$B$2:$B$700,1,1))+1),$B92)), "")</f>
        <v/>
      </c>
    </row>
    <row r="93">
      <c r="B93" s="33">
        <v>85.0</v>
      </c>
      <c r="C93" s="34" t="str">
        <f t="array" ref="C93">IFERROR(INDEX('ALL DAILY STANDUP'!C$2:C$700,SMALL(IF('ALL DAILY STANDUP'!$B$2:$B$700=$B$3,ROW('ALL DAILY STANDUP'!$B$2:$B$700)-ROW(INDEX('ALL DAILY STANDUP'!$B$2:$B$700,1,1))+1),$B93)), "")</f>
        <v/>
      </c>
      <c r="D93" s="35" t="str">
        <f t="array" ref="D93">IFERROR(INDEX('ALL DAILY STANDUP'!D$2:D$700,SMALL(IF('ALL DAILY STANDUP'!$B$2:$B$700=$B$3,ROW('ALL DAILY STANDUP'!$B$2:$B$700)-ROW(INDEX('ALL DAILY STANDUP'!$B$2:$B$700,1,1))+1),$B93)), "")</f>
        <v/>
      </c>
      <c r="E93" s="35" t="str">
        <f t="array" ref="E93">IFERROR(INDEX('ALL DAILY STANDUP'!E$2:E$700,SMALL(IF('ALL DAILY STANDUP'!$B$2:$B$700=$B$3,ROW('ALL DAILY STANDUP'!$B$2:$B$700)-ROW(INDEX('ALL DAILY STANDUP'!$B$2:$B$700,1,1))+1),$B93)), "")</f>
        <v/>
      </c>
      <c r="F93" s="35" t="str">
        <f t="array" ref="F93">IFERROR(INDEX('ALL DAILY STANDUP'!F$2:F$700,SMALL(IF('ALL DAILY STANDUP'!$B$2:$B$700=$B$3,ROW('ALL DAILY STANDUP'!$B$2:$B$700)-ROW(INDEX('ALL DAILY STANDUP'!$B$2:$B$700,1,1))+1),$B93)), "")</f>
        <v/>
      </c>
    </row>
    <row r="94">
      <c r="B94" s="36">
        <v>86.0</v>
      </c>
      <c r="C94" s="34" t="str">
        <f t="array" ref="C94">IFERROR(INDEX('ALL DAILY STANDUP'!C$2:C$700,SMALL(IF('ALL DAILY STANDUP'!$B$2:$B$700=$B$3,ROW('ALL DAILY STANDUP'!$B$2:$B$700)-ROW(INDEX('ALL DAILY STANDUP'!$B$2:$B$700,1,1))+1),$B94)), "")</f>
        <v/>
      </c>
      <c r="D94" s="35" t="str">
        <f t="array" ref="D94">IFERROR(INDEX('ALL DAILY STANDUP'!D$2:D$700,SMALL(IF('ALL DAILY STANDUP'!$B$2:$B$700=$B$3,ROW('ALL DAILY STANDUP'!$B$2:$B$700)-ROW(INDEX('ALL DAILY STANDUP'!$B$2:$B$700,1,1))+1),$B94)), "")</f>
        <v/>
      </c>
      <c r="E94" s="35" t="str">
        <f t="array" ref="E94">IFERROR(INDEX('ALL DAILY STANDUP'!E$2:E$700,SMALL(IF('ALL DAILY STANDUP'!$B$2:$B$700=$B$3,ROW('ALL DAILY STANDUP'!$B$2:$B$700)-ROW(INDEX('ALL DAILY STANDUP'!$B$2:$B$700,1,1))+1),$B94)), "")</f>
        <v/>
      </c>
      <c r="F94" s="35" t="str">
        <f t="array" ref="F94">IFERROR(INDEX('ALL DAILY STANDUP'!F$2:F$700,SMALL(IF('ALL DAILY STANDUP'!$B$2:$B$700=$B$3,ROW('ALL DAILY STANDUP'!$B$2:$B$700)-ROW(INDEX('ALL DAILY STANDUP'!$B$2:$B$700,1,1))+1),$B94)), "")</f>
        <v/>
      </c>
    </row>
    <row r="95">
      <c r="B95" s="33">
        <v>87.0</v>
      </c>
      <c r="C95" s="34" t="str">
        <f t="array" ref="C95">IFERROR(INDEX('ALL DAILY STANDUP'!C$2:C$700,SMALL(IF('ALL DAILY STANDUP'!$B$2:$B$700=$B$3,ROW('ALL DAILY STANDUP'!$B$2:$B$700)-ROW(INDEX('ALL DAILY STANDUP'!$B$2:$B$700,1,1))+1),$B95)), "")</f>
        <v/>
      </c>
      <c r="D95" s="35" t="str">
        <f t="array" ref="D95">IFERROR(INDEX('ALL DAILY STANDUP'!D$2:D$700,SMALL(IF('ALL DAILY STANDUP'!$B$2:$B$700=$B$3,ROW('ALL DAILY STANDUP'!$B$2:$B$700)-ROW(INDEX('ALL DAILY STANDUP'!$B$2:$B$700,1,1))+1),$B95)), "")</f>
        <v/>
      </c>
      <c r="E95" s="35" t="str">
        <f t="array" ref="E95">IFERROR(INDEX('ALL DAILY STANDUP'!E$2:E$700,SMALL(IF('ALL DAILY STANDUP'!$B$2:$B$700=$B$3,ROW('ALL DAILY STANDUP'!$B$2:$B$700)-ROW(INDEX('ALL DAILY STANDUP'!$B$2:$B$700,1,1))+1),$B95)), "")</f>
        <v/>
      </c>
      <c r="F95" s="35" t="str">
        <f t="array" ref="F95">IFERROR(INDEX('ALL DAILY STANDUP'!F$2:F$700,SMALL(IF('ALL DAILY STANDUP'!$B$2:$B$700=$B$3,ROW('ALL DAILY STANDUP'!$B$2:$B$700)-ROW(INDEX('ALL DAILY STANDUP'!$B$2:$B$700,1,1))+1),$B95)), "")</f>
        <v/>
      </c>
    </row>
    <row r="96">
      <c r="B96" s="36">
        <v>88.0</v>
      </c>
      <c r="C96" s="34" t="str">
        <f t="array" ref="C96">IFERROR(INDEX('ALL DAILY STANDUP'!C$2:C$700,SMALL(IF('ALL DAILY STANDUP'!$B$2:$B$700=$B$3,ROW('ALL DAILY STANDUP'!$B$2:$B$700)-ROW(INDEX('ALL DAILY STANDUP'!$B$2:$B$700,1,1))+1),$B96)), "")</f>
        <v/>
      </c>
      <c r="D96" s="35" t="str">
        <f t="array" ref="D96">IFERROR(INDEX('ALL DAILY STANDUP'!D$2:D$700,SMALL(IF('ALL DAILY STANDUP'!$B$2:$B$700=$B$3,ROW('ALL DAILY STANDUP'!$B$2:$B$700)-ROW(INDEX('ALL DAILY STANDUP'!$B$2:$B$700,1,1))+1),$B96)), "")</f>
        <v/>
      </c>
      <c r="E96" s="35" t="str">
        <f t="array" ref="E96">IFERROR(INDEX('ALL DAILY STANDUP'!E$2:E$700,SMALL(IF('ALL DAILY STANDUP'!$B$2:$B$700=$B$3,ROW('ALL DAILY STANDUP'!$B$2:$B$700)-ROW(INDEX('ALL DAILY STANDUP'!$B$2:$B$700,1,1))+1),$B96)), "")</f>
        <v/>
      </c>
      <c r="F96" s="35" t="str">
        <f t="array" ref="F96">IFERROR(INDEX('ALL DAILY STANDUP'!F$2:F$700,SMALL(IF('ALL DAILY STANDUP'!$B$2:$B$700=$B$3,ROW('ALL DAILY STANDUP'!$B$2:$B$700)-ROW(INDEX('ALL DAILY STANDUP'!$B$2:$B$700,1,1))+1),$B96)), "")</f>
        <v/>
      </c>
    </row>
    <row r="97">
      <c r="B97" s="33">
        <v>89.0</v>
      </c>
      <c r="C97" s="34" t="str">
        <f t="array" ref="C97">IFERROR(INDEX('ALL DAILY STANDUP'!C$2:C$700,SMALL(IF('ALL DAILY STANDUP'!$B$2:$B$700=$B$3,ROW('ALL DAILY STANDUP'!$B$2:$B$700)-ROW(INDEX('ALL DAILY STANDUP'!$B$2:$B$700,1,1))+1),$B97)), "")</f>
        <v/>
      </c>
      <c r="D97" s="35" t="str">
        <f t="array" ref="D97">IFERROR(INDEX('ALL DAILY STANDUP'!D$2:D$700,SMALL(IF('ALL DAILY STANDUP'!$B$2:$B$700=$B$3,ROW('ALL DAILY STANDUP'!$B$2:$B$700)-ROW(INDEX('ALL DAILY STANDUP'!$B$2:$B$700,1,1))+1),$B97)), "")</f>
        <v/>
      </c>
      <c r="E97" s="35" t="str">
        <f t="array" ref="E97">IFERROR(INDEX('ALL DAILY STANDUP'!E$2:E$700,SMALL(IF('ALL DAILY STANDUP'!$B$2:$B$700=$B$3,ROW('ALL DAILY STANDUP'!$B$2:$B$700)-ROW(INDEX('ALL DAILY STANDUP'!$B$2:$B$700,1,1))+1),$B97)), "")</f>
        <v/>
      </c>
      <c r="F97" s="35" t="str">
        <f t="array" ref="F97">IFERROR(INDEX('ALL DAILY STANDUP'!F$2:F$700,SMALL(IF('ALL DAILY STANDUP'!$B$2:$B$700=$B$3,ROW('ALL DAILY STANDUP'!$B$2:$B$700)-ROW(INDEX('ALL DAILY STANDUP'!$B$2:$B$700,1,1))+1),$B97)), "")</f>
        <v/>
      </c>
    </row>
    <row r="98">
      <c r="B98" s="36">
        <v>90.0</v>
      </c>
      <c r="C98" s="34" t="str">
        <f t="array" ref="C98">IFERROR(INDEX('ALL DAILY STANDUP'!C$2:C$700,SMALL(IF('ALL DAILY STANDUP'!$B$2:$B$700=$B$3,ROW('ALL DAILY STANDUP'!$B$2:$B$700)-ROW(INDEX('ALL DAILY STANDUP'!$B$2:$B$700,1,1))+1),$B98)), "")</f>
        <v/>
      </c>
      <c r="D98" s="35" t="str">
        <f t="array" ref="D98">IFERROR(INDEX('ALL DAILY STANDUP'!D$2:D$700,SMALL(IF('ALL DAILY STANDUP'!$B$2:$B$700=$B$3,ROW('ALL DAILY STANDUP'!$B$2:$B$700)-ROW(INDEX('ALL DAILY STANDUP'!$B$2:$B$700,1,1))+1),$B98)), "")</f>
        <v/>
      </c>
      <c r="E98" s="35" t="str">
        <f t="array" ref="E98">IFERROR(INDEX('ALL DAILY STANDUP'!E$2:E$700,SMALL(IF('ALL DAILY STANDUP'!$B$2:$B$700=$B$3,ROW('ALL DAILY STANDUP'!$B$2:$B$700)-ROW(INDEX('ALL DAILY STANDUP'!$B$2:$B$700,1,1))+1),$B98)), "")</f>
        <v/>
      </c>
      <c r="F98" s="35" t="str">
        <f t="array" ref="F98">IFERROR(INDEX('ALL DAILY STANDUP'!F$2:F$700,SMALL(IF('ALL DAILY STANDUP'!$B$2:$B$700=$B$3,ROW('ALL DAILY STANDUP'!$B$2:$B$700)-ROW(INDEX('ALL DAILY STANDUP'!$B$2:$B$700,1,1))+1),$B98)), "")</f>
        <v/>
      </c>
    </row>
    <row r="99">
      <c r="B99" s="33">
        <v>91.0</v>
      </c>
      <c r="C99" s="34" t="str">
        <f t="array" ref="C99">IFERROR(INDEX('ALL DAILY STANDUP'!C$2:C$700,SMALL(IF('ALL DAILY STANDUP'!$B$2:$B$700=$B$3,ROW('ALL DAILY STANDUP'!$B$2:$B$700)-ROW(INDEX('ALL DAILY STANDUP'!$B$2:$B$700,1,1))+1),$B99)), "")</f>
        <v/>
      </c>
      <c r="D99" s="35" t="str">
        <f t="array" ref="D99">IFERROR(INDEX('ALL DAILY STANDUP'!D$2:D$700,SMALL(IF('ALL DAILY STANDUP'!$B$2:$B$700=$B$3,ROW('ALL DAILY STANDUP'!$B$2:$B$700)-ROW(INDEX('ALL DAILY STANDUP'!$B$2:$B$700,1,1))+1),$B99)), "")</f>
        <v/>
      </c>
      <c r="E99" s="35" t="str">
        <f t="array" ref="E99">IFERROR(INDEX('ALL DAILY STANDUP'!E$2:E$700,SMALL(IF('ALL DAILY STANDUP'!$B$2:$B$700=$B$3,ROW('ALL DAILY STANDUP'!$B$2:$B$700)-ROW(INDEX('ALL DAILY STANDUP'!$B$2:$B$700,1,1))+1),$B99)), "")</f>
        <v/>
      </c>
      <c r="F99" s="35" t="str">
        <f t="array" ref="F99">IFERROR(INDEX('ALL DAILY STANDUP'!F$2:F$700,SMALL(IF('ALL DAILY STANDUP'!$B$2:$B$700=$B$3,ROW('ALL DAILY STANDUP'!$B$2:$B$700)-ROW(INDEX('ALL DAILY STANDUP'!$B$2:$B$700,1,1))+1),$B99)), "")</f>
        <v/>
      </c>
    </row>
    <row r="100">
      <c r="B100" s="36">
        <v>92.0</v>
      </c>
      <c r="C100" s="34" t="str">
        <f t="array" ref="C100">IFERROR(INDEX('ALL DAILY STANDUP'!C$2:C$700,SMALL(IF('ALL DAILY STANDUP'!$B$2:$B$700=$B$3,ROW('ALL DAILY STANDUP'!$B$2:$B$700)-ROW(INDEX('ALL DAILY STANDUP'!$B$2:$B$700,1,1))+1),$B100)), "")</f>
        <v/>
      </c>
      <c r="D100" s="35" t="str">
        <f t="array" ref="D100">IFERROR(INDEX('ALL DAILY STANDUP'!D$2:D$700,SMALL(IF('ALL DAILY STANDUP'!$B$2:$B$700=$B$3,ROW('ALL DAILY STANDUP'!$B$2:$B$700)-ROW(INDEX('ALL DAILY STANDUP'!$B$2:$B$700,1,1))+1),$B100)), "")</f>
        <v/>
      </c>
      <c r="E100" s="35" t="str">
        <f t="array" ref="E100">IFERROR(INDEX('ALL DAILY STANDUP'!E$2:E$700,SMALL(IF('ALL DAILY STANDUP'!$B$2:$B$700=$B$3,ROW('ALL DAILY STANDUP'!$B$2:$B$700)-ROW(INDEX('ALL DAILY STANDUP'!$B$2:$B$700,1,1))+1),$B100)), "")</f>
        <v/>
      </c>
      <c r="F100" s="35" t="str">
        <f t="array" ref="F100">IFERROR(INDEX('ALL DAILY STANDUP'!F$2:F$700,SMALL(IF('ALL DAILY STANDUP'!$B$2:$B$700=$B$3,ROW('ALL DAILY STANDUP'!$B$2:$B$700)-ROW(INDEX('ALL DAILY STANDUP'!$B$2:$B$700,1,1))+1),$B100)), "")</f>
        <v/>
      </c>
    </row>
    <row r="101">
      <c r="B101" s="33">
        <v>93.0</v>
      </c>
      <c r="C101" s="34" t="str">
        <f t="array" ref="C101">IFERROR(INDEX('ALL DAILY STANDUP'!C$2:C$700,SMALL(IF('ALL DAILY STANDUP'!$B$2:$B$700=$B$3,ROW('ALL DAILY STANDUP'!$B$2:$B$700)-ROW(INDEX('ALL DAILY STANDUP'!$B$2:$B$700,1,1))+1),$B101)), "")</f>
        <v/>
      </c>
      <c r="D101" s="35" t="str">
        <f t="array" ref="D101">IFERROR(INDEX('ALL DAILY STANDUP'!D$2:D$700,SMALL(IF('ALL DAILY STANDUP'!$B$2:$B$700=$B$3,ROW('ALL DAILY STANDUP'!$B$2:$B$700)-ROW(INDEX('ALL DAILY STANDUP'!$B$2:$B$700,1,1))+1),$B101)), "")</f>
        <v/>
      </c>
      <c r="E101" s="35" t="str">
        <f t="array" ref="E101">IFERROR(INDEX('ALL DAILY STANDUP'!E$2:E$700,SMALL(IF('ALL DAILY STANDUP'!$B$2:$B$700=$B$3,ROW('ALL DAILY STANDUP'!$B$2:$B$700)-ROW(INDEX('ALL DAILY STANDUP'!$B$2:$B$700,1,1))+1),$B101)), "")</f>
        <v/>
      </c>
      <c r="F101" s="35" t="str">
        <f t="array" ref="F101">IFERROR(INDEX('ALL DAILY STANDUP'!F$2:F$700,SMALL(IF('ALL DAILY STANDUP'!$B$2:$B$700=$B$3,ROW('ALL DAILY STANDUP'!$B$2:$B$700)-ROW(INDEX('ALL DAILY STANDUP'!$B$2:$B$700,1,1))+1),$B101)), "")</f>
        <v/>
      </c>
    </row>
    <row r="102">
      <c r="B102" s="36">
        <v>94.0</v>
      </c>
      <c r="C102" s="34" t="str">
        <f t="array" ref="C102">IFERROR(INDEX('ALL DAILY STANDUP'!C$2:C$700,SMALL(IF('ALL DAILY STANDUP'!$B$2:$B$700=$B$3,ROW('ALL DAILY STANDUP'!$B$2:$B$700)-ROW(INDEX('ALL DAILY STANDUP'!$B$2:$B$700,1,1))+1),$B102)), "")</f>
        <v/>
      </c>
      <c r="D102" s="35" t="str">
        <f t="array" ref="D102">IFERROR(INDEX('ALL DAILY STANDUP'!D$2:D$700,SMALL(IF('ALL DAILY STANDUP'!$B$2:$B$700=$B$3,ROW('ALL DAILY STANDUP'!$B$2:$B$700)-ROW(INDEX('ALL DAILY STANDUP'!$B$2:$B$700,1,1))+1),$B102)), "")</f>
        <v/>
      </c>
      <c r="E102" s="35" t="str">
        <f t="array" ref="E102">IFERROR(INDEX('ALL DAILY STANDUP'!E$2:E$700,SMALL(IF('ALL DAILY STANDUP'!$B$2:$B$700=$B$3,ROW('ALL DAILY STANDUP'!$B$2:$B$700)-ROW(INDEX('ALL DAILY STANDUP'!$B$2:$B$700,1,1))+1),$B102)), "")</f>
        <v/>
      </c>
      <c r="F102" s="35" t="str">
        <f t="array" ref="F102">IFERROR(INDEX('ALL DAILY STANDUP'!F$2:F$700,SMALL(IF('ALL DAILY STANDUP'!$B$2:$B$700=$B$3,ROW('ALL DAILY STANDUP'!$B$2:$B$700)-ROW(INDEX('ALL DAILY STANDUP'!$B$2:$B$700,1,1))+1),$B102)), "")</f>
        <v/>
      </c>
    </row>
    <row r="103">
      <c r="B103" s="33">
        <v>95.0</v>
      </c>
      <c r="C103" s="34" t="str">
        <f t="array" ref="C103">IFERROR(INDEX('ALL DAILY STANDUP'!C$2:C$700,SMALL(IF('ALL DAILY STANDUP'!$B$2:$B$700=$B$3,ROW('ALL DAILY STANDUP'!$B$2:$B$700)-ROW(INDEX('ALL DAILY STANDUP'!$B$2:$B$700,1,1))+1),$B103)), "")</f>
        <v/>
      </c>
      <c r="D103" s="35" t="str">
        <f t="array" ref="D103">IFERROR(INDEX('ALL DAILY STANDUP'!D$2:D$700,SMALL(IF('ALL DAILY STANDUP'!$B$2:$B$700=$B$3,ROW('ALL DAILY STANDUP'!$B$2:$B$700)-ROW(INDEX('ALL DAILY STANDUP'!$B$2:$B$700,1,1))+1),$B103)), "")</f>
        <v/>
      </c>
      <c r="E103" s="35" t="str">
        <f t="array" ref="E103">IFERROR(INDEX('ALL DAILY STANDUP'!E$2:E$700,SMALL(IF('ALL DAILY STANDUP'!$B$2:$B$700=$B$3,ROW('ALL DAILY STANDUP'!$B$2:$B$700)-ROW(INDEX('ALL DAILY STANDUP'!$B$2:$B$700,1,1))+1),$B103)), "")</f>
        <v/>
      </c>
      <c r="F103" s="35" t="str">
        <f t="array" ref="F103">IFERROR(INDEX('ALL DAILY STANDUP'!F$2:F$700,SMALL(IF('ALL DAILY STANDUP'!$B$2:$B$700=$B$3,ROW('ALL DAILY STANDUP'!$B$2:$B$700)-ROW(INDEX('ALL DAILY STANDUP'!$B$2:$B$700,1,1))+1),$B103)), "")</f>
        <v/>
      </c>
    </row>
    <row r="104">
      <c r="B104" s="36">
        <v>96.0</v>
      </c>
      <c r="C104" s="34" t="str">
        <f t="array" ref="C104">IFERROR(INDEX('ALL DAILY STANDUP'!C$2:C$700,SMALL(IF('ALL DAILY STANDUP'!$B$2:$B$700=$B$3,ROW('ALL DAILY STANDUP'!$B$2:$B$700)-ROW(INDEX('ALL DAILY STANDUP'!$B$2:$B$700,1,1))+1),$B104)), "")</f>
        <v/>
      </c>
      <c r="D104" s="35" t="str">
        <f t="array" ref="D104">IFERROR(INDEX('ALL DAILY STANDUP'!D$2:D$700,SMALL(IF('ALL DAILY STANDUP'!$B$2:$B$700=$B$3,ROW('ALL DAILY STANDUP'!$B$2:$B$700)-ROW(INDEX('ALL DAILY STANDUP'!$B$2:$B$700,1,1))+1),$B104)), "")</f>
        <v/>
      </c>
      <c r="E104" s="35" t="str">
        <f t="array" ref="E104">IFERROR(INDEX('ALL DAILY STANDUP'!E$2:E$700,SMALL(IF('ALL DAILY STANDUP'!$B$2:$B$700=$B$3,ROW('ALL DAILY STANDUP'!$B$2:$B$700)-ROW(INDEX('ALL DAILY STANDUP'!$B$2:$B$700,1,1))+1),$B104)), "")</f>
        <v/>
      </c>
      <c r="F104" s="35" t="str">
        <f t="array" ref="F104">IFERROR(INDEX('ALL DAILY STANDUP'!F$2:F$700,SMALL(IF('ALL DAILY STANDUP'!$B$2:$B$700=$B$3,ROW('ALL DAILY STANDUP'!$B$2:$B$700)-ROW(INDEX('ALL DAILY STANDUP'!$B$2:$B$700,1,1))+1),$B104)), "")</f>
        <v/>
      </c>
    </row>
    <row r="105">
      <c r="B105" s="33">
        <v>97.0</v>
      </c>
      <c r="C105" s="34" t="str">
        <f t="array" ref="C105">IFERROR(INDEX('ALL DAILY STANDUP'!C$2:C$700,SMALL(IF('ALL DAILY STANDUP'!$B$2:$B$700=$B$3,ROW('ALL DAILY STANDUP'!$B$2:$B$700)-ROW(INDEX('ALL DAILY STANDUP'!$B$2:$B$700,1,1))+1),$B105)), "")</f>
        <v/>
      </c>
      <c r="D105" s="35" t="str">
        <f t="array" ref="D105">IFERROR(INDEX('ALL DAILY STANDUP'!D$2:D$700,SMALL(IF('ALL DAILY STANDUP'!$B$2:$B$700=$B$3,ROW('ALL DAILY STANDUP'!$B$2:$B$700)-ROW(INDEX('ALL DAILY STANDUP'!$B$2:$B$700,1,1))+1),$B105)), "")</f>
        <v/>
      </c>
      <c r="E105" s="35" t="str">
        <f t="array" ref="E105">IFERROR(INDEX('ALL DAILY STANDUP'!E$2:E$700,SMALL(IF('ALL DAILY STANDUP'!$B$2:$B$700=$B$3,ROW('ALL DAILY STANDUP'!$B$2:$B$700)-ROW(INDEX('ALL DAILY STANDUP'!$B$2:$B$700,1,1))+1),$B105)), "")</f>
        <v/>
      </c>
      <c r="F105" s="35" t="str">
        <f t="array" ref="F105">IFERROR(INDEX('ALL DAILY STANDUP'!F$2:F$700,SMALL(IF('ALL DAILY STANDUP'!$B$2:$B$700=$B$3,ROW('ALL DAILY STANDUP'!$B$2:$B$700)-ROW(INDEX('ALL DAILY STANDUP'!$B$2:$B$700,1,1))+1),$B105)), "")</f>
        <v/>
      </c>
    </row>
    <row r="106">
      <c r="B106" s="36">
        <v>98.0</v>
      </c>
      <c r="C106" s="34" t="str">
        <f t="array" ref="C106">IFERROR(INDEX('ALL DAILY STANDUP'!C$2:C$700,SMALL(IF('ALL DAILY STANDUP'!$B$2:$B$700=$B$3,ROW('ALL DAILY STANDUP'!$B$2:$B$700)-ROW(INDEX('ALL DAILY STANDUP'!$B$2:$B$700,1,1))+1),$B106)), "")</f>
        <v/>
      </c>
      <c r="D106" s="35" t="str">
        <f t="array" ref="D106">IFERROR(INDEX('ALL DAILY STANDUP'!D$2:D$700,SMALL(IF('ALL DAILY STANDUP'!$B$2:$B$700=$B$3,ROW('ALL DAILY STANDUP'!$B$2:$B$700)-ROW(INDEX('ALL DAILY STANDUP'!$B$2:$B$700,1,1))+1),$B106)), "")</f>
        <v/>
      </c>
      <c r="E106" s="35" t="str">
        <f t="array" ref="E106">IFERROR(INDEX('ALL DAILY STANDUP'!E$2:E$700,SMALL(IF('ALL DAILY STANDUP'!$B$2:$B$700=$B$3,ROW('ALL DAILY STANDUP'!$B$2:$B$700)-ROW(INDEX('ALL DAILY STANDUP'!$B$2:$B$700,1,1))+1),$B106)), "")</f>
        <v/>
      </c>
      <c r="F106" s="35" t="str">
        <f t="array" ref="F106">IFERROR(INDEX('ALL DAILY STANDUP'!F$2:F$700,SMALL(IF('ALL DAILY STANDUP'!$B$2:$B$700=$B$3,ROW('ALL DAILY STANDUP'!$B$2:$B$700)-ROW(INDEX('ALL DAILY STANDUP'!$B$2:$B$700,1,1))+1),$B106)), "")</f>
        <v/>
      </c>
    </row>
    <row r="107">
      <c r="B107" s="33">
        <v>99.0</v>
      </c>
      <c r="C107" s="34" t="str">
        <f t="array" ref="C107">IFERROR(INDEX('ALL DAILY STANDUP'!C$2:C$700,SMALL(IF('ALL DAILY STANDUP'!$B$2:$B$700=$B$3,ROW('ALL DAILY STANDUP'!$B$2:$B$700)-ROW(INDEX('ALL DAILY STANDUP'!$B$2:$B$700,1,1))+1),$B107)), "")</f>
        <v/>
      </c>
      <c r="D107" s="35" t="str">
        <f t="array" ref="D107">IFERROR(INDEX('ALL DAILY STANDUP'!D$2:D$700,SMALL(IF('ALL DAILY STANDUP'!$B$2:$B$700=$B$3,ROW('ALL DAILY STANDUP'!$B$2:$B$700)-ROW(INDEX('ALL DAILY STANDUP'!$B$2:$B$700,1,1))+1),$B107)), "")</f>
        <v/>
      </c>
      <c r="E107" s="35" t="str">
        <f t="array" ref="E107">IFERROR(INDEX('ALL DAILY STANDUP'!E$2:E$700,SMALL(IF('ALL DAILY STANDUP'!$B$2:$B$700=$B$3,ROW('ALL DAILY STANDUP'!$B$2:$B$700)-ROW(INDEX('ALL DAILY STANDUP'!$B$2:$B$700,1,1))+1),$B107)), "")</f>
        <v/>
      </c>
      <c r="F107" s="35" t="str">
        <f t="array" ref="F107">IFERROR(INDEX('ALL DAILY STANDUP'!F$2:F$700,SMALL(IF('ALL DAILY STANDUP'!$B$2:$B$700=$B$3,ROW('ALL DAILY STANDUP'!$B$2:$B$700)-ROW(INDEX('ALL DAILY STANDUP'!$B$2:$B$700,1,1))+1),$B107)), "")</f>
        <v/>
      </c>
    </row>
    <row r="108">
      <c r="B108" s="36">
        <v>100.0</v>
      </c>
      <c r="C108" s="34" t="str">
        <f t="array" ref="C108">IFERROR(INDEX('ALL DAILY STANDUP'!C$2:C$700,SMALL(IF('ALL DAILY STANDUP'!$B$2:$B$700=$B$3,ROW('ALL DAILY STANDUP'!$B$2:$B$700)-ROW(INDEX('ALL DAILY STANDUP'!$B$2:$B$700,1,1))+1),$B108)), "")</f>
        <v/>
      </c>
      <c r="D108" s="35" t="str">
        <f t="array" ref="D108">IFERROR(INDEX('ALL DAILY STANDUP'!D$2:D$700,SMALL(IF('ALL DAILY STANDUP'!$B$2:$B$700=$B$3,ROW('ALL DAILY STANDUP'!$B$2:$B$700)-ROW(INDEX('ALL DAILY STANDUP'!$B$2:$B$700,1,1))+1),$B108)), "")</f>
        <v/>
      </c>
      <c r="E108" s="35" t="str">
        <f t="array" ref="E108">IFERROR(INDEX('ALL DAILY STANDUP'!E$2:E$700,SMALL(IF('ALL DAILY STANDUP'!$B$2:$B$700=$B$3,ROW('ALL DAILY STANDUP'!$B$2:$B$700)-ROW(INDEX('ALL DAILY STANDUP'!$B$2:$B$700,1,1))+1),$B108)), "")</f>
        <v/>
      </c>
      <c r="F108" s="35" t="str">
        <f t="array" ref="F108">IFERROR(INDEX('ALL DAILY STANDUP'!F$2:F$700,SMALL(IF('ALL DAILY STANDUP'!$B$2:$B$700=$B$3,ROW('ALL DAILY STANDUP'!$B$2:$B$700)-ROW(INDEX('ALL DAILY STANDUP'!$B$2:$B$700,1,1))+1),$B108)), "")</f>
        <v/>
      </c>
    </row>
    <row r="109">
      <c r="D109" s="3"/>
      <c r="E109" s="3"/>
      <c r="F109" s="3"/>
    </row>
    <row r="110">
      <c r="D110" s="3"/>
      <c r="E110" s="3"/>
      <c r="F110" s="3"/>
    </row>
    <row r="111">
      <c r="D111" s="3"/>
      <c r="E111" s="3"/>
      <c r="F111" s="3"/>
    </row>
    <row r="112">
      <c r="D112" s="3"/>
      <c r="E112" s="3"/>
      <c r="F112" s="3"/>
    </row>
    <row r="113">
      <c r="D113" s="3"/>
      <c r="E113" s="3"/>
      <c r="F113" s="3"/>
    </row>
    <row r="114">
      <c r="D114" s="3"/>
      <c r="E114" s="3"/>
      <c r="F114" s="3"/>
    </row>
    <row r="115">
      <c r="D115" s="3"/>
      <c r="E115" s="3"/>
      <c r="F115" s="3"/>
    </row>
    <row r="116">
      <c r="D116" s="3"/>
      <c r="E116" s="3"/>
      <c r="F116" s="3"/>
    </row>
    <row r="117">
      <c r="D117" s="3"/>
      <c r="E117" s="3"/>
      <c r="F117" s="3"/>
    </row>
    <row r="118">
      <c r="D118" s="3"/>
      <c r="E118" s="3"/>
      <c r="F118" s="3"/>
    </row>
    <row r="119">
      <c r="D119" s="3"/>
      <c r="E119" s="3"/>
      <c r="F119" s="3"/>
    </row>
    <row r="120">
      <c r="D120" s="3"/>
      <c r="E120" s="3"/>
      <c r="F120" s="3"/>
    </row>
    <row r="121">
      <c r="D121" s="3"/>
      <c r="E121" s="3"/>
      <c r="F121" s="3"/>
    </row>
    <row r="122">
      <c r="D122" s="3"/>
      <c r="E122" s="3"/>
      <c r="F122" s="3"/>
    </row>
    <row r="123">
      <c r="D123" s="3"/>
      <c r="E123" s="3"/>
      <c r="F123" s="3"/>
    </row>
    <row r="124">
      <c r="D124" s="3"/>
      <c r="E124" s="3"/>
      <c r="F124" s="3"/>
    </row>
    <row r="125">
      <c r="D125" s="3"/>
      <c r="E125" s="3"/>
      <c r="F125" s="3"/>
    </row>
    <row r="126">
      <c r="D126" s="3"/>
      <c r="E126" s="3"/>
      <c r="F126" s="3"/>
    </row>
    <row r="127">
      <c r="D127" s="3"/>
      <c r="E127" s="3"/>
      <c r="F127" s="3"/>
    </row>
    <row r="128">
      <c r="D128" s="3"/>
      <c r="E128" s="3"/>
      <c r="F128" s="3"/>
    </row>
    <row r="129">
      <c r="D129" s="3"/>
      <c r="E129" s="3"/>
      <c r="F129" s="3"/>
    </row>
    <row r="130">
      <c r="D130" s="3"/>
      <c r="E130" s="3"/>
      <c r="F130" s="3"/>
    </row>
    <row r="131">
      <c r="D131" s="3"/>
      <c r="E131" s="3"/>
      <c r="F131" s="3"/>
    </row>
    <row r="132">
      <c r="D132" s="3"/>
      <c r="E132" s="3"/>
      <c r="F132" s="3"/>
    </row>
    <row r="133">
      <c r="D133" s="3"/>
      <c r="E133" s="3"/>
      <c r="F133" s="3"/>
    </row>
    <row r="134">
      <c r="D134" s="3"/>
      <c r="E134" s="3"/>
      <c r="F134" s="3"/>
    </row>
    <row r="135">
      <c r="D135" s="3"/>
      <c r="E135" s="3"/>
      <c r="F135" s="3"/>
    </row>
    <row r="136">
      <c r="D136" s="3"/>
      <c r="E136" s="3"/>
      <c r="F136" s="3"/>
    </row>
    <row r="137">
      <c r="D137" s="3"/>
      <c r="E137" s="3"/>
      <c r="F137" s="3"/>
    </row>
    <row r="138">
      <c r="D138" s="3"/>
      <c r="E138" s="3"/>
      <c r="F138" s="3"/>
    </row>
    <row r="139">
      <c r="D139" s="3"/>
      <c r="E139" s="3"/>
      <c r="F139" s="3"/>
    </row>
    <row r="140">
      <c r="D140" s="3"/>
      <c r="E140" s="3"/>
      <c r="F140" s="3"/>
    </row>
    <row r="141">
      <c r="D141" s="3"/>
      <c r="E141" s="3"/>
      <c r="F141" s="3"/>
    </row>
    <row r="142">
      <c r="D142" s="3"/>
      <c r="E142" s="3"/>
      <c r="F142" s="3"/>
    </row>
    <row r="143">
      <c r="D143" s="3"/>
      <c r="E143" s="3"/>
      <c r="F143" s="3"/>
    </row>
    <row r="144">
      <c r="D144" s="3"/>
      <c r="E144" s="3"/>
      <c r="F144" s="3"/>
    </row>
    <row r="145">
      <c r="D145" s="3"/>
      <c r="E145" s="3"/>
      <c r="F145" s="3"/>
    </row>
    <row r="146">
      <c r="D146" s="3"/>
      <c r="E146" s="3"/>
      <c r="F146" s="3"/>
    </row>
    <row r="147">
      <c r="D147" s="3"/>
      <c r="E147" s="3"/>
      <c r="F147" s="3"/>
    </row>
    <row r="148">
      <c r="D148" s="3"/>
      <c r="E148" s="3"/>
      <c r="F148" s="3"/>
    </row>
    <row r="149">
      <c r="D149" s="3"/>
      <c r="E149" s="3"/>
      <c r="F149" s="3"/>
    </row>
    <row r="150">
      <c r="D150" s="3"/>
      <c r="E150" s="3"/>
      <c r="F150" s="3"/>
    </row>
    <row r="151">
      <c r="D151" s="3"/>
      <c r="E151" s="3"/>
      <c r="F151" s="3"/>
    </row>
    <row r="152">
      <c r="D152" s="3"/>
      <c r="E152" s="3"/>
      <c r="F152" s="3"/>
    </row>
    <row r="153">
      <c r="D153" s="3"/>
      <c r="E153" s="3"/>
      <c r="F153" s="3"/>
    </row>
    <row r="154">
      <c r="D154" s="3"/>
      <c r="E154" s="3"/>
      <c r="F154" s="3"/>
    </row>
    <row r="155">
      <c r="D155" s="3"/>
      <c r="E155" s="3"/>
      <c r="F155" s="3"/>
    </row>
    <row r="156">
      <c r="D156" s="3"/>
      <c r="E156" s="3"/>
      <c r="F156" s="3"/>
    </row>
    <row r="157">
      <c r="D157" s="3"/>
      <c r="E157" s="3"/>
      <c r="F157" s="3"/>
    </row>
    <row r="158">
      <c r="D158" s="3"/>
      <c r="E158" s="3"/>
      <c r="F158" s="3"/>
    </row>
    <row r="159">
      <c r="D159" s="3"/>
      <c r="E159" s="3"/>
      <c r="F159" s="3"/>
    </row>
    <row r="160">
      <c r="D160" s="3"/>
      <c r="E160" s="3"/>
      <c r="F160" s="3"/>
    </row>
    <row r="161">
      <c r="D161" s="3"/>
      <c r="E161" s="3"/>
      <c r="F161" s="3"/>
    </row>
    <row r="162">
      <c r="D162" s="3"/>
      <c r="E162" s="3"/>
      <c r="F162" s="3"/>
    </row>
    <row r="163">
      <c r="D163" s="3"/>
      <c r="E163" s="3"/>
      <c r="F163" s="3"/>
    </row>
    <row r="164">
      <c r="D164" s="3"/>
      <c r="E164" s="3"/>
      <c r="F164" s="3"/>
    </row>
    <row r="165">
      <c r="D165" s="3"/>
      <c r="E165" s="3"/>
      <c r="F165" s="3"/>
    </row>
    <row r="166">
      <c r="D166" s="3"/>
      <c r="E166" s="3"/>
      <c r="F166" s="3"/>
    </row>
    <row r="167">
      <c r="D167" s="3"/>
      <c r="E167" s="3"/>
      <c r="F167" s="3"/>
    </row>
    <row r="168">
      <c r="D168" s="3"/>
      <c r="E168" s="3"/>
      <c r="F168" s="3"/>
    </row>
    <row r="169">
      <c r="D169" s="3"/>
      <c r="E169" s="3"/>
      <c r="F169" s="3"/>
    </row>
    <row r="170">
      <c r="D170" s="3"/>
      <c r="E170" s="3"/>
      <c r="F170" s="3"/>
    </row>
    <row r="171">
      <c r="D171" s="3"/>
      <c r="E171" s="3"/>
      <c r="F171" s="3"/>
    </row>
    <row r="172">
      <c r="D172" s="3"/>
      <c r="E172" s="3"/>
      <c r="F172" s="3"/>
    </row>
    <row r="173">
      <c r="D173" s="3"/>
      <c r="E173" s="3"/>
      <c r="F173" s="3"/>
    </row>
    <row r="174">
      <c r="D174" s="3"/>
      <c r="E174" s="3"/>
      <c r="F174" s="3"/>
    </row>
    <row r="175">
      <c r="D175" s="3"/>
      <c r="E175" s="3"/>
      <c r="F175" s="3"/>
    </row>
    <row r="176">
      <c r="D176" s="3"/>
      <c r="E176" s="3"/>
      <c r="F176" s="3"/>
    </row>
    <row r="177">
      <c r="D177" s="3"/>
      <c r="E177" s="3"/>
      <c r="F177" s="3"/>
    </row>
    <row r="178">
      <c r="D178" s="3"/>
      <c r="E178" s="3"/>
      <c r="F178" s="3"/>
    </row>
    <row r="179">
      <c r="D179" s="3"/>
      <c r="E179" s="3"/>
      <c r="F179" s="3"/>
    </row>
    <row r="180">
      <c r="D180" s="3"/>
      <c r="E180" s="3"/>
      <c r="F180" s="3"/>
    </row>
    <row r="181">
      <c r="D181" s="3"/>
      <c r="E181" s="3"/>
      <c r="F181" s="3"/>
    </row>
    <row r="182">
      <c r="D182" s="3"/>
      <c r="E182" s="3"/>
      <c r="F182" s="3"/>
    </row>
    <row r="183">
      <c r="D183" s="3"/>
      <c r="E183" s="3"/>
      <c r="F183" s="3"/>
    </row>
    <row r="184">
      <c r="D184" s="3"/>
      <c r="E184" s="3"/>
      <c r="F184" s="3"/>
    </row>
    <row r="185">
      <c r="D185" s="3"/>
      <c r="E185" s="3"/>
      <c r="F185" s="3"/>
    </row>
    <row r="186">
      <c r="D186" s="3"/>
      <c r="E186" s="3"/>
      <c r="F186" s="3"/>
    </row>
    <row r="187">
      <c r="D187" s="3"/>
      <c r="E187" s="3"/>
      <c r="F187" s="3"/>
    </row>
    <row r="188">
      <c r="D188" s="3"/>
      <c r="E188" s="3"/>
      <c r="F188" s="3"/>
    </row>
    <row r="189">
      <c r="D189" s="3"/>
      <c r="E189" s="3"/>
      <c r="F189" s="3"/>
    </row>
    <row r="190">
      <c r="D190" s="3"/>
      <c r="E190" s="3"/>
      <c r="F190" s="3"/>
    </row>
    <row r="191">
      <c r="D191" s="3"/>
      <c r="E191" s="3"/>
      <c r="F191" s="3"/>
    </row>
    <row r="192">
      <c r="D192" s="3"/>
      <c r="E192" s="3"/>
      <c r="F192" s="3"/>
    </row>
    <row r="193">
      <c r="D193" s="3"/>
      <c r="E193" s="3"/>
      <c r="F193" s="3"/>
    </row>
    <row r="194">
      <c r="D194" s="3"/>
      <c r="E194" s="3"/>
      <c r="F194" s="3"/>
    </row>
    <row r="195">
      <c r="D195" s="3"/>
      <c r="E195" s="3"/>
      <c r="F195" s="3"/>
    </row>
    <row r="196">
      <c r="D196" s="3"/>
      <c r="E196" s="3"/>
      <c r="F196" s="3"/>
    </row>
    <row r="197">
      <c r="D197" s="3"/>
      <c r="E197" s="3"/>
      <c r="F197" s="3"/>
    </row>
    <row r="198">
      <c r="D198" s="3"/>
      <c r="E198" s="3"/>
      <c r="F198" s="3"/>
    </row>
    <row r="199">
      <c r="D199" s="3"/>
      <c r="E199" s="3"/>
      <c r="F199" s="3"/>
    </row>
    <row r="200">
      <c r="D200" s="3"/>
      <c r="E200" s="3"/>
      <c r="F200" s="3"/>
    </row>
    <row r="201">
      <c r="D201" s="3"/>
      <c r="E201" s="3"/>
      <c r="F201" s="3"/>
    </row>
    <row r="202">
      <c r="D202" s="3"/>
      <c r="E202" s="3"/>
      <c r="F202" s="3"/>
    </row>
    <row r="203">
      <c r="D203" s="3"/>
      <c r="E203" s="3"/>
      <c r="F203" s="3"/>
    </row>
    <row r="204">
      <c r="D204" s="3"/>
      <c r="E204" s="3"/>
      <c r="F204" s="3"/>
    </row>
    <row r="205">
      <c r="D205" s="3"/>
      <c r="E205" s="3"/>
      <c r="F205" s="3"/>
    </row>
    <row r="206">
      <c r="D206" s="3"/>
      <c r="E206" s="3"/>
      <c r="F206" s="3"/>
    </row>
    <row r="207">
      <c r="D207" s="3"/>
      <c r="E207" s="3"/>
      <c r="F207" s="3"/>
    </row>
    <row r="208">
      <c r="D208" s="3"/>
      <c r="E208" s="3"/>
      <c r="F208" s="3"/>
    </row>
    <row r="209">
      <c r="D209" s="3"/>
      <c r="E209" s="3"/>
      <c r="F209" s="3"/>
    </row>
    <row r="210">
      <c r="D210" s="3"/>
      <c r="E210" s="3"/>
      <c r="F210" s="3"/>
    </row>
    <row r="211">
      <c r="D211" s="3"/>
      <c r="E211" s="3"/>
      <c r="F211" s="3"/>
    </row>
    <row r="212">
      <c r="D212" s="3"/>
      <c r="E212" s="3"/>
      <c r="F212" s="3"/>
    </row>
    <row r="213">
      <c r="D213" s="3"/>
      <c r="E213" s="3"/>
      <c r="F213" s="3"/>
    </row>
    <row r="214">
      <c r="D214" s="3"/>
      <c r="E214" s="3"/>
      <c r="F214" s="3"/>
    </row>
    <row r="215">
      <c r="D215" s="3"/>
      <c r="E215" s="3"/>
      <c r="F215" s="3"/>
    </row>
    <row r="216">
      <c r="D216" s="3"/>
      <c r="E216" s="3"/>
      <c r="F216" s="3"/>
    </row>
    <row r="217">
      <c r="D217" s="3"/>
      <c r="E217" s="3"/>
      <c r="F217" s="3"/>
    </row>
    <row r="218">
      <c r="D218" s="3"/>
      <c r="E218" s="3"/>
      <c r="F218" s="3"/>
    </row>
    <row r="219">
      <c r="D219" s="3"/>
      <c r="E219" s="3"/>
      <c r="F219" s="3"/>
    </row>
    <row r="220">
      <c r="D220" s="3"/>
      <c r="E220" s="3"/>
      <c r="F220" s="3"/>
    </row>
    <row r="221">
      <c r="D221" s="3"/>
      <c r="E221" s="3"/>
      <c r="F221" s="3"/>
    </row>
    <row r="222">
      <c r="D222" s="3"/>
      <c r="E222" s="3"/>
      <c r="F222" s="3"/>
    </row>
    <row r="223">
      <c r="D223" s="3"/>
      <c r="E223" s="3"/>
      <c r="F223" s="3"/>
    </row>
    <row r="224">
      <c r="D224" s="3"/>
      <c r="E224" s="3"/>
      <c r="F224" s="3"/>
    </row>
    <row r="225">
      <c r="D225" s="3"/>
      <c r="E225" s="3"/>
      <c r="F225" s="3"/>
    </row>
    <row r="226">
      <c r="D226" s="3"/>
      <c r="E226" s="3"/>
      <c r="F226" s="3"/>
    </row>
    <row r="227">
      <c r="D227" s="3"/>
      <c r="E227" s="3"/>
      <c r="F227" s="3"/>
    </row>
    <row r="228">
      <c r="D228" s="3"/>
      <c r="E228" s="3"/>
      <c r="F228" s="3"/>
    </row>
    <row r="229">
      <c r="D229" s="3"/>
      <c r="E229" s="3"/>
      <c r="F229" s="3"/>
    </row>
    <row r="230">
      <c r="D230" s="3"/>
      <c r="E230" s="3"/>
      <c r="F230" s="3"/>
    </row>
    <row r="231">
      <c r="D231" s="3"/>
      <c r="E231" s="3"/>
      <c r="F231" s="3"/>
    </row>
    <row r="232">
      <c r="D232" s="3"/>
      <c r="E232" s="3"/>
      <c r="F232" s="3"/>
    </row>
    <row r="233">
      <c r="D233" s="3"/>
      <c r="E233" s="3"/>
      <c r="F233" s="3"/>
    </row>
    <row r="234">
      <c r="D234" s="3"/>
      <c r="E234" s="3"/>
      <c r="F234" s="3"/>
    </row>
    <row r="235">
      <c r="D235" s="3"/>
      <c r="E235" s="3"/>
      <c r="F235" s="3"/>
    </row>
    <row r="236">
      <c r="D236" s="3"/>
      <c r="E236" s="3"/>
      <c r="F236" s="3"/>
    </row>
    <row r="237">
      <c r="D237" s="3"/>
      <c r="E237" s="3"/>
      <c r="F237" s="3"/>
    </row>
    <row r="238">
      <c r="D238" s="3"/>
      <c r="E238" s="3"/>
      <c r="F238" s="3"/>
    </row>
    <row r="239">
      <c r="D239" s="3"/>
      <c r="E239" s="3"/>
      <c r="F239" s="3"/>
    </row>
    <row r="240">
      <c r="D240" s="3"/>
      <c r="E240" s="3"/>
      <c r="F240" s="3"/>
    </row>
    <row r="241">
      <c r="D241" s="3"/>
      <c r="E241" s="3"/>
      <c r="F241" s="3"/>
    </row>
    <row r="242">
      <c r="D242" s="3"/>
      <c r="E242" s="3"/>
      <c r="F242" s="3"/>
    </row>
    <row r="243">
      <c r="D243" s="3"/>
      <c r="E243" s="3"/>
      <c r="F243" s="3"/>
    </row>
    <row r="244">
      <c r="D244" s="3"/>
      <c r="E244" s="3"/>
      <c r="F244" s="3"/>
    </row>
    <row r="245">
      <c r="D245" s="3"/>
      <c r="E245" s="3"/>
      <c r="F245" s="3"/>
    </row>
    <row r="246">
      <c r="D246" s="3"/>
      <c r="E246" s="3"/>
      <c r="F246" s="3"/>
    </row>
    <row r="247">
      <c r="D247" s="3"/>
      <c r="E247" s="3"/>
      <c r="F247" s="3"/>
    </row>
    <row r="248">
      <c r="D248" s="3"/>
      <c r="E248" s="3"/>
      <c r="F248" s="3"/>
    </row>
    <row r="249">
      <c r="D249" s="3"/>
      <c r="E249" s="3"/>
      <c r="F249" s="3"/>
    </row>
    <row r="250">
      <c r="D250" s="3"/>
      <c r="E250" s="3"/>
      <c r="F250" s="3"/>
    </row>
    <row r="251">
      <c r="D251" s="3"/>
      <c r="E251" s="3"/>
      <c r="F251" s="3"/>
    </row>
    <row r="252">
      <c r="D252" s="3"/>
      <c r="E252" s="3"/>
      <c r="F252" s="3"/>
    </row>
    <row r="253">
      <c r="D253" s="3"/>
      <c r="E253" s="3"/>
      <c r="F253" s="3"/>
    </row>
    <row r="254">
      <c r="D254" s="3"/>
      <c r="E254" s="3"/>
      <c r="F254" s="3"/>
    </row>
    <row r="255">
      <c r="D255" s="3"/>
      <c r="E255" s="3"/>
      <c r="F255" s="3"/>
    </row>
    <row r="256">
      <c r="D256" s="3"/>
      <c r="E256" s="3"/>
      <c r="F256" s="3"/>
    </row>
    <row r="257">
      <c r="D257" s="3"/>
      <c r="E257" s="3"/>
      <c r="F257" s="3"/>
    </row>
    <row r="258">
      <c r="D258" s="3"/>
      <c r="E258" s="3"/>
      <c r="F258" s="3"/>
    </row>
    <row r="259">
      <c r="D259" s="3"/>
      <c r="E259" s="3"/>
      <c r="F259" s="3"/>
    </row>
    <row r="260">
      <c r="D260" s="3"/>
      <c r="E260" s="3"/>
      <c r="F260" s="3"/>
    </row>
    <row r="261">
      <c r="D261" s="3"/>
      <c r="E261" s="3"/>
      <c r="F261" s="3"/>
    </row>
    <row r="262">
      <c r="D262" s="3"/>
      <c r="E262" s="3"/>
      <c r="F262" s="3"/>
    </row>
    <row r="263">
      <c r="D263" s="3"/>
      <c r="E263" s="3"/>
      <c r="F263" s="3"/>
    </row>
    <row r="264">
      <c r="D264" s="3"/>
      <c r="E264" s="3"/>
      <c r="F264" s="3"/>
    </row>
    <row r="265">
      <c r="D265" s="3"/>
      <c r="E265" s="3"/>
      <c r="F265" s="3"/>
    </row>
    <row r="266">
      <c r="D266" s="3"/>
      <c r="E266" s="3"/>
      <c r="F266" s="3"/>
    </row>
    <row r="267">
      <c r="D267" s="3"/>
      <c r="E267" s="3"/>
      <c r="F267" s="3"/>
    </row>
    <row r="268">
      <c r="D268" s="3"/>
      <c r="E268" s="3"/>
      <c r="F268" s="3"/>
    </row>
    <row r="269">
      <c r="D269" s="3"/>
      <c r="E269" s="3"/>
      <c r="F269" s="3"/>
    </row>
    <row r="270">
      <c r="D270" s="3"/>
      <c r="E270" s="3"/>
      <c r="F270" s="3"/>
    </row>
    <row r="271">
      <c r="D271" s="3"/>
      <c r="E271" s="3"/>
      <c r="F271" s="3"/>
    </row>
    <row r="272">
      <c r="D272" s="3"/>
      <c r="E272" s="3"/>
      <c r="F272" s="3"/>
    </row>
    <row r="273">
      <c r="D273" s="3"/>
      <c r="E273" s="3"/>
      <c r="F273" s="3"/>
    </row>
    <row r="274">
      <c r="D274" s="3"/>
      <c r="E274" s="3"/>
      <c r="F274" s="3"/>
    </row>
    <row r="275">
      <c r="D275" s="3"/>
      <c r="E275" s="3"/>
      <c r="F275" s="3"/>
    </row>
    <row r="276">
      <c r="D276" s="3"/>
      <c r="E276" s="3"/>
      <c r="F276" s="3"/>
    </row>
    <row r="277">
      <c r="D277" s="3"/>
      <c r="E277" s="3"/>
      <c r="F277" s="3"/>
    </row>
    <row r="278">
      <c r="D278" s="3"/>
      <c r="E278" s="3"/>
      <c r="F278" s="3"/>
    </row>
    <row r="279">
      <c r="D279" s="3"/>
      <c r="E279" s="3"/>
      <c r="F279" s="3"/>
    </row>
    <row r="280">
      <c r="D280" s="3"/>
      <c r="E280" s="3"/>
      <c r="F280" s="3"/>
    </row>
    <row r="281">
      <c r="D281" s="3"/>
      <c r="E281" s="3"/>
      <c r="F281" s="3"/>
    </row>
    <row r="282">
      <c r="D282" s="3"/>
      <c r="E282" s="3"/>
      <c r="F282" s="3"/>
    </row>
    <row r="283">
      <c r="D283" s="3"/>
      <c r="E283" s="3"/>
      <c r="F283" s="3"/>
    </row>
    <row r="284">
      <c r="D284" s="3"/>
      <c r="E284" s="3"/>
      <c r="F284" s="3"/>
    </row>
    <row r="285">
      <c r="D285" s="3"/>
      <c r="E285" s="3"/>
      <c r="F285" s="3"/>
    </row>
    <row r="286">
      <c r="D286" s="3"/>
      <c r="E286" s="3"/>
      <c r="F286" s="3"/>
    </row>
    <row r="287">
      <c r="D287" s="3"/>
      <c r="E287" s="3"/>
      <c r="F287" s="3"/>
    </row>
    <row r="288">
      <c r="D288" s="3"/>
      <c r="E288" s="3"/>
      <c r="F288" s="3"/>
    </row>
    <row r="289">
      <c r="D289" s="3"/>
      <c r="E289" s="3"/>
      <c r="F289" s="3"/>
    </row>
    <row r="290">
      <c r="D290" s="3"/>
      <c r="E290" s="3"/>
      <c r="F290" s="3"/>
    </row>
    <row r="291">
      <c r="D291" s="3"/>
      <c r="E291" s="3"/>
      <c r="F291" s="3"/>
    </row>
    <row r="292">
      <c r="D292" s="3"/>
      <c r="E292" s="3"/>
      <c r="F292" s="3"/>
    </row>
    <row r="293">
      <c r="D293" s="3"/>
      <c r="E293" s="3"/>
      <c r="F293" s="3"/>
    </row>
    <row r="294">
      <c r="D294" s="3"/>
      <c r="E294" s="3"/>
      <c r="F294" s="3"/>
    </row>
    <row r="295">
      <c r="D295" s="3"/>
      <c r="E295" s="3"/>
      <c r="F295" s="3"/>
    </row>
    <row r="296">
      <c r="D296" s="3"/>
      <c r="E296" s="3"/>
      <c r="F296" s="3"/>
    </row>
    <row r="297">
      <c r="D297" s="3"/>
      <c r="E297" s="3"/>
      <c r="F297" s="3"/>
    </row>
    <row r="298">
      <c r="D298" s="3"/>
      <c r="E298" s="3"/>
      <c r="F298" s="3"/>
    </row>
    <row r="299">
      <c r="D299" s="3"/>
      <c r="E299" s="3"/>
      <c r="F299" s="3"/>
    </row>
    <row r="300">
      <c r="D300" s="3"/>
      <c r="E300" s="3"/>
      <c r="F300" s="3"/>
    </row>
    <row r="301">
      <c r="D301" s="3"/>
      <c r="E301" s="3"/>
      <c r="F301" s="3"/>
    </row>
    <row r="302">
      <c r="D302" s="3"/>
      <c r="E302" s="3"/>
      <c r="F302" s="3"/>
    </row>
    <row r="303">
      <c r="D303" s="3"/>
      <c r="E303" s="3"/>
      <c r="F303" s="3"/>
    </row>
    <row r="304">
      <c r="D304" s="3"/>
      <c r="E304" s="3"/>
      <c r="F304" s="3"/>
    </row>
    <row r="305">
      <c r="D305" s="3"/>
      <c r="E305" s="3"/>
      <c r="F305" s="3"/>
    </row>
    <row r="306">
      <c r="D306" s="3"/>
      <c r="E306" s="3"/>
      <c r="F306" s="3"/>
    </row>
    <row r="307">
      <c r="D307" s="3"/>
      <c r="E307" s="3"/>
      <c r="F307" s="3"/>
    </row>
    <row r="308">
      <c r="D308" s="3"/>
      <c r="E308" s="3"/>
      <c r="F308" s="3"/>
    </row>
    <row r="309">
      <c r="D309" s="3"/>
      <c r="E309" s="3"/>
      <c r="F309" s="3"/>
    </row>
    <row r="310">
      <c r="D310" s="3"/>
      <c r="E310" s="3"/>
      <c r="F310" s="3"/>
    </row>
    <row r="311">
      <c r="D311" s="3"/>
      <c r="E311" s="3"/>
      <c r="F311" s="3"/>
    </row>
    <row r="312">
      <c r="D312" s="3"/>
      <c r="E312" s="3"/>
      <c r="F312" s="3"/>
    </row>
    <row r="313">
      <c r="D313" s="3"/>
      <c r="E313" s="3"/>
      <c r="F313" s="3"/>
    </row>
    <row r="314">
      <c r="D314" s="3"/>
      <c r="E314" s="3"/>
      <c r="F314" s="3"/>
    </row>
    <row r="315">
      <c r="D315" s="3"/>
      <c r="E315" s="3"/>
      <c r="F315" s="3"/>
    </row>
    <row r="316">
      <c r="D316" s="3"/>
      <c r="E316" s="3"/>
      <c r="F316" s="3"/>
    </row>
    <row r="317">
      <c r="D317" s="3"/>
      <c r="E317" s="3"/>
      <c r="F317" s="3"/>
    </row>
    <row r="318">
      <c r="D318" s="3"/>
      <c r="E318" s="3"/>
      <c r="F318" s="3"/>
    </row>
    <row r="319">
      <c r="D319" s="3"/>
      <c r="E319" s="3"/>
      <c r="F319" s="3"/>
    </row>
    <row r="320">
      <c r="D320" s="3"/>
      <c r="E320" s="3"/>
      <c r="F320" s="3"/>
    </row>
    <row r="321">
      <c r="D321" s="3"/>
      <c r="E321" s="3"/>
      <c r="F321" s="3"/>
    </row>
    <row r="322">
      <c r="D322" s="3"/>
      <c r="E322" s="3"/>
      <c r="F322" s="3"/>
    </row>
    <row r="323">
      <c r="D323" s="3"/>
      <c r="E323" s="3"/>
      <c r="F323" s="3"/>
    </row>
    <row r="324">
      <c r="D324" s="3"/>
      <c r="E324" s="3"/>
      <c r="F324" s="3"/>
    </row>
    <row r="325">
      <c r="D325" s="3"/>
      <c r="E325" s="3"/>
      <c r="F325" s="3"/>
    </row>
    <row r="326">
      <c r="D326" s="3"/>
      <c r="E326" s="3"/>
      <c r="F326" s="3"/>
    </row>
    <row r="327">
      <c r="D327" s="3"/>
      <c r="E327" s="3"/>
      <c r="F327" s="3"/>
    </row>
    <row r="328">
      <c r="D328" s="3"/>
      <c r="E328" s="3"/>
      <c r="F328" s="3"/>
    </row>
    <row r="329">
      <c r="D329" s="3"/>
      <c r="E329" s="3"/>
      <c r="F329" s="3"/>
    </row>
    <row r="330">
      <c r="D330" s="3"/>
      <c r="E330" s="3"/>
      <c r="F330" s="3"/>
    </row>
    <row r="331">
      <c r="D331" s="3"/>
      <c r="E331" s="3"/>
      <c r="F331" s="3"/>
    </row>
    <row r="332">
      <c r="D332" s="3"/>
      <c r="E332" s="3"/>
      <c r="F332" s="3"/>
    </row>
    <row r="333">
      <c r="D333" s="3"/>
      <c r="E333" s="3"/>
      <c r="F333" s="3"/>
    </row>
    <row r="334">
      <c r="D334" s="3"/>
      <c r="E334" s="3"/>
      <c r="F334" s="3"/>
    </row>
    <row r="335">
      <c r="D335" s="3"/>
      <c r="E335" s="3"/>
      <c r="F335" s="3"/>
    </row>
    <row r="336">
      <c r="D336" s="3"/>
      <c r="E336" s="3"/>
      <c r="F336" s="3"/>
    </row>
    <row r="337">
      <c r="D337" s="3"/>
      <c r="E337" s="3"/>
      <c r="F337" s="3"/>
    </row>
    <row r="338">
      <c r="D338" s="3"/>
      <c r="E338" s="3"/>
      <c r="F338" s="3"/>
    </row>
    <row r="339">
      <c r="D339" s="3"/>
      <c r="E339" s="3"/>
      <c r="F339" s="3"/>
    </row>
    <row r="340">
      <c r="D340" s="3"/>
      <c r="E340" s="3"/>
      <c r="F340" s="3"/>
    </row>
    <row r="341">
      <c r="D341" s="3"/>
      <c r="E341" s="3"/>
      <c r="F341" s="3"/>
    </row>
    <row r="342">
      <c r="D342" s="3"/>
      <c r="E342" s="3"/>
      <c r="F342" s="3"/>
    </row>
    <row r="343">
      <c r="D343" s="3"/>
      <c r="E343" s="3"/>
      <c r="F343" s="3"/>
    </row>
    <row r="344">
      <c r="D344" s="3"/>
      <c r="E344" s="3"/>
      <c r="F344" s="3"/>
    </row>
    <row r="345">
      <c r="D345" s="3"/>
      <c r="E345" s="3"/>
      <c r="F345" s="3"/>
    </row>
    <row r="346">
      <c r="D346" s="3"/>
      <c r="E346" s="3"/>
      <c r="F346" s="3"/>
    </row>
    <row r="347">
      <c r="D347" s="3"/>
      <c r="E347" s="3"/>
      <c r="F347" s="3"/>
    </row>
    <row r="348">
      <c r="D348" s="3"/>
      <c r="E348" s="3"/>
      <c r="F348" s="3"/>
    </row>
    <row r="349">
      <c r="D349" s="3"/>
      <c r="E349" s="3"/>
      <c r="F349" s="3"/>
    </row>
    <row r="350">
      <c r="D350" s="3"/>
      <c r="E350" s="3"/>
      <c r="F350" s="3"/>
    </row>
    <row r="351">
      <c r="D351" s="3"/>
      <c r="E351" s="3"/>
      <c r="F351" s="3"/>
    </row>
    <row r="352">
      <c r="D352" s="3"/>
      <c r="E352" s="3"/>
      <c r="F352" s="3"/>
    </row>
    <row r="353">
      <c r="D353" s="3"/>
      <c r="E353" s="3"/>
      <c r="F353" s="3"/>
    </row>
    <row r="354">
      <c r="D354" s="3"/>
      <c r="E354" s="3"/>
      <c r="F354" s="3"/>
    </row>
    <row r="355">
      <c r="D355" s="3"/>
      <c r="E355" s="3"/>
      <c r="F355" s="3"/>
    </row>
    <row r="356">
      <c r="D356" s="3"/>
      <c r="E356" s="3"/>
      <c r="F356" s="3"/>
    </row>
    <row r="357">
      <c r="D357" s="3"/>
      <c r="E357" s="3"/>
      <c r="F357" s="3"/>
    </row>
    <row r="358">
      <c r="D358" s="3"/>
      <c r="E358" s="3"/>
      <c r="F358" s="3"/>
    </row>
    <row r="359">
      <c r="D359" s="3"/>
      <c r="E359" s="3"/>
      <c r="F359" s="3"/>
    </row>
    <row r="360">
      <c r="D360" s="3"/>
      <c r="E360" s="3"/>
      <c r="F360" s="3"/>
    </row>
    <row r="361">
      <c r="D361" s="3"/>
      <c r="E361" s="3"/>
      <c r="F361" s="3"/>
    </row>
    <row r="362">
      <c r="D362" s="3"/>
      <c r="E362" s="3"/>
      <c r="F362" s="3"/>
    </row>
    <row r="363">
      <c r="D363" s="3"/>
      <c r="E363" s="3"/>
      <c r="F363" s="3"/>
    </row>
    <row r="364">
      <c r="D364" s="3"/>
      <c r="E364" s="3"/>
      <c r="F364" s="3"/>
    </row>
    <row r="365">
      <c r="D365" s="3"/>
      <c r="E365" s="3"/>
      <c r="F365" s="3"/>
    </row>
    <row r="366">
      <c r="D366" s="3"/>
      <c r="E366" s="3"/>
      <c r="F366" s="3"/>
    </row>
    <row r="367">
      <c r="D367" s="3"/>
      <c r="E367" s="3"/>
      <c r="F367" s="3"/>
    </row>
    <row r="368">
      <c r="D368" s="3"/>
      <c r="E368" s="3"/>
      <c r="F368" s="3"/>
    </row>
    <row r="369">
      <c r="D369" s="3"/>
      <c r="E369" s="3"/>
      <c r="F369" s="3"/>
    </row>
    <row r="370">
      <c r="D370" s="3"/>
      <c r="E370" s="3"/>
      <c r="F370" s="3"/>
    </row>
    <row r="371">
      <c r="D371" s="3"/>
      <c r="E371" s="3"/>
      <c r="F371" s="3"/>
    </row>
    <row r="372">
      <c r="D372" s="3"/>
      <c r="E372" s="3"/>
      <c r="F372" s="3"/>
    </row>
    <row r="373">
      <c r="D373" s="3"/>
      <c r="E373" s="3"/>
      <c r="F373" s="3"/>
    </row>
    <row r="374">
      <c r="D374" s="3"/>
      <c r="E374" s="3"/>
      <c r="F374" s="3"/>
    </row>
    <row r="375">
      <c r="D375" s="3"/>
      <c r="E375" s="3"/>
      <c r="F375" s="3"/>
    </row>
    <row r="376">
      <c r="D376" s="3"/>
      <c r="E376" s="3"/>
      <c r="F376" s="3"/>
    </row>
    <row r="377">
      <c r="D377" s="3"/>
      <c r="E377" s="3"/>
      <c r="F377" s="3"/>
    </row>
    <row r="378">
      <c r="D378" s="3"/>
      <c r="E378" s="3"/>
      <c r="F378" s="3"/>
    </row>
    <row r="379">
      <c r="D379" s="3"/>
      <c r="E379" s="3"/>
      <c r="F379" s="3"/>
    </row>
    <row r="380">
      <c r="D380" s="3"/>
      <c r="E380" s="3"/>
      <c r="F380" s="3"/>
    </row>
    <row r="381">
      <c r="D381" s="3"/>
      <c r="E381" s="3"/>
      <c r="F381" s="3"/>
    </row>
    <row r="382">
      <c r="D382" s="3"/>
      <c r="E382" s="3"/>
      <c r="F382" s="3"/>
    </row>
    <row r="383">
      <c r="D383" s="3"/>
      <c r="E383" s="3"/>
      <c r="F383" s="3"/>
    </row>
    <row r="384">
      <c r="D384" s="3"/>
      <c r="E384" s="3"/>
      <c r="F384" s="3"/>
    </row>
    <row r="385">
      <c r="D385" s="3"/>
      <c r="E385" s="3"/>
      <c r="F385" s="3"/>
    </row>
    <row r="386">
      <c r="D386" s="3"/>
      <c r="E386" s="3"/>
      <c r="F386" s="3"/>
    </row>
    <row r="387">
      <c r="D387" s="3"/>
      <c r="E387" s="3"/>
      <c r="F387" s="3"/>
    </row>
    <row r="388">
      <c r="D388" s="3"/>
      <c r="E388" s="3"/>
      <c r="F388" s="3"/>
    </row>
    <row r="389">
      <c r="D389" s="3"/>
      <c r="E389" s="3"/>
      <c r="F389" s="3"/>
    </row>
    <row r="390">
      <c r="D390" s="3"/>
      <c r="E390" s="3"/>
      <c r="F390" s="3"/>
    </row>
    <row r="391">
      <c r="D391" s="3"/>
      <c r="E391" s="3"/>
      <c r="F391" s="3"/>
    </row>
    <row r="392">
      <c r="D392" s="3"/>
      <c r="E392" s="3"/>
      <c r="F392" s="3"/>
    </row>
    <row r="393">
      <c r="D393" s="3"/>
      <c r="E393" s="3"/>
      <c r="F393" s="3"/>
    </row>
    <row r="394">
      <c r="D394" s="3"/>
      <c r="E394" s="3"/>
      <c r="F394" s="3"/>
    </row>
    <row r="395">
      <c r="D395" s="3"/>
      <c r="E395" s="3"/>
      <c r="F395" s="3"/>
    </row>
    <row r="396">
      <c r="D396" s="3"/>
      <c r="E396" s="3"/>
      <c r="F396" s="3"/>
    </row>
    <row r="397">
      <c r="D397" s="3"/>
      <c r="E397" s="3"/>
      <c r="F397" s="3"/>
    </row>
    <row r="398">
      <c r="D398" s="3"/>
      <c r="E398" s="3"/>
      <c r="F398" s="3"/>
    </row>
    <row r="399">
      <c r="D399" s="3"/>
      <c r="E399" s="3"/>
      <c r="F399" s="3"/>
    </row>
    <row r="400">
      <c r="D400" s="3"/>
      <c r="E400" s="3"/>
      <c r="F400" s="3"/>
    </row>
    <row r="401">
      <c r="D401" s="3"/>
      <c r="E401" s="3"/>
      <c r="F401" s="3"/>
    </row>
    <row r="402">
      <c r="D402" s="3"/>
      <c r="E402" s="3"/>
      <c r="F402" s="3"/>
    </row>
    <row r="403">
      <c r="D403" s="3"/>
      <c r="E403" s="3"/>
      <c r="F403" s="3"/>
    </row>
    <row r="404">
      <c r="D404" s="3"/>
      <c r="E404" s="3"/>
      <c r="F404" s="3"/>
    </row>
    <row r="405">
      <c r="D405" s="3"/>
      <c r="E405" s="3"/>
      <c r="F405" s="3"/>
    </row>
    <row r="406">
      <c r="D406" s="3"/>
      <c r="E406" s="3"/>
      <c r="F406" s="3"/>
    </row>
    <row r="407">
      <c r="D407" s="3"/>
      <c r="E407" s="3"/>
      <c r="F407" s="3"/>
    </row>
    <row r="408">
      <c r="D408" s="3"/>
      <c r="E408" s="3"/>
      <c r="F408" s="3"/>
    </row>
    <row r="409">
      <c r="D409" s="3"/>
      <c r="E409" s="3"/>
      <c r="F409" s="3"/>
    </row>
    <row r="410">
      <c r="D410" s="3"/>
      <c r="E410" s="3"/>
      <c r="F410" s="3"/>
    </row>
    <row r="411">
      <c r="D411" s="3"/>
      <c r="E411" s="3"/>
      <c r="F411" s="3"/>
    </row>
    <row r="412">
      <c r="D412" s="3"/>
      <c r="E412" s="3"/>
      <c r="F412" s="3"/>
    </row>
    <row r="413">
      <c r="D413" s="3"/>
      <c r="E413" s="3"/>
      <c r="F413" s="3"/>
    </row>
    <row r="414">
      <c r="D414" s="3"/>
      <c r="E414" s="3"/>
      <c r="F414" s="3"/>
    </row>
    <row r="415">
      <c r="D415" s="3"/>
      <c r="E415" s="3"/>
      <c r="F415" s="3"/>
    </row>
    <row r="416">
      <c r="D416" s="3"/>
      <c r="E416" s="3"/>
      <c r="F416" s="3"/>
    </row>
    <row r="417">
      <c r="D417" s="3"/>
      <c r="E417" s="3"/>
      <c r="F417" s="3"/>
    </row>
    <row r="418">
      <c r="D418" s="3"/>
      <c r="E418" s="3"/>
      <c r="F418" s="3"/>
    </row>
    <row r="419">
      <c r="D419" s="3"/>
      <c r="E419" s="3"/>
      <c r="F419" s="3"/>
    </row>
    <row r="420">
      <c r="D420" s="3"/>
      <c r="E420" s="3"/>
      <c r="F420" s="3"/>
    </row>
    <row r="421">
      <c r="D421" s="3"/>
      <c r="E421" s="3"/>
      <c r="F421" s="3"/>
    </row>
    <row r="422">
      <c r="D422" s="3"/>
      <c r="E422" s="3"/>
      <c r="F422" s="3"/>
    </row>
    <row r="423">
      <c r="D423" s="3"/>
      <c r="E423" s="3"/>
      <c r="F423" s="3"/>
    </row>
    <row r="424">
      <c r="D424" s="3"/>
      <c r="E424" s="3"/>
      <c r="F424" s="3"/>
    </row>
    <row r="425">
      <c r="D425" s="3"/>
      <c r="E425" s="3"/>
      <c r="F425" s="3"/>
    </row>
    <row r="426">
      <c r="D426" s="3"/>
      <c r="E426" s="3"/>
      <c r="F426" s="3"/>
    </row>
    <row r="427">
      <c r="D427" s="3"/>
      <c r="E427" s="3"/>
      <c r="F427" s="3"/>
    </row>
    <row r="428">
      <c r="D428" s="3"/>
      <c r="E428" s="3"/>
      <c r="F428" s="3"/>
    </row>
    <row r="429">
      <c r="D429" s="3"/>
      <c r="E429" s="3"/>
      <c r="F429" s="3"/>
    </row>
    <row r="430">
      <c r="D430" s="3"/>
      <c r="E430" s="3"/>
      <c r="F430" s="3"/>
    </row>
    <row r="431">
      <c r="D431" s="3"/>
      <c r="E431" s="3"/>
      <c r="F431" s="3"/>
    </row>
    <row r="432">
      <c r="D432" s="3"/>
      <c r="E432" s="3"/>
      <c r="F432" s="3"/>
    </row>
    <row r="433">
      <c r="D433" s="3"/>
      <c r="E433" s="3"/>
      <c r="F433" s="3"/>
    </row>
    <row r="434">
      <c r="D434" s="3"/>
      <c r="E434" s="3"/>
      <c r="F434" s="3"/>
    </row>
    <row r="435">
      <c r="D435" s="3"/>
      <c r="E435" s="3"/>
      <c r="F435" s="3"/>
    </row>
    <row r="436">
      <c r="D436" s="3"/>
      <c r="E436" s="3"/>
      <c r="F436" s="3"/>
    </row>
    <row r="437">
      <c r="D437" s="3"/>
      <c r="E437" s="3"/>
      <c r="F437" s="3"/>
    </row>
    <row r="438">
      <c r="D438" s="3"/>
      <c r="E438" s="3"/>
      <c r="F438" s="3"/>
    </row>
    <row r="439">
      <c r="D439" s="3"/>
      <c r="E439" s="3"/>
      <c r="F439" s="3"/>
    </row>
    <row r="440">
      <c r="D440" s="3"/>
      <c r="E440" s="3"/>
      <c r="F440" s="3"/>
    </row>
    <row r="441">
      <c r="D441" s="3"/>
      <c r="E441" s="3"/>
      <c r="F441" s="3"/>
    </row>
    <row r="442">
      <c r="D442" s="3"/>
      <c r="E442" s="3"/>
      <c r="F442" s="3"/>
    </row>
    <row r="443">
      <c r="D443" s="3"/>
      <c r="E443" s="3"/>
      <c r="F443" s="3"/>
    </row>
    <row r="444">
      <c r="D444" s="3"/>
      <c r="E444" s="3"/>
      <c r="F444" s="3"/>
    </row>
    <row r="445">
      <c r="D445" s="3"/>
      <c r="E445" s="3"/>
      <c r="F445" s="3"/>
    </row>
    <row r="446">
      <c r="D446" s="3"/>
      <c r="E446" s="3"/>
      <c r="F446" s="3"/>
    </row>
    <row r="447">
      <c r="D447" s="3"/>
      <c r="E447" s="3"/>
      <c r="F447" s="3"/>
    </row>
    <row r="448">
      <c r="D448" s="3"/>
      <c r="E448" s="3"/>
      <c r="F448" s="3"/>
    </row>
    <row r="449">
      <c r="D449" s="3"/>
      <c r="E449" s="3"/>
      <c r="F449" s="3"/>
    </row>
    <row r="450">
      <c r="D450" s="3"/>
      <c r="E450" s="3"/>
      <c r="F450" s="3"/>
    </row>
    <row r="451">
      <c r="D451" s="3"/>
      <c r="E451" s="3"/>
      <c r="F451" s="3"/>
    </row>
    <row r="452">
      <c r="D452" s="3"/>
      <c r="E452" s="3"/>
      <c r="F452" s="3"/>
    </row>
    <row r="453">
      <c r="D453" s="3"/>
      <c r="E453" s="3"/>
      <c r="F453" s="3"/>
    </row>
    <row r="454">
      <c r="D454" s="3"/>
      <c r="E454" s="3"/>
      <c r="F454" s="3"/>
    </row>
    <row r="455">
      <c r="D455" s="3"/>
      <c r="E455" s="3"/>
      <c r="F455" s="3"/>
    </row>
    <row r="456">
      <c r="D456" s="3"/>
      <c r="E456" s="3"/>
      <c r="F456" s="3"/>
    </row>
    <row r="457">
      <c r="D457" s="3"/>
      <c r="E457" s="3"/>
      <c r="F457" s="3"/>
    </row>
    <row r="458">
      <c r="D458" s="3"/>
      <c r="E458" s="3"/>
      <c r="F458" s="3"/>
    </row>
    <row r="459">
      <c r="D459" s="3"/>
      <c r="E459" s="3"/>
      <c r="F459" s="3"/>
    </row>
    <row r="460">
      <c r="D460" s="3"/>
      <c r="E460" s="3"/>
      <c r="F460" s="3"/>
    </row>
    <row r="461">
      <c r="D461" s="3"/>
      <c r="E461" s="3"/>
      <c r="F461" s="3"/>
    </row>
    <row r="462">
      <c r="D462" s="3"/>
      <c r="E462" s="3"/>
      <c r="F462" s="3"/>
    </row>
    <row r="463">
      <c r="D463" s="3"/>
      <c r="E463" s="3"/>
      <c r="F463" s="3"/>
    </row>
    <row r="464">
      <c r="D464" s="3"/>
      <c r="E464" s="3"/>
      <c r="F464" s="3"/>
    </row>
    <row r="465">
      <c r="D465" s="3"/>
      <c r="E465" s="3"/>
      <c r="F465" s="3"/>
    </row>
    <row r="466">
      <c r="D466" s="3"/>
      <c r="E466" s="3"/>
      <c r="F466" s="3"/>
    </row>
    <row r="467">
      <c r="D467" s="3"/>
      <c r="E467" s="3"/>
      <c r="F467" s="3"/>
    </row>
    <row r="468">
      <c r="D468" s="3"/>
      <c r="E468" s="3"/>
      <c r="F468" s="3"/>
    </row>
    <row r="469">
      <c r="D469" s="3"/>
      <c r="E469" s="3"/>
      <c r="F469" s="3"/>
    </row>
    <row r="470">
      <c r="D470" s="3"/>
      <c r="E470" s="3"/>
      <c r="F470" s="3"/>
    </row>
    <row r="471">
      <c r="D471" s="3"/>
      <c r="E471" s="3"/>
      <c r="F471" s="3"/>
    </row>
    <row r="472">
      <c r="D472" s="3"/>
      <c r="E472" s="3"/>
      <c r="F472" s="3"/>
    </row>
    <row r="473">
      <c r="D473" s="3"/>
      <c r="E473" s="3"/>
      <c r="F473" s="3"/>
    </row>
    <row r="474">
      <c r="D474" s="3"/>
      <c r="E474" s="3"/>
      <c r="F474" s="3"/>
    </row>
    <row r="475">
      <c r="D475" s="3"/>
      <c r="E475" s="3"/>
      <c r="F475" s="3"/>
    </row>
    <row r="476">
      <c r="D476" s="3"/>
      <c r="E476" s="3"/>
      <c r="F476" s="3"/>
    </row>
    <row r="477">
      <c r="D477" s="3"/>
      <c r="E477" s="3"/>
      <c r="F477" s="3"/>
    </row>
    <row r="478">
      <c r="D478" s="3"/>
      <c r="E478" s="3"/>
      <c r="F478" s="3"/>
    </row>
    <row r="479">
      <c r="D479" s="3"/>
      <c r="E479" s="3"/>
      <c r="F479" s="3"/>
    </row>
    <row r="480">
      <c r="D480" s="3"/>
      <c r="E480" s="3"/>
      <c r="F480" s="3"/>
    </row>
    <row r="481">
      <c r="D481" s="3"/>
      <c r="E481" s="3"/>
      <c r="F481" s="3"/>
    </row>
    <row r="482">
      <c r="D482" s="3"/>
      <c r="E482" s="3"/>
      <c r="F482" s="3"/>
    </row>
    <row r="483">
      <c r="D483" s="3"/>
      <c r="E483" s="3"/>
      <c r="F483" s="3"/>
    </row>
    <row r="484">
      <c r="D484" s="3"/>
      <c r="E484" s="3"/>
      <c r="F484" s="3"/>
    </row>
    <row r="485">
      <c r="D485" s="3"/>
      <c r="E485" s="3"/>
      <c r="F485" s="3"/>
    </row>
    <row r="486">
      <c r="D486" s="3"/>
      <c r="E486" s="3"/>
      <c r="F486" s="3"/>
    </row>
    <row r="487">
      <c r="D487" s="3"/>
      <c r="E487" s="3"/>
      <c r="F487" s="3"/>
    </row>
    <row r="488">
      <c r="D488" s="3"/>
      <c r="E488" s="3"/>
      <c r="F488" s="3"/>
    </row>
    <row r="489">
      <c r="D489" s="3"/>
      <c r="E489" s="3"/>
      <c r="F489" s="3"/>
    </row>
    <row r="490">
      <c r="D490" s="3"/>
      <c r="E490" s="3"/>
      <c r="F490" s="3"/>
    </row>
    <row r="491">
      <c r="D491" s="3"/>
      <c r="E491" s="3"/>
      <c r="F491" s="3"/>
    </row>
    <row r="492">
      <c r="D492" s="3"/>
      <c r="E492" s="3"/>
      <c r="F492" s="3"/>
    </row>
    <row r="493">
      <c r="D493" s="3"/>
      <c r="E493" s="3"/>
      <c r="F493" s="3"/>
    </row>
    <row r="494">
      <c r="D494" s="3"/>
      <c r="E494" s="3"/>
      <c r="F494" s="3"/>
    </row>
    <row r="495">
      <c r="D495" s="3"/>
      <c r="E495" s="3"/>
      <c r="F495" s="3"/>
    </row>
    <row r="496">
      <c r="D496" s="3"/>
      <c r="E496" s="3"/>
      <c r="F496" s="3"/>
    </row>
    <row r="497">
      <c r="D497" s="3"/>
      <c r="E497" s="3"/>
      <c r="F497" s="3"/>
    </row>
    <row r="498">
      <c r="D498" s="3"/>
      <c r="E498" s="3"/>
      <c r="F498" s="3"/>
    </row>
    <row r="499">
      <c r="D499" s="3"/>
      <c r="E499" s="3"/>
      <c r="F499" s="3"/>
    </row>
    <row r="500">
      <c r="D500" s="3"/>
      <c r="E500" s="3"/>
      <c r="F500" s="3"/>
    </row>
    <row r="501">
      <c r="D501" s="3"/>
      <c r="E501" s="3"/>
      <c r="F501" s="3"/>
    </row>
    <row r="502">
      <c r="D502" s="3"/>
      <c r="E502" s="3"/>
      <c r="F502" s="3"/>
    </row>
    <row r="503">
      <c r="D503" s="3"/>
      <c r="E503" s="3"/>
      <c r="F503" s="3"/>
    </row>
    <row r="504">
      <c r="D504" s="3"/>
      <c r="E504" s="3"/>
      <c r="F504" s="3"/>
    </row>
    <row r="505">
      <c r="D505" s="3"/>
      <c r="E505" s="3"/>
      <c r="F505" s="3"/>
    </row>
    <row r="506">
      <c r="D506" s="3"/>
      <c r="E506" s="3"/>
      <c r="F506" s="3"/>
    </row>
    <row r="507">
      <c r="D507" s="3"/>
      <c r="E507" s="3"/>
      <c r="F507" s="3"/>
    </row>
    <row r="508">
      <c r="D508" s="3"/>
      <c r="E508" s="3"/>
      <c r="F508" s="3"/>
    </row>
    <row r="509">
      <c r="D509" s="3"/>
      <c r="E509" s="3"/>
      <c r="F509" s="3"/>
    </row>
    <row r="510">
      <c r="D510" s="3"/>
      <c r="E510" s="3"/>
      <c r="F510" s="3"/>
    </row>
    <row r="511">
      <c r="D511" s="3"/>
      <c r="E511" s="3"/>
      <c r="F511" s="3"/>
    </row>
    <row r="512">
      <c r="D512" s="3"/>
      <c r="E512" s="3"/>
      <c r="F512" s="3"/>
    </row>
    <row r="513">
      <c r="D513" s="3"/>
      <c r="E513" s="3"/>
      <c r="F513" s="3"/>
    </row>
    <row r="514">
      <c r="D514" s="3"/>
      <c r="E514" s="3"/>
      <c r="F514" s="3"/>
    </row>
    <row r="515">
      <c r="D515" s="3"/>
      <c r="E515" s="3"/>
      <c r="F515" s="3"/>
    </row>
    <row r="516">
      <c r="D516" s="3"/>
      <c r="E516" s="3"/>
      <c r="F516" s="3"/>
    </row>
    <row r="517">
      <c r="D517" s="3"/>
      <c r="E517" s="3"/>
      <c r="F517" s="3"/>
    </row>
    <row r="518">
      <c r="D518" s="3"/>
      <c r="E518" s="3"/>
      <c r="F518" s="3"/>
    </row>
    <row r="519">
      <c r="D519" s="3"/>
      <c r="E519" s="3"/>
      <c r="F519" s="3"/>
    </row>
    <row r="520">
      <c r="D520" s="3"/>
      <c r="E520" s="3"/>
      <c r="F520" s="3"/>
    </row>
    <row r="521">
      <c r="D521" s="3"/>
      <c r="E521" s="3"/>
      <c r="F521" s="3"/>
    </row>
    <row r="522">
      <c r="D522" s="3"/>
      <c r="E522" s="3"/>
      <c r="F522" s="3"/>
    </row>
    <row r="523">
      <c r="D523" s="3"/>
      <c r="E523" s="3"/>
      <c r="F523" s="3"/>
    </row>
    <row r="524">
      <c r="D524" s="3"/>
      <c r="E524" s="3"/>
      <c r="F524" s="3"/>
    </row>
    <row r="525">
      <c r="D525" s="3"/>
      <c r="E525" s="3"/>
      <c r="F525" s="3"/>
    </row>
    <row r="526">
      <c r="D526" s="3"/>
      <c r="E526" s="3"/>
      <c r="F526" s="3"/>
    </row>
    <row r="527">
      <c r="D527" s="3"/>
      <c r="E527" s="3"/>
      <c r="F527" s="3"/>
    </row>
    <row r="528">
      <c r="D528" s="3"/>
      <c r="E528" s="3"/>
      <c r="F528" s="3"/>
    </row>
    <row r="529">
      <c r="D529" s="3"/>
      <c r="E529" s="3"/>
      <c r="F529" s="3"/>
    </row>
    <row r="530">
      <c r="D530" s="3"/>
      <c r="E530" s="3"/>
      <c r="F530" s="3"/>
    </row>
    <row r="531">
      <c r="D531" s="3"/>
      <c r="E531" s="3"/>
      <c r="F531" s="3"/>
    </row>
    <row r="532">
      <c r="D532" s="3"/>
      <c r="E532" s="3"/>
      <c r="F532" s="3"/>
    </row>
    <row r="533">
      <c r="D533" s="3"/>
      <c r="E533" s="3"/>
      <c r="F533" s="3"/>
    </row>
    <row r="534">
      <c r="D534" s="3"/>
      <c r="E534" s="3"/>
      <c r="F534" s="3"/>
    </row>
    <row r="535">
      <c r="D535" s="3"/>
      <c r="E535" s="3"/>
      <c r="F535" s="3"/>
    </row>
    <row r="536">
      <c r="D536" s="3"/>
      <c r="E536" s="3"/>
      <c r="F536" s="3"/>
    </row>
    <row r="537">
      <c r="D537" s="3"/>
      <c r="E537" s="3"/>
      <c r="F537" s="3"/>
    </row>
    <row r="538">
      <c r="D538" s="3"/>
      <c r="E538" s="3"/>
      <c r="F538" s="3"/>
    </row>
    <row r="539">
      <c r="D539" s="3"/>
      <c r="E539" s="3"/>
      <c r="F539" s="3"/>
    </row>
    <row r="540">
      <c r="D540" s="3"/>
      <c r="E540" s="3"/>
      <c r="F540" s="3"/>
    </row>
    <row r="541">
      <c r="D541" s="3"/>
      <c r="E541" s="3"/>
      <c r="F541" s="3"/>
    </row>
    <row r="542">
      <c r="D542" s="3"/>
      <c r="E542" s="3"/>
      <c r="F542" s="3"/>
    </row>
    <row r="543">
      <c r="D543" s="3"/>
      <c r="E543" s="3"/>
      <c r="F543" s="3"/>
    </row>
    <row r="544">
      <c r="D544" s="3"/>
      <c r="E544" s="3"/>
      <c r="F544" s="3"/>
    </row>
    <row r="545">
      <c r="D545" s="3"/>
      <c r="E545" s="3"/>
      <c r="F545" s="3"/>
    </row>
    <row r="546">
      <c r="D546" s="3"/>
      <c r="E546" s="3"/>
      <c r="F546" s="3"/>
    </row>
    <row r="547">
      <c r="D547" s="3"/>
      <c r="E547" s="3"/>
      <c r="F547" s="3"/>
    </row>
    <row r="548">
      <c r="D548" s="3"/>
      <c r="E548" s="3"/>
      <c r="F548" s="3"/>
    </row>
    <row r="549">
      <c r="D549" s="3"/>
      <c r="E549" s="3"/>
      <c r="F549" s="3"/>
    </row>
    <row r="550">
      <c r="D550" s="3"/>
      <c r="E550" s="3"/>
      <c r="F550" s="3"/>
    </row>
    <row r="551">
      <c r="D551" s="3"/>
      <c r="E551" s="3"/>
      <c r="F551" s="3"/>
    </row>
    <row r="552">
      <c r="D552" s="3"/>
      <c r="E552" s="3"/>
      <c r="F552" s="3"/>
    </row>
    <row r="553">
      <c r="D553" s="3"/>
      <c r="E553" s="3"/>
      <c r="F553" s="3"/>
    </row>
    <row r="554">
      <c r="D554" s="3"/>
      <c r="E554" s="3"/>
      <c r="F554" s="3"/>
    </row>
    <row r="555">
      <c r="D555" s="3"/>
      <c r="E555" s="3"/>
      <c r="F555" s="3"/>
    </row>
    <row r="556">
      <c r="D556" s="3"/>
      <c r="E556" s="3"/>
      <c r="F556" s="3"/>
    </row>
    <row r="557">
      <c r="D557" s="3"/>
      <c r="E557" s="3"/>
      <c r="F557" s="3"/>
    </row>
    <row r="558">
      <c r="D558" s="3"/>
      <c r="E558" s="3"/>
      <c r="F558" s="3"/>
    </row>
    <row r="559">
      <c r="D559" s="3"/>
      <c r="E559" s="3"/>
      <c r="F559" s="3"/>
    </row>
    <row r="560">
      <c r="D560" s="3"/>
      <c r="E560" s="3"/>
      <c r="F560" s="3"/>
    </row>
    <row r="561">
      <c r="D561" s="3"/>
      <c r="E561" s="3"/>
      <c r="F561" s="3"/>
    </row>
    <row r="562">
      <c r="D562" s="3"/>
      <c r="E562" s="3"/>
      <c r="F562" s="3"/>
    </row>
    <row r="563">
      <c r="D563" s="3"/>
      <c r="E563" s="3"/>
      <c r="F563" s="3"/>
    </row>
    <row r="564">
      <c r="D564" s="3"/>
      <c r="E564" s="3"/>
      <c r="F564" s="3"/>
    </row>
    <row r="565">
      <c r="D565" s="3"/>
      <c r="E565" s="3"/>
      <c r="F565" s="3"/>
    </row>
    <row r="566">
      <c r="D566" s="3"/>
      <c r="E566" s="3"/>
      <c r="F566" s="3"/>
    </row>
    <row r="567">
      <c r="D567" s="3"/>
      <c r="E567" s="3"/>
      <c r="F567" s="3"/>
    </row>
    <row r="568">
      <c r="D568" s="3"/>
      <c r="E568" s="3"/>
      <c r="F568" s="3"/>
    </row>
    <row r="569">
      <c r="D569" s="3"/>
      <c r="E569" s="3"/>
      <c r="F569" s="3"/>
    </row>
    <row r="570">
      <c r="D570" s="3"/>
      <c r="E570" s="3"/>
      <c r="F570" s="3"/>
    </row>
    <row r="571">
      <c r="D571" s="3"/>
      <c r="E571" s="3"/>
      <c r="F571" s="3"/>
    </row>
    <row r="572">
      <c r="D572" s="3"/>
      <c r="E572" s="3"/>
      <c r="F572" s="3"/>
    </row>
    <row r="573">
      <c r="D573" s="3"/>
      <c r="E573" s="3"/>
      <c r="F573" s="3"/>
    </row>
    <row r="574">
      <c r="D574" s="3"/>
      <c r="E574" s="3"/>
      <c r="F574" s="3"/>
    </row>
    <row r="575">
      <c r="D575" s="3"/>
      <c r="E575" s="3"/>
      <c r="F575" s="3"/>
    </row>
    <row r="576">
      <c r="D576" s="3"/>
      <c r="E576" s="3"/>
      <c r="F576" s="3"/>
    </row>
    <row r="577">
      <c r="D577" s="3"/>
      <c r="E577" s="3"/>
      <c r="F577" s="3"/>
    </row>
    <row r="578">
      <c r="D578" s="3"/>
      <c r="E578" s="3"/>
      <c r="F578" s="3"/>
    </row>
    <row r="579">
      <c r="D579" s="3"/>
      <c r="E579" s="3"/>
      <c r="F579" s="3"/>
    </row>
    <row r="580">
      <c r="D580" s="3"/>
      <c r="E580" s="3"/>
      <c r="F580" s="3"/>
    </row>
    <row r="581">
      <c r="D581" s="3"/>
      <c r="E581" s="3"/>
      <c r="F581" s="3"/>
    </row>
    <row r="582">
      <c r="D582" s="3"/>
      <c r="E582" s="3"/>
      <c r="F582" s="3"/>
    </row>
    <row r="583">
      <c r="D583" s="3"/>
      <c r="E583" s="3"/>
      <c r="F583" s="3"/>
    </row>
    <row r="584">
      <c r="D584" s="3"/>
      <c r="E584" s="3"/>
      <c r="F584" s="3"/>
    </row>
    <row r="585">
      <c r="D585" s="3"/>
      <c r="E585" s="3"/>
      <c r="F585" s="3"/>
    </row>
    <row r="586">
      <c r="D586" s="3"/>
      <c r="E586" s="3"/>
      <c r="F586" s="3"/>
    </row>
    <row r="587">
      <c r="D587" s="3"/>
      <c r="E587" s="3"/>
      <c r="F587" s="3"/>
    </row>
    <row r="588">
      <c r="D588" s="3"/>
      <c r="E588" s="3"/>
      <c r="F588" s="3"/>
    </row>
    <row r="589">
      <c r="D589" s="3"/>
      <c r="E589" s="3"/>
      <c r="F589" s="3"/>
    </row>
    <row r="590">
      <c r="D590" s="3"/>
      <c r="E590" s="3"/>
      <c r="F590" s="3"/>
    </row>
    <row r="591">
      <c r="D591" s="3"/>
      <c r="E591" s="3"/>
      <c r="F591" s="3"/>
    </row>
    <row r="592">
      <c r="D592" s="3"/>
      <c r="E592" s="3"/>
      <c r="F592" s="3"/>
    </row>
    <row r="593">
      <c r="D593" s="3"/>
      <c r="E593" s="3"/>
      <c r="F593" s="3"/>
    </row>
    <row r="594">
      <c r="D594" s="3"/>
      <c r="E594" s="3"/>
      <c r="F594" s="3"/>
    </row>
    <row r="595">
      <c r="D595" s="3"/>
      <c r="E595" s="3"/>
      <c r="F595" s="3"/>
    </row>
    <row r="596">
      <c r="D596" s="3"/>
      <c r="E596" s="3"/>
      <c r="F596" s="3"/>
    </row>
    <row r="597">
      <c r="D597" s="3"/>
      <c r="E597" s="3"/>
      <c r="F597" s="3"/>
    </row>
    <row r="598">
      <c r="D598" s="3"/>
      <c r="E598" s="3"/>
      <c r="F598" s="3"/>
    </row>
    <row r="599">
      <c r="D599" s="3"/>
      <c r="E599" s="3"/>
      <c r="F599" s="3"/>
    </row>
    <row r="600">
      <c r="D600" s="3"/>
      <c r="E600" s="3"/>
      <c r="F600" s="3"/>
    </row>
    <row r="601">
      <c r="D601" s="3"/>
      <c r="E601" s="3"/>
      <c r="F601" s="3"/>
    </row>
    <row r="602">
      <c r="D602" s="3"/>
      <c r="E602" s="3"/>
      <c r="F602" s="3"/>
    </row>
    <row r="603">
      <c r="D603" s="3"/>
      <c r="E603" s="3"/>
      <c r="F603" s="3"/>
    </row>
    <row r="604">
      <c r="D604" s="3"/>
      <c r="E604" s="3"/>
      <c r="F604" s="3"/>
    </row>
    <row r="605">
      <c r="D605" s="3"/>
      <c r="E605" s="3"/>
      <c r="F605" s="3"/>
    </row>
    <row r="606">
      <c r="D606" s="3"/>
      <c r="E606" s="3"/>
      <c r="F606" s="3"/>
    </row>
    <row r="607">
      <c r="D607" s="3"/>
      <c r="E607" s="3"/>
      <c r="F607" s="3"/>
    </row>
    <row r="608">
      <c r="D608" s="3"/>
      <c r="E608" s="3"/>
      <c r="F608" s="3"/>
    </row>
    <row r="609">
      <c r="D609" s="3"/>
      <c r="E609" s="3"/>
      <c r="F609" s="3"/>
    </row>
    <row r="610">
      <c r="D610" s="3"/>
      <c r="E610" s="3"/>
      <c r="F610" s="3"/>
    </row>
    <row r="611">
      <c r="D611" s="3"/>
      <c r="E611" s="3"/>
      <c r="F611" s="3"/>
    </row>
    <row r="612">
      <c r="D612" s="3"/>
      <c r="E612" s="3"/>
      <c r="F612" s="3"/>
    </row>
    <row r="613">
      <c r="D613" s="3"/>
      <c r="E613" s="3"/>
      <c r="F613" s="3"/>
    </row>
    <row r="614">
      <c r="D614" s="3"/>
      <c r="E614" s="3"/>
      <c r="F614" s="3"/>
    </row>
    <row r="615">
      <c r="D615" s="3"/>
      <c r="E615" s="3"/>
      <c r="F615" s="3"/>
    </row>
    <row r="616">
      <c r="D616" s="3"/>
      <c r="E616" s="3"/>
      <c r="F616" s="3"/>
    </row>
    <row r="617">
      <c r="D617" s="3"/>
      <c r="E617" s="3"/>
      <c r="F617" s="3"/>
    </row>
    <row r="618">
      <c r="D618" s="3"/>
      <c r="E618" s="3"/>
      <c r="F618" s="3"/>
    </row>
    <row r="619">
      <c r="D619" s="3"/>
      <c r="E619" s="3"/>
      <c r="F619" s="3"/>
    </row>
    <row r="620">
      <c r="D620" s="3"/>
      <c r="E620" s="3"/>
      <c r="F620" s="3"/>
    </row>
    <row r="621">
      <c r="D621" s="3"/>
      <c r="E621" s="3"/>
      <c r="F621" s="3"/>
    </row>
    <row r="622">
      <c r="D622" s="3"/>
      <c r="E622" s="3"/>
      <c r="F622" s="3"/>
    </row>
    <row r="623">
      <c r="D623" s="3"/>
      <c r="E623" s="3"/>
      <c r="F623" s="3"/>
    </row>
    <row r="624">
      <c r="D624" s="3"/>
      <c r="E624" s="3"/>
      <c r="F624" s="3"/>
    </row>
    <row r="625">
      <c r="D625" s="3"/>
      <c r="E625" s="3"/>
      <c r="F625" s="3"/>
    </row>
    <row r="626">
      <c r="D626" s="3"/>
      <c r="E626" s="3"/>
      <c r="F626" s="3"/>
    </row>
    <row r="627">
      <c r="D627" s="3"/>
      <c r="E627" s="3"/>
      <c r="F627" s="3"/>
    </row>
    <row r="628">
      <c r="D628" s="3"/>
      <c r="E628" s="3"/>
      <c r="F628" s="3"/>
    </row>
    <row r="629">
      <c r="D629" s="3"/>
      <c r="E629" s="3"/>
      <c r="F629" s="3"/>
    </row>
    <row r="630">
      <c r="D630" s="3"/>
      <c r="E630" s="3"/>
      <c r="F630" s="3"/>
    </row>
    <row r="631">
      <c r="D631" s="3"/>
      <c r="E631" s="3"/>
      <c r="F631" s="3"/>
    </row>
    <row r="632">
      <c r="D632" s="3"/>
      <c r="E632" s="3"/>
      <c r="F632" s="3"/>
    </row>
    <row r="633">
      <c r="D633" s="3"/>
      <c r="E633" s="3"/>
      <c r="F633" s="3"/>
    </row>
    <row r="634">
      <c r="D634" s="3"/>
      <c r="E634" s="3"/>
      <c r="F634" s="3"/>
    </row>
    <row r="635">
      <c r="D635" s="3"/>
      <c r="E635" s="3"/>
      <c r="F635" s="3"/>
    </row>
    <row r="636">
      <c r="D636" s="3"/>
      <c r="E636" s="3"/>
      <c r="F636" s="3"/>
    </row>
    <row r="637">
      <c r="D637" s="3"/>
      <c r="E637" s="3"/>
      <c r="F637" s="3"/>
    </row>
    <row r="638">
      <c r="D638" s="3"/>
      <c r="E638" s="3"/>
      <c r="F638" s="3"/>
    </row>
    <row r="639">
      <c r="D639" s="3"/>
      <c r="E639" s="3"/>
      <c r="F639" s="3"/>
    </row>
    <row r="640">
      <c r="D640" s="3"/>
      <c r="E640" s="3"/>
      <c r="F640" s="3"/>
    </row>
    <row r="641">
      <c r="D641" s="3"/>
      <c r="E641" s="3"/>
      <c r="F641" s="3"/>
    </row>
    <row r="642">
      <c r="D642" s="3"/>
      <c r="E642" s="3"/>
      <c r="F642" s="3"/>
    </row>
    <row r="643">
      <c r="D643" s="3"/>
      <c r="E643" s="3"/>
      <c r="F643" s="3"/>
    </row>
    <row r="644">
      <c r="D644" s="3"/>
      <c r="E644" s="3"/>
      <c r="F644" s="3"/>
    </row>
    <row r="645">
      <c r="D645" s="3"/>
      <c r="E645" s="3"/>
      <c r="F645" s="3"/>
    </row>
    <row r="646">
      <c r="D646" s="3"/>
      <c r="E646" s="3"/>
      <c r="F646" s="3"/>
    </row>
    <row r="647">
      <c r="D647" s="3"/>
      <c r="E647" s="3"/>
      <c r="F647" s="3"/>
    </row>
    <row r="648">
      <c r="D648" s="3"/>
      <c r="E648" s="3"/>
      <c r="F648" s="3"/>
    </row>
    <row r="649">
      <c r="D649" s="3"/>
      <c r="E649" s="3"/>
      <c r="F649" s="3"/>
    </row>
    <row r="650">
      <c r="D650" s="3"/>
      <c r="E650" s="3"/>
      <c r="F650" s="3"/>
    </row>
    <row r="651">
      <c r="D651" s="3"/>
      <c r="E651" s="3"/>
      <c r="F651" s="3"/>
    </row>
    <row r="652">
      <c r="D652" s="3"/>
      <c r="E652" s="3"/>
      <c r="F652" s="3"/>
    </row>
    <row r="653">
      <c r="D653" s="3"/>
      <c r="E653" s="3"/>
      <c r="F653" s="3"/>
    </row>
    <row r="654">
      <c r="D654" s="3"/>
      <c r="E654" s="3"/>
      <c r="F654" s="3"/>
    </row>
    <row r="655">
      <c r="D655" s="3"/>
      <c r="E655" s="3"/>
      <c r="F655" s="3"/>
    </row>
    <row r="656">
      <c r="D656" s="3"/>
      <c r="E656" s="3"/>
      <c r="F656" s="3"/>
    </row>
    <row r="657">
      <c r="D657" s="3"/>
      <c r="E657" s="3"/>
      <c r="F657" s="3"/>
    </row>
    <row r="658">
      <c r="D658" s="3"/>
      <c r="E658" s="3"/>
      <c r="F658" s="3"/>
    </row>
    <row r="659">
      <c r="D659" s="3"/>
      <c r="E659" s="3"/>
      <c r="F659" s="3"/>
    </row>
    <row r="660">
      <c r="D660" s="3"/>
      <c r="E660" s="3"/>
      <c r="F660" s="3"/>
    </row>
    <row r="661">
      <c r="D661" s="3"/>
      <c r="E661" s="3"/>
      <c r="F661" s="3"/>
    </row>
    <row r="662">
      <c r="D662" s="3"/>
      <c r="E662" s="3"/>
      <c r="F662" s="3"/>
    </row>
    <row r="663">
      <c r="D663" s="3"/>
      <c r="E663" s="3"/>
      <c r="F663" s="3"/>
    </row>
    <row r="664">
      <c r="D664" s="3"/>
      <c r="E664" s="3"/>
      <c r="F664" s="3"/>
    </row>
    <row r="665">
      <c r="D665" s="3"/>
      <c r="E665" s="3"/>
      <c r="F665" s="3"/>
    </row>
    <row r="666">
      <c r="D666" s="3"/>
      <c r="E666" s="3"/>
      <c r="F666" s="3"/>
    </row>
    <row r="667">
      <c r="D667" s="3"/>
      <c r="E667" s="3"/>
      <c r="F667" s="3"/>
    </row>
    <row r="668">
      <c r="D668" s="3"/>
      <c r="E668" s="3"/>
      <c r="F668" s="3"/>
    </row>
    <row r="669">
      <c r="D669" s="3"/>
      <c r="E669" s="3"/>
      <c r="F669" s="3"/>
    </row>
    <row r="670">
      <c r="D670" s="3"/>
      <c r="E670" s="3"/>
      <c r="F670" s="3"/>
    </row>
    <row r="671">
      <c r="D671" s="3"/>
      <c r="E671" s="3"/>
      <c r="F671" s="3"/>
    </row>
    <row r="672">
      <c r="D672" s="3"/>
      <c r="E672" s="3"/>
      <c r="F672" s="3"/>
    </row>
    <row r="673">
      <c r="D673" s="3"/>
      <c r="E673" s="3"/>
      <c r="F673" s="3"/>
    </row>
    <row r="674">
      <c r="D674" s="3"/>
      <c r="E674" s="3"/>
      <c r="F674" s="3"/>
    </row>
    <row r="675">
      <c r="D675" s="3"/>
      <c r="E675" s="3"/>
      <c r="F675" s="3"/>
    </row>
    <row r="676">
      <c r="D676" s="3"/>
      <c r="E676" s="3"/>
      <c r="F676" s="3"/>
    </row>
    <row r="677">
      <c r="D677" s="3"/>
      <c r="E677" s="3"/>
      <c r="F677" s="3"/>
    </row>
    <row r="678">
      <c r="D678" s="3"/>
      <c r="E678" s="3"/>
      <c r="F678" s="3"/>
    </row>
    <row r="679">
      <c r="D679" s="3"/>
      <c r="E679" s="3"/>
      <c r="F679" s="3"/>
    </row>
    <row r="680">
      <c r="D680" s="3"/>
      <c r="E680" s="3"/>
      <c r="F680" s="3"/>
    </row>
    <row r="681">
      <c r="D681" s="3"/>
      <c r="E681" s="3"/>
      <c r="F681" s="3"/>
    </row>
    <row r="682">
      <c r="D682" s="3"/>
      <c r="E682" s="3"/>
      <c r="F682" s="3"/>
    </row>
    <row r="683">
      <c r="D683" s="3"/>
      <c r="E683" s="3"/>
      <c r="F683" s="3"/>
    </row>
    <row r="684">
      <c r="D684" s="3"/>
      <c r="E684" s="3"/>
      <c r="F684" s="3"/>
    </row>
    <row r="685">
      <c r="D685" s="3"/>
      <c r="E685" s="3"/>
      <c r="F685" s="3"/>
    </row>
    <row r="686">
      <c r="D686" s="3"/>
      <c r="E686" s="3"/>
      <c r="F686" s="3"/>
    </row>
    <row r="687">
      <c r="D687" s="3"/>
      <c r="E687" s="3"/>
      <c r="F687" s="3"/>
    </row>
    <row r="688">
      <c r="D688" s="3"/>
      <c r="E688" s="3"/>
      <c r="F688" s="3"/>
    </row>
    <row r="689">
      <c r="D689" s="3"/>
      <c r="E689" s="3"/>
      <c r="F689" s="3"/>
    </row>
    <row r="690">
      <c r="D690" s="3"/>
      <c r="E690" s="3"/>
      <c r="F690" s="3"/>
    </row>
    <row r="691">
      <c r="D691" s="3"/>
      <c r="E691" s="3"/>
      <c r="F691" s="3"/>
    </row>
    <row r="692">
      <c r="D692" s="3"/>
      <c r="E692" s="3"/>
      <c r="F692" s="3"/>
    </row>
    <row r="693">
      <c r="D693" s="3"/>
      <c r="E693" s="3"/>
      <c r="F693" s="3"/>
    </row>
    <row r="694">
      <c r="D694" s="3"/>
      <c r="E694" s="3"/>
      <c r="F694" s="3"/>
    </row>
    <row r="695">
      <c r="D695" s="3"/>
      <c r="E695" s="3"/>
      <c r="F695" s="3"/>
    </row>
    <row r="696">
      <c r="D696" s="3"/>
      <c r="E696" s="3"/>
      <c r="F696" s="3"/>
    </row>
    <row r="697">
      <c r="D697" s="3"/>
      <c r="E697" s="3"/>
      <c r="F697" s="3"/>
    </row>
    <row r="698">
      <c r="D698" s="3"/>
      <c r="E698" s="3"/>
      <c r="F698" s="3"/>
    </row>
    <row r="699">
      <c r="D699" s="3"/>
      <c r="E699" s="3"/>
      <c r="F699" s="3"/>
    </row>
    <row r="700">
      <c r="D700" s="3"/>
      <c r="E700" s="3"/>
      <c r="F700" s="3"/>
    </row>
    <row r="701">
      <c r="D701" s="3"/>
      <c r="E701" s="3"/>
      <c r="F701" s="3"/>
    </row>
    <row r="702">
      <c r="D702" s="3"/>
      <c r="E702" s="3"/>
      <c r="F702" s="3"/>
    </row>
    <row r="703">
      <c r="D703" s="3"/>
      <c r="E703" s="3"/>
      <c r="F703" s="3"/>
    </row>
    <row r="704">
      <c r="D704" s="3"/>
      <c r="E704" s="3"/>
      <c r="F704" s="3"/>
    </row>
    <row r="705">
      <c r="D705" s="3"/>
      <c r="E705" s="3"/>
      <c r="F705" s="3"/>
    </row>
    <row r="706">
      <c r="D706" s="3"/>
      <c r="E706" s="3"/>
      <c r="F706" s="3"/>
    </row>
    <row r="707">
      <c r="D707" s="3"/>
      <c r="E707" s="3"/>
      <c r="F707" s="3"/>
    </row>
    <row r="708">
      <c r="D708" s="3"/>
      <c r="E708" s="3"/>
      <c r="F708" s="3"/>
    </row>
    <row r="709">
      <c r="D709" s="3"/>
      <c r="E709" s="3"/>
      <c r="F709" s="3"/>
    </row>
    <row r="710">
      <c r="D710" s="3"/>
      <c r="E710" s="3"/>
      <c r="F710" s="3"/>
    </row>
    <row r="711">
      <c r="D711" s="3"/>
      <c r="E711" s="3"/>
      <c r="F711" s="3"/>
    </row>
    <row r="712">
      <c r="D712" s="3"/>
      <c r="E712" s="3"/>
      <c r="F712" s="3"/>
    </row>
    <row r="713">
      <c r="D713" s="3"/>
      <c r="E713" s="3"/>
      <c r="F713" s="3"/>
    </row>
    <row r="714">
      <c r="D714" s="3"/>
      <c r="E714" s="3"/>
      <c r="F714" s="3"/>
    </row>
    <row r="715">
      <c r="D715" s="3"/>
      <c r="E715" s="3"/>
      <c r="F715" s="3"/>
    </row>
    <row r="716">
      <c r="D716" s="3"/>
      <c r="E716" s="3"/>
      <c r="F716" s="3"/>
    </row>
    <row r="717">
      <c r="D717" s="3"/>
      <c r="E717" s="3"/>
      <c r="F717" s="3"/>
    </row>
    <row r="718">
      <c r="D718" s="3"/>
      <c r="E718" s="3"/>
      <c r="F718" s="3"/>
    </row>
    <row r="719">
      <c r="D719" s="3"/>
      <c r="E719" s="3"/>
      <c r="F719" s="3"/>
    </row>
    <row r="720">
      <c r="D720" s="3"/>
      <c r="E720" s="3"/>
      <c r="F720" s="3"/>
    </row>
    <row r="721">
      <c r="D721" s="3"/>
      <c r="E721" s="3"/>
      <c r="F721" s="3"/>
    </row>
    <row r="722">
      <c r="D722" s="3"/>
      <c r="E722" s="3"/>
      <c r="F722" s="3"/>
    </row>
    <row r="723">
      <c r="D723" s="3"/>
      <c r="E723" s="3"/>
      <c r="F723" s="3"/>
    </row>
    <row r="724">
      <c r="D724" s="3"/>
      <c r="E724" s="3"/>
      <c r="F724" s="3"/>
    </row>
    <row r="725">
      <c r="D725" s="3"/>
      <c r="E725" s="3"/>
      <c r="F725" s="3"/>
    </row>
    <row r="726">
      <c r="D726" s="3"/>
      <c r="E726" s="3"/>
      <c r="F726" s="3"/>
    </row>
    <row r="727">
      <c r="D727" s="3"/>
      <c r="E727" s="3"/>
      <c r="F727" s="3"/>
    </row>
    <row r="728">
      <c r="D728" s="3"/>
      <c r="E728" s="3"/>
      <c r="F728" s="3"/>
    </row>
    <row r="729">
      <c r="D729" s="3"/>
      <c r="E729" s="3"/>
      <c r="F729" s="3"/>
    </row>
    <row r="730">
      <c r="D730" s="3"/>
      <c r="E730" s="3"/>
      <c r="F730" s="3"/>
    </row>
    <row r="731">
      <c r="D731" s="3"/>
      <c r="E731" s="3"/>
      <c r="F731" s="3"/>
    </row>
    <row r="732">
      <c r="D732" s="3"/>
      <c r="E732" s="3"/>
      <c r="F732" s="3"/>
    </row>
    <row r="733">
      <c r="D733" s="3"/>
      <c r="E733" s="3"/>
      <c r="F733" s="3"/>
    </row>
    <row r="734">
      <c r="D734" s="3"/>
      <c r="E734" s="3"/>
      <c r="F734" s="3"/>
    </row>
    <row r="735">
      <c r="D735" s="3"/>
      <c r="E735" s="3"/>
      <c r="F735" s="3"/>
    </row>
    <row r="736">
      <c r="D736" s="3"/>
      <c r="E736" s="3"/>
      <c r="F736" s="3"/>
    </row>
    <row r="737">
      <c r="D737" s="3"/>
      <c r="E737" s="3"/>
      <c r="F737" s="3"/>
    </row>
    <row r="738">
      <c r="D738" s="3"/>
      <c r="E738" s="3"/>
      <c r="F738" s="3"/>
    </row>
    <row r="739">
      <c r="D739" s="3"/>
      <c r="E739" s="3"/>
      <c r="F739" s="3"/>
    </row>
    <row r="740">
      <c r="D740" s="3"/>
      <c r="E740" s="3"/>
      <c r="F740" s="3"/>
    </row>
    <row r="741">
      <c r="D741" s="3"/>
      <c r="E741" s="3"/>
      <c r="F741" s="3"/>
    </row>
    <row r="742">
      <c r="D742" s="3"/>
      <c r="E742" s="3"/>
      <c r="F742" s="3"/>
    </row>
    <row r="743">
      <c r="D743" s="3"/>
      <c r="E743" s="3"/>
      <c r="F743" s="3"/>
    </row>
    <row r="744">
      <c r="D744" s="3"/>
      <c r="E744" s="3"/>
      <c r="F744" s="3"/>
    </row>
    <row r="745">
      <c r="D745" s="3"/>
      <c r="E745" s="3"/>
      <c r="F745" s="3"/>
    </row>
    <row r="746">
      <c r="D746" s="3"/>
      <c r="E746" s="3"/>
      <c r="F746" s="3"/>
    </row>
    <row r="747">
      <c r="D747" s="3"/>
      <c r="E747" s="3"/>
      <c r="F747" s="3"/>
    </row>
    <row r="748">
      <c r="D748" s="3"/>
      <c r="E748" s="3"/>
      <c r="F748" s="3"/>
    </row>
    <row r="749">
      <c r="D749" s="3"/>
      <c r="E749" s="3"/>
      <c r="F749" s="3"/>
    </row>
    <row r="750">
      <c r="D750" s="3"/>
      <c r="E750" s="3"/>
      <c r="F750" s="3"/>
    </row>
    <row r="751">
      <c r="D751" s="3"/>
      <c r="E751" s="3"/>
      <c r="F751" s="3"/>
    </row>
    <row r="752">
      <c r="D752" s="3"/>
      <c r="E752" s="3"/>
      <c r="F752" s="3"/>
    </row>
    <row r="753">
      <c r="D753" s="3"/>
      <c r="E753" s="3"/>
      <c r="F753" s="3"/>
    </row>
    <row r="754">
      <c r="D754" s="3"/>
      <c r="E754" s="3"/>
      <c r="F754" s="3"/>
    </row>
    <row r="755">
      <c r="D755" s="3"/>
      <c r="E755" s="3"/>
      <c r="F755" s="3"/>
    </row>
    <row r="756">
      <c r="D756" s="3"/>
      <c r="E756" s="3"/>
      <c r="F756" s="3"/>
    </row>
    <row r="757">
      <c r="D757" s="3"/>
      <c r="E757" s="3"/>
      <c r="F757" s="3"/>
    </row>
    <row r="758">
      <c r="D758" s="3"/>
      <c r="E758" s="3"/>
      <c r="F758" s="3"/>
    </row>
    <row r="759">
      <c r="D759" s="3"/>
      <c r="E759" s="3"/>
      <c r="F759" s="3"/>
    </row>
    <row r="760">
      <c r="D760" s="3"/>
      <c r="E760" s="3"/>
      <c r="F760" s="3"/>
    </row>
    <row r="761">
      <c r="D761" s="3"/>
      <c r="E761" s="3"/>
      <c r="F761" s="3"/>
    </row>
    <row r="762">
      <c r="D762" s="3"/>
      <c r="E762" s="3"/>
      <c r="F762" s="3"/>
    </row>
    <row r="763">
      <c r="D763" s="3"/>
      <c r="E763" s="3"/>
      <c r="F763" s="3"/>
    </row>
    <row r="764">
      <c r="D764" s="3"/>
      <c r="E764" s="3"/>
      <c r="F764" s="3"/>
    </row>
    <row r="765">
      <c r="D765" s="3"/>
      <c r="E765" s="3"/>
      <c r="F765" s="3"/>
    </row>
    <row r="766">
      <c r="D766" s="3"/>
      <c r="E766" s="3"/>
      <c r="F766" s="3"/>
    </row>
    <row r="767">
      <c r="D767" s="3"/>
      <c r="E767" s="3"/>
      <c r="F767" s="3"/>
    </row>
    <row r="768">
      <c r="D768" s="3"/>
      <c r="E768" s="3"/>
      <c r="F768" s="3"/>
    </row>
    <row r="769">
      <c r="D769" s="3"/>
      <c r="E769" s="3"/>
      <c r="F769" s="3"/>
    </row>
    <row r="770">
      <c r="D770" s="3"/>
      <c r="E770" s="3"/>
      <c r="F770" s="3"/>
    </row>
    <row r="771">
      <c r="D771" s="3"/>
      <c r="E771" s="3"/>
      <c r="F771" s="3"/>
    </row>
    <row r="772">
      <c r="D772" s="3"/>
      <c r="E772" s="3"/>
      <c r="F772" s="3"/>
    </row>
    <row r="773">
      <c r="D773" s="3"/>
      <c r="E773" s="3"/>
      <c r="F773" s="3"/>
    </row>
    <row r="774">
      <c r="D774" s="3"/>
      <c r="E774" s="3"/>
      <c r="F774" s="3"/>
    </row>
    <row r="775">
      <c r="D775" s="3"/>
      <c r="E775" s="3"/>
      <c r="F775" s="3"/>
    </row>
    <row r="776">
      <c r="D776" s="3"/>
      <c r="E776" s="3"/>
      <c r="F776" s="3"/>
    </row>
    <row r="777">
      <c r="D777" s="3"/>
      <c r="E777" s="3"/>
      <c r="F777" s="3"/>
    </row>
    <row r="778">
      <c r="D778" s="3"/>
      <c r="E778" s="3"/>
      <c r="F778" s="3"/>
    </row>
    <row r="779">
      <c r="D779" s="3"/>
      <c r="E779" s="3"/>
      <c r="F779" s="3"/>
    </row>
    <row r="780">
      <c r="D780" s="3"/>
      <c r="E780" s="3"/>
      <c r="F780" s="3"/>
    </row>
    <row r="781">
      <c r="D781" s="3"/>
      <c r="E781" s="3"/>
      <c r="F781" s="3"/>
    </row>
    <row r="782">
      <c r="D782" s="3"/>
      <c r="E782" s="3"/>
      <c r="F782" s="3"/>
    </row>
    <row r="783">
      <c r="D783" s="3"/>
      <c r="E783" s="3"/>
      <c r="F783" s="3"/>
    </row>
    <row r="784">
      <c r="D784" s="3"/>
      <c r="E784" s="3"/>
      <c r="F784" s="3"/>
    </row>
    <row r="785">
      <c r="D785" s="3"/>
      <c r="E785" s="3"/>
      <c r="F785" s="3"/>
    </row>
    <row r="786">
      <c r="D786" s="3"/>
      <c r="E786" s="3"/>
      <c r="F786" s="3"/>
    </row>
    <row r="787">
      <c r="D787" s="3"/>
      <c r="E787" s="3"/>
      <c r="F787" s="3"/>
    </row>
    <row r="788">
      <c r="D788" s="3"/>
      <c r="E788" s="3"/>
      <c r="F788" s="3"/>
    </row>
    <row r="789">
      <c r="D789" s="3"/>
      <c r="E789" s="3"/>
      <c r="F789" s="3"/>
    </row>
    <row r="790">
      <c r="D790" s="3"/>
      <c r="E790" s="3"/>
      <c r="F790" s="3"/>
    </row>
    <row r="791">
      <c r="D791" s="3"/>
      <c r="E791" s="3"/>
      <c r="F791" s="3"/>
    </row>
    <row r="792">
      <c r="D792" s="3"/>
      <c r="E792" s="3"/>
      <c r="F792" s="3"/>
    </row>
    <row r="793">
      <c r="D793" s="3"/>
      <c r="E793" s="3"/>
      <c r="F793" s="3"/>
    </row>
    <row r="794">
      <c r="D794" s="3"/>
      <c r="E794" s="3"/>
      <c r="F794" s="3"/>
    </row>
    <row r="795">
      <c r="D795" s="3"/>
      <c r="E795" s="3"/>
      <c r="F795" s="3"/>
    </row>
    <row r="796">
      <c r="D796" s="3"/>
      <c r="E796" s="3"/>
      <c r="F796" s="3"/>
    </row>
    <row r="797">
      <c r="D797" s="3"/>
      <c r="E797" s="3"/>
      <c r="F797" s="3"/>
    </row>
    <row r="798">
      <c r="D798" s="3"/>
      <c r="E798" s="3"/>
      <c r="F798" s="3"/>
    </row>
    <row r="799">
      <c r="D799" s="3"/>
      <c r="E799" s="3"/>
      <c r="F799" s="3"/>
    </row>
    <row r="800">
      <c r="D800" s="3"/>
      <c r="E800" s="3"/>
      <c r="F800" s="3"/>
    </row>
    <row r="801">
      <c r="D801" s="3"/>
      <c r="E801" s="3"/>
      <c r="F801" s="3"/>
    </row>
    <row r="802">
      <c r="D802" s="3"/>
      <c r="E802" s="3"/>
      <c r="F802" s="3"/>
    </row>
    <row r="803">
      <c r="D803" s="3"/>
      <c r="E803" s="3"/>
      <c r="F803" s="3"/>
    </row>
    <row r="804">
      <c r="D804" s="3"/>
      <c r="E804" s="3"/>
      <c r="F804" s="3"/>
    </row>
    <row r="805">
      <c r="D805" s="3"/>
      <c r="E805" s="3"/>
      <c r="F805" s="3"/>
    </row>
    <row r="806">
      <c r="D806" s="3"/>
      <c r="E806" s="3"/>
      <c r="F806" s="3"/>
    </row>
    <row r="807">
      <c r="D807" s="3"/>
      <c r="E807" s="3"/>
      <c r="F807" s="3"/>
    </row>
    <row r="808">
      <c r="D808" s="3"/>
      <c r="E808" s="3"/>
      <c r="F808" s="3"/>
    </row>
    <row r="809">
      <c r="D809" s="3"/>
      <c r="E809" s="3"/>
      <c r="F809" s="3"/>
    </row>
    <row r="810">
      <c r="D810" s="3"/>
      <c r="E810" s="3"/>
      <c r="F810" s="3"/>
    </row>
    <row r="811">
      <c r="D811" s="3"/>
      <c r="E811" s="3"/>
      <c r="F811" s="3"/>
    </row>
    <row r="812">
      <c r="D812" s="3"/>
      <c r="E812" s="3"/>
      <c r="F812" s="3"/>
    </row>
    <row r="813">
      <c r="D813" s="3"/>
      <c r="E813" s="3"/>
      <c r="F813" s="3"/>
    </row>
    <row r="814">
      <c r="D814" s="3"/>
      <c r="E814" s="3"/>
      <c r="F814" s="3"/>
    </row>
    <row r="815">
      <c r="D815" s="3"/>
      <c r="E815" s="3"/>
      <c r="F815" s="3"/>
    </row>
    <row r="816">
      <c r="D816" s="3"/>
      <c r="E816" s="3"/>
      <c r="F816" s="3"/>
    </row>
    <row r="817">
      <c r="D817" s="3"/>
      <c r="E817" s="3"/>
      <c r="F817" s="3"/>
    </row>
    <row r="818">
      <c r="D818" s="3"/>
      <c r="E818" s="3"/>
      <c r="F818" s="3"/>
    </row>
    <row r="819">
      <c r="D819" s="3"/>
      <c r="E819" s="3"/>
      <c r="F819" s="3"/>
    </row>
    <row r="820">
      <c r="D820" s="3"/>
      <c r="E820" s="3"/>
      <c r="F820" s="3"/>
    </row>
    <row r="821">
      <c r="D821" s="3"/>
      <c r="E821" s="3"/>
      <c r="F821" s="3"/>
    </row>
    <row r="822">
      <c r="D822" s="3"/>
      <c r="E822" s="3"/>
      <c r="F822" s="3"/>
    </row>
    <row r="823">
      <c r="D823" s="3"/>
      <c r="E823" s="3"/>
      <c r="F823" s="3"/>
    </row>
    <row r="824">
      <c r="D824" s="3"/>
      <c r="E824" s="3"/>
      <c r="F824" s="3"/>
    </row>
    <row r="825">
      <c r="D825" s="3"/>
      <c r="E825" s="3"/>
      <c r="F825" s="3"/>
    </row>
    <row r="826">
      <c r="D826" s="3"/>
      <c r="E826" s="3"/>
      <c r="F826" s="3"/>
    </row>
    <row r="827">
      <c r="D827" s="3"/>
      <c r="E827" s="3"/>
      <c r="F827" s="3"/>
    </row>
    <row r="828">
      <c r="D828" s="3"/>
      <c r="E828" s="3"/>
      <c r="F828" s="3"/>
    </row>
    <row r="829">
      <c r="D829" s="3"/>
      <c r="E829" s="3"/>
      <c r="F829" s="3"/>
    </row>
    <row r="830">
      <c r="D830" s="3"/>
      <c r="E830" s="3"/>
      <c r="F830" s="3"/>
    </row>
    <row r="831">
      <c r="D831" s="3"/>
      <c r="E831" s="3"/>
      <c r="F831" s="3"/>
    </row>
    <row r="832">
      <c r="D832" s="3"/>
      <c r="E832" s="3"/>
      <c r="F832" s="3"/>
    </row>
    <row r="833">
      <c r="D833" s="3"/>
      <c r="E833" s="3"/>
      <c r="F833" s="3"/>
    </row>
    <row r="834">
      <c r="D834" s="3"/>
      <c r="E834" s="3"/>
      <c r="F834" s="3"/>
    </row>
    <row r="835">
      <c r="D835" s="3"/>
      <c r="E835" s="3"/>
      <c r="F835" s="3"/>
    </row>
    <row r="836">
      <c r="D836" s="3"/>
      <c r="E836" s="3"/>
      <c r="F836" s="3"/>
    </row>
    <row r="837">
      <c r="D837" s="3"/>
      <c r="E837" s="3"/>
      <c r="F837" s="3"/>
    </row>
    <row r="838">
      <c r="D838" s="3"/>
      <c r="E838" s="3"/>
      <c r="F838" s="3"/>
    </row>
    <row r="839">
      <c r="D839" s="3"/>
      <c r="E839" s="3"/>
      <c r="F839" s="3"/>
    </row>
    <row r="840">
      <c r="D840" s="3"/>
      <c r="E840" s="3"/>
      <c r="F840" s="3"/>
    </row>
    <row r="841">
      <c r="D841" s="3"/>
      <c r="E841" s="3"/>
      <c r="F841" s="3"/>
    </row>
    <row r="842">
      <c r="D842" s="3"/>
      <c r="E842" s="3"/>
      <c r="F842" s="3"/>
    </row>
    <row r="843">
      <c r="D843" s="3"/>
      <c r="E843" s="3"/>
      <c r="F843" s="3"/>
    </row>
    <row r="844">
      <c r="D844" s="3"/>
      <c r="E844" s="3"/>
      <c r="F844" s="3"/>
    </row>
    <row r="845">
      <c r="D845" s="3"/>
      <c r="E845" s="3"/>
      <c r="F845" s="3"/>
    </row>
    <row r="846">
      <c r="D846" s="3"/>
      <c r="E846" s="3"/>
      <c r="F846" s="3"/>
    </row>
    <row r="847">
      <c r="D847" s="3"/>
      <c r="E847" s="3"/>
      <c r="F847" s="3"/>
    </row>
    <row r="848">
      <c r="D848" s="3"/>
      <c r="E848" s="3"/>
      <c r="F848" s="3"/>
    </row>
    <row r="849">
      <c r="D849" s="3"/>
      <c r="E849" s="3"/>
      <c r="F849" s="3"/>
    </row>
    <row r="850">
      <c r="D850" s="3"/>
      <c r="E850" s="3"/>
      <c r="F850" s="3"/>
    </row>
    <row r="851">
      <c r="D851" s="3"/>
      <c r="E851" s="3"/>
      <c r="F851" s="3"/>
    </row>
    <row r="852">
      <c r="D852" s="3"/>
      <c r="E852" s="3"/>
      <c r="F852" s="3"/>
    </row>
    <row r="853">
      <c r="D853" s="3"/>
      <c r="E853" s="3"/>
      <c r="F853" s="3"/>
    </row>
    <row r="854">
      <c r="D854" s="3"/>
      <c r="E854" s="3"/>
      <c r="F854" s="3"/>
    </row>
    <row r="855">
      <c r="D855" s="3"/>
      <c r="E855" s="3"/>
      <c r="F855" s="3"/>
    </row>
    <row r="856">
      <c r="D856" s="3"/>
      <c r="E856" s="3"/>
      <c r="F856" s="3"/>
    </row>
    <row r="857">
      <c r="D857" s="3"/>
      <c r="E857" s="3"/>
      <c r="F857" s="3"/>
    </row>
    <row r="858">
      <c r="D858" s="3"/>
      <c r="E858" s="3"/>
      <c r="F858" s="3"/>
    </row>
    <row r="859">
      <c r="D859" s="3"/>
      <c r="E859" s="3"/>
      <c r="F859" s="3"/>
    </row>
    <row r="860">
      <c r="D860" s="3"/>
      <c r="E860" s="3"/>
      <c r="F860" s="3"/>
    </row>
    <row r="861">
      <c r="D861" s="3"/>
      <c r="E861" s="3"/>
      <c r="F861" s="3"/>
    </row>
    <row r="862">
      <c r="D862" s="3"/>
      <c r="E862" s="3"/>
      <c r="F862" s="3"/>
    </row>
    <row r="863">
      <c r="D863" s="3"/>
      <c r="E863" s="3"/>
      <c r="F863" s="3"/>
    </row>
    <row r="864">
      <c r="D864" s="3"/>
      <c r="E864" s="3"/>
      <c r="F864" s="3"/>
    </row>
    <row r="865">
      <c r="D865" s="3"/>
      <c r="E865" s="3"/>
      <c r="F865" s="3"/>
    </row>
    <row r="866">
      <c r="D866" s="3"/>
      <c r="E866" s="3"/>
      <c r="F866" s="3"/>
    </row>
    <row r="867">
      <c r="D867" s="3"/>
      <c r="E867" s="3"/>
      <c r="F867" s="3"/>
    </row>
    <row r="868">
      <c r="D868" s="3"/>
      <c r="E868" s="3"/>
      <c r="F868" s="3"/>
    </row>
    <row r="869">
      <c r="D869" s="3"/>
      <c r="E869" s="3"/>
      <c r="F869" s="3"/>
    </row>
    <row r="870">
      <c r="D870" s="3"/>
      <c r="E870" s="3"/>
      <c r="F870" s="3"/>
    </row>
    <row r="871">
      <c r="D871" s="3"/>
      <c r="E871" s="3"/>
      <c r="F871" s="3"/>
    </row>
    <row r="872">
      <c r="D872" s="3"/>
      <c r="E872" s="3"/>
      <c r="F872" s="3"/>
    </row>
    <row r="873">
      <c r="D873" s="3"/>
      <c r="E873" s="3"/>
      <c r="F873" s="3"/>
    </row>
    <row r="874">
      <c r="D874" s="3"/>
      <c r="E874" s="3"/>
      <c r="F874" s="3"/>
    </row>
    <row r="875">
      <c r="D875" s="3"/>
      <c r="E875" s="3"/>
      <c r="F875" s="3"/>
    </row>
    <row r="876">
      <c r="D876" s="3"/>
      <c r="E876" s="3"/>
      <c r="F876" s="3"/>
    </row>
    <row r="877">
      <c r="D877" s="3"/>
      <c r="E877" s="3"/>
      <c r="F877" s="3"/>
    </row>
    <row r="878">
      <c r="D878" s="3"/>
      <c r="E878" s="3"/>
      <c r="F878" s="3"/>
    </row>
    <row r="879">
      <c r="D879" s="3"/>
      <c r="E879" s="3"/>
      <c r="F879" s="3"/>
    </row>
    <row r="880">
      <c r="D880" s="3"/>
      <c r="E880" s="3"/>
      <c r="F880" s="3"/>
    </row>
    <row r="881">
      <c r="D881" s="3"/>
      <c r="E881" s="3"/>
      <c r="F881" s="3"/>
    </row>
    <row r="882">
      <c r="D882" s="3"/>
      <c r="E882" s="3"/>
      <c r="F882" s="3"/>
    </row>
    <row r="883">
      <c r="D883" s="3"/>
      <c r="E883" s="3"/>
      <c r="F883" s="3"/>
    </row>
    <row r="884">
      <c r="D884" s="3"/>
      <c r="E884" s="3"/>
      <c r="F884" s="3"/>
    </row>
    <row r="885">
      <c r="D885" s="3"/>
      <c r="E885" s="3"/>
      <c r="F885" s="3"/>
    </row>
    <row r="886">
      <c r="D886" s="3"/>
      <c r="E886" s="3"/>
      <c r="F886" s="3"/>
    </row>
    <row r="887">
      <c r="D887" s="3"/>
      <c r="E887" s="3"/>
      <c r="F887" s="3"/>
    </row>
    <row r="888">
      <c r="D888" s="3"/>
      <c r="E888" s="3"/>
      <c r="F888" s="3"/>
    </row>
    <row r="889">
      <c r="D889" s="3"/>
      <c r="E889" s="3"/>
      <c r="F889" s="3"/>
    </row>
    <row r="890">
      <c r="D890" s="3"/>
      <c r="E890" s="3"/>
      <c r="F890" s="3"/>
    </row>
    <row r="891">
      <c r="D891" s="3"/>
      <c r="E891" s="3"/>
      <c r="F891" s="3"/>
    </row>
    <row r="892">
      <c r="D892" s="3"/>
      <c r="E892" s="3"/>
      <c r="F892" s="3"/>
    </row>
    <row r="893">
      <c r="D893" s="3"/>
      <c r="E893" s="3"/>
      <c r="F893" s="3"/>
    </row>
    <row r="894">
      <c r="D894" s="3"/>
      <c r="E894" s="3"/>
      <c r="F894" s="3"/>
    </row>
    <row r="895">
      <c r="D895" s="3"/>
      <c r="E895" s="3"/>
      <c r="F895" s="3"/>
    </row>
    <row r="896">
      <c r="D896" s="3"/>
      <c r="E896" s="3"/>
      <c r="F896" s="3"/>
    </row>
    <row r="897">
      <c r="D897" s="3"/>
      <c r="E897" s="3"/>
      <c r="F897" s="3"/>
    </row>
    <row r="898">
      <c r="D898" s="3"/>
      <c r="E898" s="3"/>
      <c r="F898" s="3"/>
    </row>
    <row r="899">
      <c r="D899" s="3"/>
      <c r="E899" s="3"/>
      <c r="F899" s="3"/>
    </row>
    <row r="900">
      <c r="D900" s="3"/>
      <c r="E900" s="3"/>
      <c r="F900" s="3"/>
    </row>
    <row r="901">
      <c r="D901" s="3"/>
      <c r="E901" s="3"/>
      <c r="F901" s="3"/>
    </row>
    <row r="902">
      <c r="D902" s="3"/>
      <c r="E902" s="3"/>
      <c r="F902" s="3"/>
    </row>
    <row r="903">
      <c r="D903" s="3"/>
      <c r="E903" s="3"/>
      <c r="F903" s="3"/>
    </row>
    <row r="904">
      <c r="D904" s="3"/>
      <c r="E904" s="3"/>
      <c r="F904" s="3"/>
    </row>
    <row r="905">
      <c r="D905" s="3"/>
      <c r="E905" s="3"/>
      <c r="F905" s="3"/>
    </row>
    <row r="906">
      <c r="D906" s="3"/>
      <c r="E906" s="3"/>
      <c r="F906" s="3"/>
    </row>
    <row r="907">
      <c r="D907" s="3"/>
      <c r="E907" s="3"/>
      <c r="F907" s="3"/>
    </row>
    <row r="908">
      <c r="D908" s="3"/>
      <c r="E908" s="3"/>
      <c r="F908" s="3"/>
    </row>
    <row r="909">
      <c r="D909" s="3"/>
      <c r="E909" s="3"/>
      <c r="F909" s="3"/>
    </row>
    <row r="910">
      <c r="D910" s="3"/>
      <c r="E910" s="3"/>
      <c r="F910" s="3"/>
    </row>
    <row r="911">
      <c r="D911" s="3"/>
      <c r="E911" s="3"/>
      <c r="F911" s="3"/>
    </row>
    <row r="912">
      <c r="D912" s="3"/>
      <c r="E912" s="3"/>
      <c r="F912" s="3"/>
    </row>
    <row r="913">
      <c r="D913" s="3"/>
      <c r="E913" s="3"/>
      <c r="F913" s="3"/>
    </row>
    <row r="914">
      <c r="D914" s="3"/>
      <c r="E914" s="3"/>
      <c r="F914" s="3"/>
    </row>
    <row r="915">
      <c r="D915" s="3"/>
      <c r="E915" s="3"/>
      <c r="F915" s="3"/>
    </row>
    <row r="916">
      <c r="D916" s="3"/>
      <c r="E916" s="3"/>
      <c r="F916" s="3"/>
    </row>
    <row r="917">
      <c r="D917" s="3"/>
      <c r="E917" s="3"/>
      <c r="F917" s="3"/>
    </row>
    <row r="918">
      <c r="D918" s="3"/>
      <c r="E918" s="3"/>
      <c r="F918" s="3"/>
    </row>
    <row r="919">
      <c r="D919" s="3"/>
      <c r="E919" s="3"/>
      <c r="F919" s="3"/>
    </row>
    <row r="920">
      <c r="D920" s="3"/>
      <c r="E920" s="3"/>
      <c r="F920" s="3"/>
    </row>
    <row r="921">
      <c r="D921" s="3"/>
      <c r="E921" s="3"/>
      <c r="F921" s="3"/>
    </row>
    <row r="922">
      <c r="D922" s="3"/>
      <c r="E922" s="3"/>
      <c r="F922" s="3"/>
    </row>
    <row r="923">
      <c r="D923" s="3"/>
      <c r="E923" s="3"/>
      <c r="F923" s="3"/>
    </row>
    <row r="924">
      <c r="D924" s="3"/>
      <c r="E924" s="3"/>
      <c r="F924" s="3"/>
    </row>
    <row r="925">
      <c r="D925" s="3"/>
      <c r="E925" s="3"/>
      <c r="F925" s="3"/>
    </row>
    <row r="926">
      <c r="D926" s="3"/>
      <c r="E926" s="3"/>
      <c r="F926" s="3"/>
    </row>
    <row r="927">
      <c r="D927" s="3"/>
      <c r="E927" s="3"/>
      <c r="F927" s="3"/>
    </row>
    <row r="928">
      <c r="D928" s="3"/>
      <c r="E928" s="3"/>
      <c r="F928" s="3"/>
    </row>
    <row r="929">
      <c r="D929" s="3"/>
      <c r="E929" s="3"/>
      <c r="F929" s="3"/>
    </row>
    <row r="930">
      <c r="D930" s="3"/>
      <c r="E930" s="3"/>
      <c r="F930" s="3"/>
    </row>
    <row r="931">
      <c r="D931" s="3"/>
      <c r="E931" s="3"/>
      <c r="F931" s="3"/>
    </row>
    <row r="932">
      <c r="D932" s="3"/>
      <c r="E932" s="3"/>
      <c r="F932" s="3"/>
    </row>
    <row r="933">
      <c r="D933" s="3"/>
      <c r="E933" s="3"/>
      <c r="F933" s="3"/>
    </row>
    <row r="934">
      <c r="D934" s="3"/>
      <c r="E934" s="3"/>
      <c r="F934" s="3"/>
    </row>
    <row r="935">
      <c r="D935" s="3"/>
      <c r="E935" s="3"/>
      <c r="F935" s="3"/>
    </row>
    <row r="936">
      <c r="D936" s="3"/>
      <c r="E936" s="3"/>
      <c r="F936" s="3"/>
    </row>
    <row r="937">
      <c r="D937" s="3"/>
      <c r="E937" s="3"/>
      <c r="F937" s="3"/>
    </row>
    <row r="938">
      <c r="D938" s="3"/>
      <c r="E938" s="3"/>
      <c r="F938" s="3"/>
    </row>
    <row r="939">
      <c r="D939" s="3"/>
      <c r="E939" s="3"/>
      <c r="F939" s="3"/>
    </row>
    <row r="940">
      <c r="D940" s="3"/>
      <c r="E940" s="3"/>
      <c r="F940" s="3"/>
    </row>
    <row r="941">
      <c r="D941" s="3"/>
      <c r="E941" s="3"/>
      <c r="F941" s="3"/>
    </row>
    <row r="942">
      <c r="D942" s="3"/>
      <c r="E942" s="3"/>
      <c r="F942" s="3"/>
    </row>
    <row r="943">
      <c r="D943" s="3"/>
      <c r="E943" s="3"/>
      <c r="F943" s="3"/>
    </row>
    <row r="944">
      <c r="D944" s="3"/>
      <c r="E944" s="3"/>
      <c r="F944" s="3"/>
    </row>
    <row r="945">
      <c r="D945" s="3"/>
      <c r="E945" s="3"/>
      <c r="F945" s="3"/>
    </row>
    <row r="946">
      <c r="D946" s="3"/>
      <c r="E946" s="3"/>
      <c r="F946" s="3"/>
    </row>
    <row r="947">
      <c r="D947" s="3"/>
      <c r="E947" s="3"/>
      <c r="F947" s="3"/>
    </row>
    <row r="948">
      <c r="D948" s="3"/>
      <c r="E948" s="3"/>
      <c r="F948" s="3"/>
    </row>
    <row r="949">
      <c r="D949" s="3"/>
      <c r="E949" s="3"/>
      <c r="F949" s="3"/>
    </row>
    <row r="950">
      <c r="D950" s="3"/>
      <c r="E950" s="3"/>
      <c r="F950" s="3"/>
    </row>
    <row r="951">
      <c r="D951" s="3"/>
      <c r="E951" s="3"/>
      <c r="F951" s="3"/>
    </row>
    <row r="952">
      <c r="D952" s="3"/>
      <c r="E952" s="3"/>
      <c r="F952" s="3"/>
    </row>
    <row r="953">
      <c r="D953" s="3"/>
      <c r="E953" s="3"/>
      <c r="F953" s="3"/>
    </row>
    <row r="954">
      <c r="D954" s="3"/>
      <c r="E954" s="3"/>
      <c r="F954" s="3"/>
    </row>
    <row r="955">
      <c r="D955" s="3"/>
      <c r="E955" s="3"/>
      <c r="F955" s="3"/>
    </row>
    <row r="956">
      <c r="D956" s="3"/>
      <c r="E956" s="3"/>
      <c r="F956" s="3"/>
    </row>
    <row r="957">
      <c r="D957" s="3"/>
      <c r="E957" s="3"/>
      <c r="F957" s="3"/>
    </row>
    <row r="958">
      <c r="D958" s="3"/>
      <c r="E958" s="3"/>
      <c r="F958" s="3"/>
    </row>
    <row r="959">
      <c r="D959" s="3"/>
      <c r="E959" s="3"/>
      <c r="F959" s="3"/>
    </row>
    <row r="960">
      <c r="D960" s="3"/>
      <c r="E960" s="3"/>
      <c r="F960" s="3"/>
    </row>
    <row r="961">
      <c r="D961" s="3"/>
      <c r="E961" s="3"/>
      <c r="F961" s="3"/>
    </row>
    <row r="962">
      <c r="D962" s="3"/>
      <c r="E962" s="3"/>
      <c r="F962" s="3"/>
    </row>
    <row r="963">
      <c r="D963" s="3"/>
      <c r="E963" s="3"/>
      <c r="F963" s="3"/>
    </row>
    <row r="964">
      <c r="D964" s="3"/>
      <c r="E964" s="3"/>
      <c r="F964" s="3"/>
    </row>
    <row r="965">
      <c r="D965" s="3"/>
      <c r="E965" s="3"/>
      <c r="F965" s="3"/>
    </row>
    <row r="966">
      <c r="D966" s="3"/>
      <c r="E966" s="3"/>
      <c r="F966" s="3"/>
    </row>
    <row r="967">
      <c r="D967" s="3"/>
      <c r="E967" s="3"/>
      <c r="F967" s="3"/>
    </row>
    <row r="968">
      <c r="D968" s="3"/>
      <c r="E968" s="3"/>
      <c r="F968" s="3"/>
    </row>
    <row r="969">
      <c r="D969" s="3"/>
      <c r="E969" s="3"/>
      <c r="F969" s="3"/>
    </row>
    <row r="970">
      <c r="D970" s="3"/>
      <c r="E970" s="3"/>
      <c r="F970" s="3"/>
    </row>
    <row r="971">
      <c r="D971" s="3"/>
      <c r="E971" s="3"/>
      <c r="F971" s="3"/>
    </row>
    <row r="972">
      <c r="D972" s="3"/>
      <c r="E972" s="3"/>
      <c r="F972" s="3"/>
    </row>
    <row r="973">
      <c r="D973" s="3"/>
      <c r="E973" s="3"/>
      <c r="F973" s="3"/>
    </row>
    <row r="974">
      <c r="D974" s="3"/>
      <c r="E974" s="3"/>
      <c r="F974" s="3"/>
    </row>
    <row r="975">
      <c r="D975" s="3"/>
      <c r="E975" s="3"/>
      <c r="F975" s="3"/>
    </row>
    <row r="976">
      <c r="D976" s="3"/>
      <c r="E976" s="3"/>
      <c r="F976" s="3"/>
    </row>
    <row r="977">
      <c r="D977" s="3"/>
      <c r="E977" s="3"/>
      <c r="F977" s="3"/>
    </row>
    <row r="978">
      <c r="D978" s="3"/>
      <c r="E978" s="3"/>
      <c r="F978" s="3"/>
    </row>
    <row r="979">
      <c r="D979" s="3"/>
      <c r="E979" s="3"/>
      <c r="F979" s="3"/>
    </row>
    <row r="980">
      <c r="D980" s="3"/>
      <c r="E980" s="3"/>
      <c r="F980" s="3"/>
    </row>
    <row r="981">
      <c r="D981" s="3"/>
      <c r="E981" s="3"/>
      <c r="F981" s="3"/>
    </row>
    <row r="982">
      <c r="D982" s="3"/>
      <c r="E982" s="3"/>
      <c r="F982" s="3"/>
    </row>
    <row r="983">
      <c r="D983" s="3"/>
      <c r="E983" s="3"/>
      <c r="F983" s="3"/>
    </row>
    <row r="984">
      <c r="D984" s="3"/>
      <c r="E984" s="3"/>
      <c r="F984" s="3"/>
    </row>
    <row r="985">
      <c r="D985" s="3"/>
      <c r="E985" s="3"/>
      <c r="F985" s="3"/>
    </row>
    <row r="986">
      <c r="D986" s="3"/>
      <c r="E986" s="3"/>
      <c r="F986" s="3"/>
    </row>
    <row r="987">
      <c r="D987" s="3"/>
      <c r="E987" s="3"/>
      <c r="F987" s="3"/>
    </row>
    <row r="988">
      <c r="D988" s="3"/>
      <c r="E988" s="3"/>
      <c r="F988" s="3"/>
    </row>
    <row r="989">
      <c r="D989" s="3"/>
      <c r="E989" s="3"/>
      <c r="F989" s="3"/>
    </row>
    <row r="990">
      <c r="D990" s="3"/>
      <c r="E990" s="3"/>
      <c r="F990" s="3"/>
    </row>
    <row r="991">
      <c r="D991" s="3"/>
      <c r="E991" s="3"/>
      <c r="F991" s="3"/>
    </row>
    <row r="992">
      <c r="D992" s="3"/>
      <c r="E992" s="3"/>
      <c r="F992" s="3"/>
    </row>
    <row r="993">
      <c r="D993" s="3"/>
      <c r="E993" s="3"/>
      <c r="F993" s="3"/>
    </row>
    <row r="994">
      <c r="D994" s="3"/>
      <c r="E994" s="3"/>
      <c r="F994" s="3"/>
    </row>
    <row r="995">
      <c r="D995" s="3"/>
      <c r="E995" s="3"/>
      <c r="F995" s="3"/>
    </row>
    <row r="996">
      <c r="D996" s="3"/>
      <c r="E996" s="3"/>
      <c r="F996" s="3"/>
    </row>
    <row r="997">
      <c r="D997" s="3"/>
      <c r="E997" s="3"/>
      <c r="F997" s="3"/>
    </row>
    <row r="998">
      <c r="D998" s="3"/>
      <c r="E998" s="3"/>
      <c r="F998" s="3"/>
    </row>
    <row r="999">
      <c r="D999" s="3"/>
      <c r="E999" s="3"/>
      <c r="F999" s="3"/>
    </row>
    <row r="1000">
      <c r="D1000" s="3"/>
      <c r="E1000" s="3"/>
      <c r="F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12.71"/>
    <col customWidth="1" min="3" max="3" width="15.0"/>
    <col customWidth="1" min="4" max="4" width="13.71"/>
    <col customWidth="1" min="5" max="7" width="23.86"/>
    <col customWidth="1" min="8" max="8" width="17.29"/>
    <col customWidth="1" min="9" max="9" width="66.43"/>
  </cols>
  <sheetData>
    <row r="1">
      <c r="I1" s="3"/>
    </row>
    <row r="2">
      <c r="B2" s="4" t="s">
        <v>23</v>
      </c>
      <c r="I2" s="3"/>
    </row>
    <row r="3">
      <c r="B3" s="5" t="s">
        <v>1</v>
      </c>
      <c r="I3" s="3"/>
    </row>
    <row r="4">
      <c r="B4" s="7" t="s">
        <v>2</v>
      </c>
      <c r="C4" s="8" t="s">
        <v>3</v>
      </c>
      <c r="I4" s="3"/>
    </row>
    <row r="5">
      <c r="B5" s="9" t="s">
        <v>4</v>
      </c>
      <c r="C5" s="10">
        <v>20.0</v>
      </c>
      <c r="I5" s="3"/>
    </row>
    <row r="6">
      <c r="B6" s="9" t="s">
        <v>5</v>
      </c>
      <c r="C6" s="10" t="s">
        <v>6</v>
      </c>
      <c r="I6" s="3"/>
    </row>
    <row r="7">
      <c r="D7" s="37"/>
      <c r="I7" s="3"/>
    </row>
    <row r="8">
      <c r="B8" s="31" t="s">
        <v>18</v>
      </c>
      <c r="C8" s="32" t="s">
        <v>19</v>
      </c>
      <c r="D8" s="31" t="s">
        <v>24</v>
      </c>
      <c r="E8" s="31" t="s">
        <v>25</v>
      </c>
      <c r="F8" s="31" t="s">
        <v>26</v>
      </c>
      <c r="G8" s="31" t="s">
        <v>27</v>
      </c>
      <c r="H8" s="31" t="s">
        <v>28</v>
      </c>
      <c r="I8" s="31" t="s">
        <v>29</v>
      </c>
    </row>
    <row r="9">
      <c r="B9" s="33">
        <v>1.0</v>
      </c>
      <c r="C9" s="34" t="str">
        <f t="array" ref="C9">IFERROR(INDEX('ALL QUIZ'!$A:$A,SMALL(IF('ALL QUIZ'!$B:$B&amp;'ALL QUIZ'!$D:$D&amp;'ALL QUIZ'!$E:$E&amp;"."&amp;'ALL QUIZ'!$F:$F=$B$3&amp;$C$4&amp;" DEVELOPER"&amp;$C$5,ROW('ALL QUIZ'!$B:$B)-ROW(INDEX('ALL QUIZ'!$B:$B,1,1))+1),$B9)), "")</f>
        <v/>
      </c>
      <c r="D9" s="34" t="str">
        <f t="array" ref="D9">IFERROR(INDEX('ALL QUIZ'!$G:$G,SMALL(IF('ALL QUIZ'!$B:$B&amp;'ALL QUIZ'!$D:$D&amp;'ALL QUIZ'!$E:$E&amp;"."&amp;'ALL QUIZ'!$F:$F=$B$3&amp;$C$4&amp;" DEVELOPER"&amp;$C$5,ROW('ALL QUIZ'!$B:$B)-ROW(INDEX('ALL QUIZ'!$B:$B,1,1))+1),$B9)), "")</f>
        <v/>
      </c>
      <c r="E9" s="34" t="str">
        <f t="array" ref="E9">IFERROR(INDEX('ALL QUIZ'!$I:$I,SMALL(IF('ALL QUIZ'!$B:$B&amp;'ALL QUIZ'!$D:$D&amp;'ALL QUIZ'!$E:$E&amp;"."&amp;'ALL QUIZ'!$F:$F=$B$3&amp;$C$4&amp;" DEVELOPER"&amp;$C$5,ROW('ALL QUIZ'!$B:$B)-ROW(INDEX('ALL QUIZ'!$B:$B,1,1))+1),$B9)), "")</f>
        <v/>
      </c>
      <c r="F9" s="34" t="str">
        <f t="array" ref="F9">IFERROR(INDEX('ALL QUIZ'!$J:$J,SMALL(IF('ALL QUIZ'!$B:$B&amp;'ALL QUIZ'!$D:$D&amp;'ALL QUIZ'!$E:$E&amp;"."&amp;'ALL QUIZ'!$F:$F=$B$3&amp;$C$4&amp;" DEVELOPER"&amp;$C$5,ROW('ALL QUIZ'!$B:$B)-ROW(INDEX('ALL QUIZ'!$B:$B,1,1))+1),$B9)), "")</f>
        <v/>
      </c>
      <c r="G9" s="34" t="str">
        <f t="array" ref="G9">IFERROR(INDEX('ALL QUIZ'!$K:$K,SMALL(IF('ALL QUIZ'!$B:$B&amp;'ALL QUIZ'!$D:$D&amp;'ALL QUIZ'!$E:$E&amp;"."&amp;'ALL QUIZ'!$F:$F=$B$3&amp;$C$4&amp;" DEVELOPER"&amp;$C$5,ROW('ALL QUIZ'!$B:$B)-ROW(INDEX('ALL QUIZ'!$B:$B,1,1))+1),$B9)), "")</f>
        <v/>
      </c>
      <c r="H9" s="38" t="str">
        <f t="array" ref="H9">IF(IFERROR(INDEX('ALL QUIZ'!$L:$L,SMALL(IF('ALL QUIZ'!$B:$B&amp;'ALL QUIZ'!$D:$D&amp;'ALL QUIZ'!$E:$E&amp;"."&amp;'ALL QUIZ'!$F:$F=$B$3&amp;$C$4&amp;" DEVELOPER"&amp;$C$5,ROW('ALL QUIZ'!$B:$B)-ROW(INDEX('ALL QUIZ'!$B:$B,1,1))+1),$B9)), "") = "", "", IFERROR(INDEX('ALL QUIZ'!$L:$L,SMALL(IF('ALL QUIZ'!$B:$B&amp;'ALL QUIZ'!$D:$D&amp;'ALL QUIZ'!$E:$E&amp;"."&amp;'ALL QUIZ'!$F:$F=$B$3&amp;$C$4&amp;" DEVELOPER"&amp;$C$5,ROW('ALL QUIZ'!$B:$B)-ROW(INDEX('ALL QUIZ'!$B:$B,1,1))+1),$B9)), "") * 50)</f>
        <v/>
      </c>
      <c r="I9" s="39" t="str">
        <f t="array" ref="I9">IFERROR(INDEX('ALL QUIZ'!$M:$M,SMALL(IF('ALL QUIZ'!$B:$B&amp;'ALL QUIZ'!$D:$D&amp;'ALL QUIZ'!$E:$E&amp;"."&amp;'ALL QUIZ'!$F:$F=$B$3&amp;$C$4&amp;" DEVELOPER"&amp;$C$5,ROW('ALL QUIZ'!$B:$B)-ROW(INDEX('ALL QUIZ'!$B:$B,1,1))+1),$B9)), "")</f>
        <v/>
      </c>
    </row>
    <row r="10">
      <c r="B10" s="36">
        <v>2.0</v>
      </c>
      <c r="C10" s="34" t="str">
        <f t="array" ref="C10">IFERROR(INDEX('ALL QUIZ'!$A:$A,SMALL(IF('ALL QUIZ'!$B:$B&amp;'ALL QUIZ'!$D:$D&amp;'ALL QUIZ'!$E:$E&amp;"."&amp;'ALL QUIZ'!$F:$F=$B$3&amp;$C$4&amp;" DEVELOPER"&amp;$C$5,ROW('ALL QUIZ'!$B:$B)-ROW(INDEX('ALL QUIZ'!$B:$B,1,1))+1),$B10)), "")</f>
        <v/>
      </c>
      <c r="D10" s="34" t="str">
        <f t="array" ref="D10">IFERROR(INDEX('ALL QUIZ'!$G:$G,SMALL(IF('ALL QUIZ'!$B:$B&amp;'ALL QUIZ'!$D:$D&amp;'ALL QUIZ'!$E:$E&amp;"."&amp;'ALL QUIZ'!$F:$F=$B$3&amp;$C$4&amp;" DEVELOPER"&amp;$C$5,ROW('ALL QUIZ'!$B:$B)-ROW(INDEX('ALL QUIZ'!$B:$B,1,1))+1),$B10)), "")</f>
        <v/>
      </c>
      <c r="E10" s="34" t="str">
        <f t="array" ref="E10">IFERROR(INDEX('ALL QUIZ'!$I:$I,SMALL(IF('ALL QUIZ'!$B:$B&amp;'ALL QUIZ'!$D:$D&amp;'ALL QUIZ'!$E:$E&amp;"."&amp;'ALL QUIZ'!$F:$F=$B$3&amp;$C$4&amp;" DEVELOPER"&amp;$C$5,ROW('ALL QUIZ'!$B:$B)-ROW(INDEX('ALL QUIZ'!$B:$B,1,1))+1),$B10)), "")</f>
        <v/>
      </c>
      <c r="F10" s="34" t="str">
        <f t="array" ref="F10">IFERROR(INDEX('ALL QUIZ'!$J:$J,SMALL(IF('ALL QUIZ'!$B:$B&amp;'ALL QUIZ'!$D:$D&amp;'ALL QUIZ'!$E:$E&amp;"."&amp;'ALL QUIZ'!$F:$F=$B$3&amp;$C$4&amp;" DEVELOPER"&amp;$C$5,ROW('ALL QUIZ'!$B:$B)-ROW(INDEX('ALL QUIZ'!$B:$B,1,1))+1),$B10)), "")</f>
        <v/>
      </c>
      <c r="G10" s="34" t="str">
        <f t="array" ref="G10">IFERROR(INDEX('ALL QUIZ'!$K:$K,SMALL(IF('ALL QUIZ'!$B:$B&amp;'ALL QUIZ'!$D:$D&amp;'ALL QUIZ'!$E:$E&amp;"."&amp;'ALL QUIZ'!$F:$F=$B$3&amp;$C$4&amp;" DEVELOPER"&amp;$C$5,ROW('ALL QUIZ'!$B:$B)-ROW(INDEX('ALL QUIZ'!$B:$B,1,1))+1),$B10)), "")</f>
        <v/>
      </c>
      <c r="H10" s="38" t="str">
        <f t="array" ref="H10">IF(IFERROR(INDEX('ALL QUIZ'!$L:$L,SMALL(IF('ALL QUIZ'!$B:$B&amp;'ALL QUIZ'!$D:$D&amp;'ALL QUIZ'!$E:$E&amp;"."&amp;'ALL QUIZ'!$F:$F=$B$3&amp;$C$4&amp;" DEVELOPER"&amp;$C$5,ROW('ALL QUIZ'!$B:$B)-ROW(INDEX('ALL QUIZ'!$B:$B,1,1))+1),$B10)), "") = "", "", IFERROR(INDEX('ALL QUIZ'!$L:$L,SMALL(IF('ALL QUIZ'!$B:$B&amp;'ALL QUIZ'!$D:$D&amp;'ALL QUIZ'!$E:$E&amp;"."&amp;'ALL QUIZ'!$F:$F=$B$3&amp;$C$4&amp;" DEVELOPER"&amp;$C$5,ROW('ALL QUIZ'!$B:$B)-ROW(INDEX('ALL QUIZ'!$B:$B,1,1))+1),$B10)), "") * 50)</f>
        <v/>
      </c>
      <c r="I10" s="39" t="str">
        <f t="array" ref="I10">IFERROR(INDEX('ALL QUIZ'!$M:$M,SMALL(IF('ALL QUIZ'!$B:$B&amp;'ALL QUIZ'!$D:$D&amp;'ALL QUIZ'!$E:$E&amp;"."&amp;'ALL QUIZ'!$F:$F=$B$3&amp;$C$4&amp;" DEVELOPER"&amp;$C$5,ROW('ALL QUIZ'!$B:$B)-ROW(INDEX('ALL QUIZ'!$B:$B,1,1))+1),$B10)), "")</f>
        <v/>
      </c>
    </row>
    <row r="11">
      <c r="B11" s="33">
        <v>3.0</v>
      </c>
      <c r="C11" s="34" t="str">
        <f t="array" ref="C11">IFERROR(INDEX('ALL QUIZ'!$A:$A,SMALL(IF('ALL QUIZ'!$B:$B&amp;'ALL QUIZ'!$D:$D&amp;'ALL QUIZ'!$E:$E&amp;"."&amp;'ALL QUIZ'!$F:$F=$B$3&amp;$C$4&amp;" DEVELOPER"&amp;$C$5,ROW('ALL QUIZ'!$B:$B)-ROW(INDEX('ALL QUIZ'!$B:$B,1,1))+1),$B11)), "")</f>
        <v/>
      </c>
      <c r="D11" s="34" t="str">
        <f t="array" ref="D11">IFERROR(INDEX('ALL QUIZ'!$G:$G,SMALL(IF('ALL QUIZ'!$B:$B&amp;'ALL QUIZ'!$D:$D&amp;'ALL QUIZ'!$E:$E&amp;"."&amp;'ALL QUIZ'!$F:$F=$B$3&amp;$C$4&amp;" DEVELOPER"&amp;$C$5,ROW('ALL QUIZ'!$B:$B)-ROW(INDEX('ALL QUIZ'!$B:$B,1,1))+1),$B11)), "")</f>
        <v/>
      </c>
      <c r="E11" s="34" t="str">
        <f t="array" ref="E11">IFERROR(INDEX('ALL QUIZ'!$I:$I,SMALL(IF('ALL QUIZ'!$B:$B&amp;'ALL QUIZ'!$D:$D&amp;'ALL QUIZ'!$E:$E&amp;"."&amp;'ALL QUIZ'!$F:$F=$B$3&amp;$C$4&amp;" DEVELOPER"&amp;$C$5,ROW('ALL QUIZ'!$B:$B)-ROW(INDEX('ALL QUIZ'!$B:$B,1,1))+1),$B11)), "")</f>
        <v/>
      </c>
      <c r="F11" s="34" t="str">
        <f t="array" ref="F11">IFERROR(INDEX('ALL QUIZ'!$J:$J,SMALL(IF('ALL QUIZ'!$B:$B&amp;'ALL QUIZ'!$D:$D&amp;'ALL QUIZ'!$E:$E&amp;"."&amp;'ALL QUIZ'!$F:$F=$B$3&amp;$C$4&amp;" DEVELOPER"&amp;$C$5,ROW('ALL QUIZ'!$B:$B)-ROW(INDEX('ALL QUIZ'!$B:$B,1,1))+1),$B11)), "")</f>
        <v/>
      </c>
      <c r="G11" s="34" t="str">
        <f t="array" ref="G11">IFERROR(INDEX('ALL QUIZ'!$K:$K,SMALL(IF('ALL QUIZ'!$B:$B&amp;'ALL QUIZ'!$D:$D&amp;'ALL QUIZ'!$E:$E&amp;"."&amp;'ALL QUIZ'!$F:$F=$B$3&amp;$C$4&amp;" DEVELOPER"&amp;$C$5,ROW('ALL QUIZ'!$B:$B)-ROW(INDEX('ALL QUIZ'!$B:$B,1,1))+1),$B11)), "")</f>
        <v/>
      </c>
      <c r="H11" s="38" t="str">
        <f t="array" ref="H11">IF(IFERROR(INDEX('ALL QUIZ'!$L:$L,SMALL(IF('ALL QUIZ'!$B:$B&amp;'ALL QUIZ'!$D:$D&amp;'ALL QUIZ'!$E:$E&amp;"."&amp;'ALL QUIZ'!$F:$F=$B$3&amp;$C$4&amp;" DEVELOPER"&amp;$C$5,ROW('ALL QUIZ'!$B:$B)-ROW(INDEX('ALL QUIZ'!$B:$B,1,1))+1),$B11)), "") = "", "", IFERROR(INDEX('ALL QUIZ'!$L:$L,SMALL(IF('ALL QUIZ'!$B:$B&amp;'ALL QUIZ'!$D:$D&amp;'ALL QUIZ'!$E:$E&amp;"."&amp;'ALL QUIZ'!$F:$F=$B$3&amp;$C$4&amp;" DEVELOPER"&amp;$C$5,ROW('ALL QUIZ'!$B:$B)-ROW(INDEX('ALL QUIZ'!$B:$B,1,1))+1),$B11)), "") * 50)</f>
        <v/>
      </c>
      <c r="I11" s="39" t="str">
        <f t="array" ref="I11">IFERROR(INDEX('ALL QUIZ'!$M:$M,SMALL(IF('ALL QUIZ'!$B:$B&amp;'ALL QUIZ'!$D:$D&amp;'ALL QUIZ'!$E:$E&amp;"."&amp;'ALL QUIZ'!$F:$F=$B$3&amp;$C$4&amp;" DEVELOPER"&amp;$C$5,ROW('ALL QUIZ'!$B:$B)-ROW(INDEX('ALL QUIZ'!$B:$B,1,1))+1),$B11)), "")</f>
        <v/>
      </c>
    </row>
    <row r="12">
      <c r="B12" s="36">
        <v>4.0</v>
      </c>
      <c r="C12" s="34" t="str">
        <f t="array" ref="C12">IFERROR(INDEX('ALL QUIZ'!$A:$A,SMALL(IF('ALL QUIZ'!$B:$B&amp;'ALL QUIZ'!$D:$D&amp;'ALL QUIZ'!$E:$E&amp;"."&amp;'ALL QUIZ'!$F:$F=$B$3&amp;$C$4&amp;" DEVELOPER"&amp;$C$5,ROW('ALL QUIZ'!$B:$B)-ROW(INDEX('ALL QUIZ'!$B:$B,1,1))+1),$B12)), "")</f>
        <v/>
      </c>
      <c r="D12" s="34" t="str">
        <f t="array" ref="D12">IFERROR(INDEX('ALL QUIZ'!$G:$G,SMALL(IF('ALL QUIZ'!$B:$B&amp;'ALL QUIZ'!$D:$D&amp;'ALL QUIZ'!$E:$E&amp;"."&amp;'ALL QUIZ'!$F:$F=$B$3&amp;$C$4&amp;" DEVELOPER"&amp;$C$5,ROW('ALL QUIZ'!$B:$B)-ROW(INDEX('ALL QUIZ'!$B:$B,1,1))+1),$B12)), "")</f>
        <v/>
      </c>
      <c r="E12" s="34" t="str">
        <f t="array" ref="E12">IFERROR(INDEX('ALL QUIZ'!$I:$I,SMALL(IF('ALL QUIZ'!$B:$B&amp;'ALL QUIZ'!$D:$D&amp;'ALL QUIZ'!$E:$E&amp;"."&amp;'ALL QUIZ'!$F:$F=$B$3&amp;$C$4&amp;" DEVELOPER"&amp;$C$5,ROW('ALL QUIZ'!$B:$B)-ROW(INDEX('ALL QUIZ'!$B:$B,1,1))+1),$B12)), "")</f>
        <v/>
      </c>
      <c r="F12" s="34" t="str">
        <f t="array" ref="F12">IFERROR(INDEX('ALL QUIZ'!$J:$J,SMALL(IF('ALL QUIZ'!$B:$B&amp;'ALL QUIZ'!$D:$D&amp;'ALL QUIZ'!$E:$E&amp;"."&amp;'ALL QUIZ'!$F:$F=$B$3&amp;$C$4&amp;" DEVELOPER"&amp;$C$5,ROW('ALL QUIZ'!$B:$B)-ROW(INDEX('ALL QUIZ'!$B:$B,1,1))+1),$B12)), "")</f>
        <v/>
      </c>
      <c r="G12" s="34" t="str">
        <f t="array" ref="G12">IFERROR(INDEX('ALL QUIZ'!$K:$K,SMALL(IF('ALL QUIZ'!$B:$B&amp;'ALL QUIZ'!$D:$D&amp;'ALL QUIZ'!$E:$E&amp;"."&amp;'ALL QUIZ'!$F:$F=$B$3&amp;$C$4&amp;" DEVELOPER"&amp;$C$5,ROW('ALL QUIZ'!$B:$B)-ROW(INDEX('ALL QUIZ'!$B:$B,1,1))+1),$B12)), "")</f>
        <v/>
      </c>
      <c r="H12" s="38" t="str">
        <f t="array" ref="H12">IF(IFERROR(INDEX('ALL QUIZ'!$L:$L,SMALL(IF('ALL QUIZ'!$B:$B&amp;'ALL QUIZ'!$D:$D&amp;'ALL QUIZ'!$E:$E&amp;"."&amp;'ALL QUIZ'!$F:$F=$B$3&amp;$C$4&amp;" DEVELOPER"&amp;$C$5,ROW('ALL QUIZ'!$B:$B)-ROW(INDEX('ALL QUIZ'!$B:$B,1,1))+1),$B12)), "") = "", "", IFERROR(INDEX('ALL QUIZ'!$L:$L,SMALL(IF('ALL QUIZ'!$B:$B&amp;'ALL QUIZ'!$D:$D&amp;'ALL QUIZ'!$E:$E&amp;"."&amp;'ALL QUIZ'!$F:$F=$B$3&amp;$C$4&amp;" DEVELOPER"&amp;$C$5,ROW('ALL QUIZ'!$B:$B)-ROW(INDEX('ALL QUIZ'!$B:$B,1,1))+1),$B12)), "") * 50)</f>
        <v/>
      </c>
      <c r="I12" s="39" t="str">
        <f t="array" ref="I12">IFERROR(INDEX('ALL QUIZ'!$M:$M,SMALL(IF('ALL QUIZ'!$B:$B&amp;'ALL QUIZ'!$D:$D&amp;'ALL QUIZ'!$E:$E&amp;"."&amp;'ALL QUIZ'!$F:$F=$B$3&amp;$C$4&amp;" DEVELOPER"&amp;$C$5,ROW('ALL QUIZ'!$B:$B)-ROW(INDEX('ALL QUIZ'!$B:$B,1,1))+1),$B12)), "")</f>
        <v/>
      </c>
    </row>
    <row r="13">
      <c r="B13" s="33">
        <v>5.0</v>
      </c>
      <c r="C13" s="34" t="str">
        <f t="array" ref="C13">IFERROR(INDEX('ALL QUIZ'!$A:$A,SMALL(IF('ALL QUIZ'!$B:$B&amp;'ALL QUIZ'!$D:$D&amp;'ALL QUIZ'!$E:$E&amp;"."&amp;'ALL QUIZ'!$F:$F=$B$3&amp;$C$4&amp;" DEVELOPER"&amp;$C$5,ROW('ALL QUIZ'!$B:$B)-ROW(INDEX('ALL QUIZ'!$B:$B,1,1))+1),$B13)), "")</f>
        <v/>
      </c>
      <c r="D13" s="34" t="str">
        <f t="array" ref="D13">IFERROR(INDEX('ALL QUIZ'!$G:$G,SMALL(IF('ALL QUIZ'!$B:$B&amp;'ALL QUIZ'!$D:$D&amp;'ALL QUIZ'!$E:$E&amp;"."&amp;'ALL QUIZ'!$F:$F=$B$3&amp;$C$4&amp;" DEVELOPER"&amp;$C$5,ROW('ALL QUIZ'!$B:$B)-ROW(INDEX('ALL QUIZ'!$B:$B,1,1))+1),$B13)), "")</f>
        <v/>
      </c>
      <c r="E13" s="34" t="str">
        <f t="array" ref="E13">IFERROR(INDEX('ALL QUIZ'!$I:$I,SMALL(IF('ALL QUIZ'!$B:$B&amp;'ALL QUIZ'!$D:$D&amp;'ALL QUIZ'!$E:$E&amp;"."&amp;'ALL QUIZ'!$F:$F=$B$3&amp;$C$4&amp;" DEVELOPER"&amp;$C$5,ROW('ALL QUIZ'!$B:$B)-ROW(INDEX('ALL QUIZ'!$B:$B,1,1))+1),$B13)), "")</f>
        <v/>
      </c>
      <c r="F13" s="34" t="str">
        <f t="array" ref="F13">IFERROR(INDEX('ALL QUIZ'!$J:$J,SMALL(IF('ALL QUIZ'!$B:$B&amp;'ALL QUIZ'!$D:$D&amp;'ALL QUIZ'!$E:$E&amp;"."&amp;'ALL QUIZ'!$F:$F=$B$3&amp;$C$4&amp;" DEVELOPER"&amp;$C$5,ROW('ALL QUIZ'!$B:$B)-ROW(INDEX('ALL QUIZ'!$B:$B,1,1))+1),$B13)), "")</f>
        <v/>
      </c>
      <c r="G13" s="34" t="str">
        <f t="array" ref="G13">IFERROR(INDEX('ALL QUIZ'!$K:$K,SMALL(IF('ALL QUIZ'!$B:$B&amp;'ALL QUIZ'!$D:$D&amp;'ALL QUIZ'!$E:$E&amp;"."&amp;'ALL QUIZ'!$F:$F=$B$3&amp;$C$4&amp;" DEVELOPER"&amp;$C$5,ROW('ALL QUIZ'!$B:$B)-ROW(INDEX('ALL QUIZ'!$B:$B,1,1))+1),$B13)), "")</f>
        <v/>
      </c>
      <c r="H13" s="38" t="str">
        <f t="array" ref="H13">IF(IFERROR(INDEX('ALL QUIZ'!$L:$L,SMALL(IF('ALL QUIZ'!$B:$B&amp;'ALL QUIZ'!$D:$D&amp;'ALL QUIZ'!$E:$E&amp;"."&amp;'ALL QUIZ'!$F:$F=$B$3&amp;$C$4&amp;" DEVELOPER"&amp;$C$5,ROW('ALL QUIZ'!$B:$B)-ROW(INDEX('ALL QUIZ'!$B:$B,1,1))+1),$B13)), "") = "", "", IFERROR(INDEX('ALL QUIZ'!$L:$L,SMALL(IF('ALL QUIZ'!$B:$B&amp;'ALL QUIZ'!$D:$D&amp;'ALL QUIZ'!$E:$E&amp;"."&amp;'ALL QUIZ'!$F:$F=$B$3&amp;$C$4&amp;" DEVELOPER"&amp;$C$5,ROW('ALL QUIZ'!$B:$B)-ROW(INDEX('ALL QUIZ'!$B:$B,1,1))+1),$B13)), "") * 50)</f>
        <v/>
      </c>
      <c r="I13" s="39" t="str">
        <f t="array" ref="I13">IFERROR(INDEX('ALL QUIZ'!$M:$M,SMALL(IF('ALL QUIZ'!$B:$B&amp;'ALL QUIZ'!$D:$D&amp;'ALL QUIZ'!$E:$E&amp;"."&amp;'ALL QUIZ'!$F:$F=$B$3&amp;$C$4&amp;" DEVELOPER"&amp;$C$5,ROW('ALL QUIZ'!$B:$B)-ROW(INDEX('ALL QUIZ'!$B:$B,1,1))+1),$B13)), "")</f>
        <v/>
      </c>
    </row>
    <row r="14">
      <c r="B14" s="36">
        <v>6.0</v>
      </c>
      <c r="C14" s="34" t="str">
        <f t="array" ref="C14">IFERROR(INDEX('ALL QUIZ'!$A:$A,SMALL(IF('ALL QUIZ'!$B:$B&amp;'ALL QUIZ'!$D:$D&amp;'ALL QUIZ'!$E:$E&amp;"."&amp;'ALL QUIZ'!$F:$F=$B$3&amp;$C$4&amp;" DEVELOPER"&amp;$C$5,ROW('ALL QUIZ'!$B:$B)-ROW(INDEX('ALL QUIZ'!$B:$B,1,1))+1),$B14)), "")</f>
        <v/>
      </c>
      <c r="D14" s="34" t="str">
        <f t="array" ref="D14">IFERROR(INDEX('ALL QUIZ'!$G:$G,SMALL(IF('ALL QUIZ'!$B:$B&amp;'ALL QUIZ'!$D:$D&amp;'ALL QUIZ'!$E:$E&amp;"."&amp;'ALL QUIZ'!$F:$F=$B$3&amp;$C$4&amp;" DEVELOPER"&amp;$C$5,ROW('ALL QUIZ'!$B:$B)-ROW(INDEX('ALL QUIZ'!$B:$B,1,1))+1),$B14)), "")</f>
        <v/>
      </c>
      <c r="E14" s="34" t="str">
        <f t="array" ref="E14">IFERROR(INDEX('ALL QUIZ'!$I:$I,SMALL(IF('ALL QUIZ'!$B:$B&amp;'ALL QUIZ'!$D:$D&amp;'ALL QUIZ'!$E:$E&amp;"."&amp;'ALL QUIZ'!$F:$F=$B$3&amp;$C$4&amp;" DEVELOPER"&amp;$C$5,ROW('ALL QUIZ'!$B:$B)-ROW(INDEX('ALL QUIZ'!$B:$B,1,1))+1),$B14)), "")</f>
        <v/>
      </c>
      <c r="F14" s="34" t="str">
        <f t="array" ref="F14">IFERROR(INDEX('ALL QUIZ'!$J:$J,SMALL(IF('ALL QUIZ'!$B:$B&amp;'ALL QUIZ'!$D:$D&amp;'ALL QUIZ'!$E:$E&amp;"."&amp;'ALL QUIZ'!$F:$F=$B$3&amp;$C$4&amp;" DEVELOPER"&amp;$C$5,ROW('ALL QUIZ'!$B:$B)-ROW(INDEX('ALL QUIZ'!$B:$B,1,1))+1),$B14)), "")</f>
        <v/>
      </c>
      <c r="G14" s="34" t="str">
        <f t="array" ref="G14">IFERROR(INDEX('ALL QUIZ'!$K:$K,SMALL(IF('ALL QUIZ'!$B:$B&amp;'ALL QUIZ'!$D:$D&amp;'ALL QUIZ'!$E:$E&amp;"."&amp;'ALL QUIZ'!$F:$F=$B$3&amp;$C$4&amp;" DEVELOPER"&amp;$C$5,ROW('ALL QUIZ'!$B:$B)-ROW(INDEX('ALL QUIZ'!$B:$B,1,1))+1),$B14)), "")</f>
        <v/>
      </c>
      <c r="H14" s="38" t="str">
        <f t="array" ref="H14">IF(IFERROR(INDEX('ALL QUIZ'!$L:$L,SMALL(IF('ALL QUIZ'!$B:$B&amp;'ALL QUIZ'!$D:$D&amp;'ALL QUIZ'!$E:$E&amp;"."&amp;'ALL QUIZ'!$F:$F=$B$3&amp;$C$4&amp;" DEVELOPER"&amp;$C$5,ROW('ALL QUIZ'!$B:$B)-ROW(INDEX('ALL QUIZ'!$B:$B,1,1))+1),$B14)), "") = "", "", IFERROR(INDEX('ALL QUIZ'!$L:$L,SMALL(IF('ALL QUIZ'!$B:$B&amp;'ALL QUIZ'!$D:$D&amp;'ALL QUIZ'!$E:$E&amp;"."&amp;'ALL QUIZ'!$F:$F=$B$3&amp;$C$4&amp;" DEVELOPER"&amp;$C$5,ROW('ALL QUIZ'!$B:$B)-ROW(INDEX('ALL QUIZ'!$B:$B,1,1))+1),$B14)), "") * 50)</f>
        <v/>
      </c>
      <c r="I14" s="39" t="str">
        <f t="array" ref="I14">IFERROR(INDEX('ALL QUIZ'!$M:$M,SMALL(IF('ALL QUIZ'!$B:$B&amp;'ALL QUIZ'!$D:$D&amp;'ALL QUIZ'!$E:$E&amp;"."&amp;'ALL QUIZ'!$F:$F=$B$3&amp;$C$4&amp;" DEVELOPER"&amp;$C$5,ROW('ALL QUIZ'!$B:$B)-ROW(INDEX('ALL QUIZ'!$B:$B,1,1))+1),$B14)), "")</f>
        <v/>
      </c>
    </row>
    <row r="15">
      <c r="B15" s="33">
        <v>7.0</v>
      </c>
      <c r="C15" s="34" t="str">
        <f t="array" ref="C15">IFERROR(INDEX('ALL QUIZ'!$A:$A,SMALL(IF('ALL QUIZ'!$B:$B&amp;'ALL QUIZ'!$D:$D&amp;'ALL QUIZ'!$E:$E&amp;"."&amp;'ALL QUIZ'!$F:$F=$B$3&amp;$C$4&amp;" DEVELOPER"&amp;$C$5,ROW('ALL QUIZ'!$B:$B)-ROW(INDEX('ALL QUIZ'!$B:$B,1,1))+1),$B15)), "")</f>
        <v/>
      </c>
      <c r="D15" s="34" t="str">
        <f t="array" ref="D15">IFERROR(INDEX('ALL QUIZ'!$G:$G,SMALL(IF('ALL QUIZ'!$B:$B&amp;'ALL QUIZ'!$D:$D&amp;'ALL QUIZ'!$E:$E&amp;"."&amp;'ALL QUIZ'!$F:$F=$B$3&amp;$C$4&amp;" DEVELOPER"&amp;$C$5,ROW('ALL QUIZ'!$B:$B)-ROW(INDEX('ALL QUIZ'!$B:$B,1,1))+1),$B15)), "")</f>
        <v/>
      </c>
      <c r="E15" s="34" t="str">
        <f t="array" ref="E15">IFERROR(INDEX('ALL QUIZ'!$I:$I,SMALL(IF('ALL QUIZ'!$B:$B&amp;'ALL QUIZ'!$D:$D&amp;'ALL QUIZ'!$E:$E&amp;"."&amp;'ALL QUIZ'!$F:$F=$B$3&amp;$C$4&amp;" DEVELOPER"&amp;$C$5,ROW('ALL QUIZ'!$B:$B)-ROW(INDEX('ALL QUIZ'!$B:$B,1,1))+1),$B15)), "")</f>
        <v/>
      </c>
      <c r="F15" s="34" t="str">
        <f t="array" ref="F15">IFERROR(INDEX('ALL QUIZ'!$J:$J,SMALL(IF('ALL QUIZ'!$B:$B&amp;'ALL QUIZ'!$D:$D&amp;'ALL QUIZ'!$E:$E&amp;"."&amp;'ALL QUIZ'!$F:$F=$B$3&amp;$C$4&amp;" DEVELOPER"&amp;$C$5,ROW('ALL QUIZ'!$B:$B)-ROW(INDEX('ALL QUIZ'!$B:$B,1,1))+1),$B15)), "")</f>
        <v/>
      </c>
      <c r="G15" s="34" t="str">
        <f t="array" ref="G15">IFERROR(INDEX('ALL QUIZ'!$K:$K,SMALL(IF('ALL QUIZ'!$B:$B&amp;'ALL QUIZ'!$D:$D&amp;'ALL QUIZ'!$E:$E&amp;"."&amp;'ALL QUIZ'!$F:$F=$B$3&amp;$C$4&amp;" DEVELOPER"&amp;$C$5,ROW('ALL QUIZ'!$B:$B)-ROW(INDEX('ALL QUIZ'!$B:$B,1,1))+1),$B15)), "")</f>
        <v/>
      </c>
      <c r="H15" s="38" t="str">
        <f t="array" ref="H15">IF(IFERROR(INDEX('ALL QUIZ'!$L:$L,SMALL(IF('ALL QUIZ'!$B:$B&amp;'ALL QUIZ'!$D:$D&amp;'ALL QUIZ'!$E:$E&amp;"."&amp;'ALL QUIZ'!$F:$F=$B$3&amp;$C$4&amp;" DEVELOPER"&amp;$C$5,ROW('ALL QUIZ'!$B:$B)-ROW(INDEX('ALL QUIZ'!$B:$B,1,1))+1),$B15)), "") = "", "", IFERROR(INDEX('ALL QUIZ'!$L:$L,SMALL(IF('ALL QUIZ'!$B:$B&amp;'ALL QUIZ'!$D:$D&amp;'ALL QUIZ'!$E:$E&amp;"."&amp;'ALL QUIZ'!$F:$F=$B$3&amp;$C$4&amp;" DEVELOPER"&amp;$C$5,ROW('ALL QUIZ'!$B:$B)-ROW(INDEX('ALL QUIZ'!$B:$B,1,1))+1),$B15)), "") * 50)</f>
        <v/>
      </c>
      <c r="I15" s="39" t="str">
        <f t="array" ref="I15">IFERROR(INDEX('ALL QUIZ'!$M:$M,SMALL(IF('ALL QUIZ'!$B:$B&amp;'ALL QUIZ'!$D:$D&amp;'ALL QUIZ'!$E:$E&amp;"."&amp;'ALL QUIZ'!$F:$F=$B$3&amp;$C$4&amp;" DEVELOPER"&amp;$C$5,ROW('ALL QUIZ'!$B:$B)-ROW(INDEX('ALL QUIZ'!$B:$B,1,1))+1),$B15)), "")</f>
        <v/>
      </c>
    </row>
    <row r="16">
      <c r="B16" s="36">
        <v>8.0</v>
      </c>
      <c r="C16" s="34" t="str">
        <f t="array" ref="C16">IFERROR(INDEX('ALL QUIZ'!$A:$A,SMALL(IF('ALL QUIZ'!$B:$B&amp;'ALL QUIZ'!$D:$D&amp;'ALL QUIZ'!$E:$E&amp;"."&amp;'ALL QUIZ'!$F:$F=$B$3&amp;$C$4&amp;" DEVELOPER"&amp;$C$5,ROW('ALL QUIZ'!$B:$B)-ROW(INDEX('ALL QUIZ'!$B:$B,1,1))+1),$B16)), "")</f>
        <v/>
      </c>
      <c r="D16" s="34" t="str">
        <f t="array" ref="D16">IFERROR(INDEX('ALL QUIZ'!$G:$G,SMALL(IF('ALL QUIZ'!$B:$B&amp;'ALL QUIZ'!$D:$D&amp;'ALL QUIZ'!$E:$E&amp;"."&amp;'ALL QUIZ'!$F:$F=$B$3&amp;$C$4&amp;" DEVELOPER"&amp;$C$5,ROW('ALL QUIZ'!$B:$B)-ROW(INDEX('ALL QUIZ'!$B:$B,1,1))+1),$B16)), "")</f>
        <v/>
      </c>
      <c r="E16" s="34" t="str">
        <f t="array" ref="E16">IFERROR(INDEX('ALL QUIZ'!$I:$I,SMALL(IF('ALL QUIZ'!$B:$B&amp;'ALL QUIZ'!$D:$D&amp;'ALL QUIZ'!$E:$E&amp;"."&amp;'ALL QUIZ'!$F:$F=$B$3&amp;$C$4&amp;" DEVELOPER"&amp;$C$5,ROW('ALL QUIZ'!$B:$B)-ROW(INDEX('ALL QUIZ'!$B:$B,1,1))+1),$B16)), "")</f>
        <v/>
      </c>
      <c r="F16" s="34" t="str">
        <f t="array" ref="F16">IFERROR(INDEX('ALL QUIZ'!$J:$J,SMALL(IF('ALL QUIZ'!$B:$B&amp;'ALL QUIZ'!$D:$D&amp;'ALL QUIZ'!$E:$E&amp;"."&amp;'ALL QUIZ'!$F:$F=$B$3&amp;$C$4&amp;" DEVELOPER"&amp;$C$5,ROW('ALL QUIZ'!$B:$B)-ROW(INDEX('ALL QUIZ'!$B:$B,1,1))+1),$B16)), "")</f>
        <v/>
      </c>
      <c r="G16" s="34" t="str">
        <f t="array" ref="G16">IFERROR(INDEX('ALL QUIZ'!$K:$K,SMALL(IF('ALL QUIZ'!$B:$B&amp;'ALL QUIZ'!$D:$D&amp;'ALL QUIZ'!$E:$E&amp;"."&amp;'ALL QUIZ'!$F:$F=$B$3&amp;$C$4&amp;" DEVELOPER"&amp;$C$5,ROW('ALL QUIZ'!$B:$B)-ROW(INDEX('ALL QUIZ'!$B:$B,1,1))+1),$B16)), "")</f>
        <v/>
      </c>
      <c r="H16" s="38" t="str">
        <f t="array" ref="H16">IF(IFERROR(INDEX('ALL QUIZ'!$L:$L,SMALL(IF('ALL QUIZ'!$B:$B&amp;'ALL QUIZ'!$D:$D&amp;'ALL QUIZ'!$E:$E&amp;"."&amp;'ALL QUIZ'!$F:$F=$B$3&amp;$C$4&amp;" DEVELOPER"&amp;$C$5,ROW('ALL QUIZ'!$B:$B)-ROW(INDEX('ALL QUIZ'!$B:$B,1,1))+1),$B16)), "") = "", "", IFERROR(INDEX('ALL QUIZ'!$L:$L,SMALL(IF('ALL QUIZ'!$B:$B&amp;'ALL QUIZ'!$D:$D&amp;'ALL QUIZ'!$E:$E&amp;"."&amp;'ALL QUIZ'!$F:$F=$B$3&amp;$C$4&amp;" DEVELOPER"&amp;$C$5,ROW('ALL QUIZ'!$B:$B)-ROW(INDEX('ALL QUIZ'!$B:$B,1,1))+1),$B16)), "") * 50)</f>
        <v/>
      </c>
      <c r="I16" s="39" t="str">
        <f t="array" ref="I16">IFERROR(INDEX('ALL QUIZ'!$M:$M,SMALL(IF('ALL QUIZ'!$B:$B&amp;'ALL QUIZ'!$D:$D&amp;'ALL QUIZ'!$E:$E&amp;"."&amp;'ALL QUIZ'!$F:$F=$B$3&amp;$C$4&amp;" DEVELOPER"&amp;$C$5,ROW('ALL QUIZ'!$B:$B)-ROW(INDEX('ALL QUIZ'!$B:$B,1,1))+1),$B16)), "")</f>
        <v/>
      </c>
    </row>
    <row r="17">
      <c r="B17" s="33">
        <v>9.0</v>
      </c>
      <c r="C17" s="34" t="str">
        <f t="array" ref="C17">IFERROR(INDEX('ALL QUIZ'!$A:$A,SMALL(IF('ALL QUIZ'!$B:$B&amp;'ALL QUIZ'!$D:$D&amp;'ALL QUIZ'!$E:$E&amp;"."&amp;'ALL QUIZ'!$F:$F=$B$3&amp;$C$4&amp;" DEVELOPER"&amp;$C$5,ROW('ALL QUIZ'!$B:$B)-ROW(INDEX('ALL QUIZ'!$B:$B,1,1))+1),$B17)), "")</f>
        <v/>
      </c>
      <c r="D17" s="34" t="str">
        <f t="array" ref="D17">IFERROR(INDEX('ALL QUIZ'!$G:$G,SMALL(IF('ALL QUIZ'!$B:$B&amp;'ALL QUIZ'!$D:$D&amp;'ALL QUIZ'!$E:$E&amp;"."&amp;'ALL QUIZ'!$F:$F=$B$3&amp;$C$4&amp;" DEVELOPER"&amp;$C$5,ROW('ALL QUIZ'!$B:$B)-ROW(INDEX('ALL QUIZ'!$B:$B,1,1))+1),$B17)), "")</f>
        <v/>
      </c>
      <c r="E17" s="34" t="str">
        <f t="array" ref="E17">IFERROR(INDEX('ALL QUIZ'!$I:$I,SMALL(IF('ALL QUIZ'!$B:$B&amp;'ALL QUIZ'!$D:$D&amp;'ALL QUIZ'!$E:$E&amp;"."&amp;'ALL QUIZ'!$F:$F=$B$3&amp;$C$4&amp;" DEVELOPER"&amp;$C$5,ROW('ALL QUIZ'!$B:$B)-ROW(INDEX('ALL QUIZ'!$B:$B,1,1))+1),$B17)), "")</f>
        <v/>
      </c>
      <c r="F17" s="34" t="str">
        <f t="array" ref="F17">IFERROR(INDEX('ALL QUIZ'!$J:$J,SMALL(IF('ALL QUIZ'!$B:$B&amp;'ALL QUIZ'!$D:$D&amp;'ALL QUIZ'!$E:$E&amp;"."&amp;'ALL QUIZ'!$F:$F=$B$3&amp;$C$4&amp;" DEVELOPER"&amp;$C$5,ROW('ALL QUIZ'!$B:$B)-ROW(INDEX('ALL QUIZ'!$B:$B,1,1))+1),$B17)), "")</f>
        <v/>
      </c>
      <c r="G17" s="34" t="str">
        <f t="array" ref="G17">IFERROR(INDEX('ALL QUIZ'!$K:$K,SMALL(IF('ALL QUIZ'!$B:$B&amp;'ALL QUIZ'!$D:$D&amp;'ALL QUIZ'!$E:$E&amp;"."&amp;'ALL QUIZ'!$F:$F=$B$3&amp;$C$4&amp;" DEVELOPER"&amp;$C$5,ROW('ALL QUIZ'!$B:$B)-ROW(INDEX('ALL QUIZ'!$B:$B,1,1))+1),$B17)), "")</f>
        <v/>
      </c>
      <c r="H17" s="38" t="str">
        <f t="array" ref="H17">IF(IFERROR(INDEX('ALL QUIZ'!$L:$L,SMALL(IF('ALL QUIZ'!$B:$B&amp;'ALL QUIZ'!$D:$D&amp;'ALL QUIZ'!$E:$E&amp;"."&amp;'ALL QUIZ'!$F:$F=$B$3&amp;$C$4&amp;" DEVELOPER"&amp;$C$5,ROW('ALL QUIZ'!$B:$B)-ROW(INDEX('ALL QUIZ'!$B:$B,1,1))+1),$B17)), "") = "", "", IFERROR(INDEX('ALL QUIZ'!$L:$L,SMALL(IF('ALL QUIZ'!$B:$B&amp;'ALL QUIZ'!$D:$D&amp;'ALL QUIZ'!$E:$E&amp;"."&amp;'ALL QUIZ'!$F:$F=$B$3&amp;$C$4&amp;" DEVELOPER"&amp;$C$5,ROW('ALL QUIZ'!$B:$B)-ROW(INDEX('ALL QUIZ'!$B:$B,1,1))+1),$B17)), "") * 50)</f>
        <v/>
      </c>
      <c r="I17" s="39" t="str">
        <f t="array" ref="I17">IFERROR(INDEX('ALL QUIZ'!$M:$M,SMALL(IF('ALL QUIZ'!$B:$B&amp;'ALL QUIZ'!$D:$D&amp;'ALL QUIZ'!$E:$E&amp;"."&amp;'ALL QUIZ'!$F:$F=$B$3&amp;$C$4&amp;" DEVELOPER"&amp;$C$5,ROW('ALL QUIZ'!$B:$B)-ROW(INDEX('ALL QUIZ'!$B:$B,1,1))+1),$B17)), "")</f>
        <v/>
      </c>
    </row>
    <row r="18">
      <c r="B18" s="36">
        <v>10.0</v>
      </c>
      <c r="C18" s="34" t="str">
        <f t="array" ref="C18">IFERROR(INDEX('ALL QUIZ'!$A:$A,SMALL(IF('ALL QUIZ'!$B:$B&amp;'ALL QUIZ'!$D:$D&amp;'ALL QUIZ'!$E:$E&amp;"."&amp;'ALL QUIZ'!$F:$F=$B$3&amp;$C$4&amp;" DEVELOPER"&amp;$C$5,ROW('ALL QUIZ'!$B:$B)-ROW(INDEX('ALL QUIZ'!$B:$B,1,1))+1),$B18)), "")</f>
        <v/>
      </c>
      <c r="D18" s="34" t="str">
        <f t="array" ref="D18">IFERROR(INDEX('ALL QUIZ'!$G:$G,SMALL(IF('ALL QUIZ'!$B:$B&amp;'ALL QUIZ'!$D:$D&amp;'ALL QUIZ'!$E:$E&amp;"."&amp;'ALL QUIZ'!$F:$F=$B$3&amp;$C$4&amp;" DEVELOPER"&amp;$C$5,ROW('ALL QUIZ'!$B:$B)-ROW(INDEX('ALL QUIZ'!$B:$B,1,1))+1),$B18)), "")</f>
        <v/>
      </c>
      <c r="E18" s="34" t="str">
        <f t="array" ref="E18">IFERROR(INDEX('ALL QUIZ'!$I:$I,SMALL(IF('ALL QUIZ'!$B:$B&amp;'ALL QUIZ'!$D:$D&amp;'ALL QUIZ'!$E:$E&amp;"."&amp;'ALL QUIZ'!$F:$F=$B$3&amp;$C$4&amp;" DEVELOPER"&amp;$C$5,ROW('ALL QUIZ'!$B:$B)-ROW(INDEX('ALL QUIZ'!$B:$B,1,1))+1),$B18)), "")</f>
        <v/>
      </c>
      <c r="F18" s="34" t="str">
        <f t="array" ref="F18">IFERROR(INDEX('ALL QUIZ'!$J:$J,SMALL(IF('ALL QUIZ'!$B:$B&amp;'ALL QUIZ'!$D:$D&amp;'ALL QUIZ'!$E:$E&amp;"."&amp;'ALL QUIZ'!$F:$F=$B$3&amp;$C$4&amp;" DEVELOPER"&amp;$C$5,ROW('ALL QUIZ'!$B:$B)-ROW(INDEX('ALL QUIZ'!$B:$B,1,1))+1),$B18)), "")</f>
        <v/>
      </c>
      <c r="G18" s="34" t="str">
        <f t="array" ref="G18">IFERROR(INDEX('ALL QUIZ'!$K:$K,SMALL(IF('ALL QUIZ'!$B:$B&amp;'ALL QUIZ'!$D:$D&amp;'ALL QUIZ'!$E:$E&amp;"."&amp;'ALL QUIZ'!$F:$F=$B$3&amp;$C$4&amp;" DEVELOPER"&amp;$C$5,ROW('ALL QUIZ'!$B:$B)-ROW(INDEX('ALL QUIZ'!$B:$B,1,1))+1),$B18)), "")</f>
        <v/>
      </c>
      <c r="H18" s="38" t="str">
        <f t="array" ref="H18">IF(IFERROR(INDEX('ALL QUIZ'!$L:$L,SMALL(IF('ALL QUIZ'!$B:$B&amp;'ALL QUIZ'!$D:$D&amp;'ALL QUIZ'!$E:$E&amp;"."&amp;'ALL QUIZ'!$F:$F=$B$3&amp;$C$4&amp;" DEVELOPER"&amp;$C$5,ROW('ALL QUIZ'!$B:$B)-ROW(INDEX('ALL QUIZ'!$B:$B,1,1))+1),$B18)), "") = "", "", IFERROR(INDEX('ALL QUIZ'!$L:$L,SMALL(IF('ALL QUIZ'!$B:$B&amp;'ALL QUIZ'!$D:$D&amp;'ALL QUIZ'!$E:$E&amp;"."&amp;'ALL QUIZ'!$F:$F=$B$3&amp;$C$4&amp;" DEVELOPER"&amp;$C$5,ROW('ALL QUIZ'!$B:$B)-ROW(INDEX('ALL QUIZ'!$B:$B,1,1))+1),$B18)), "") * 50)</f>
        <v/>
      </c>
      <c r="I18" s="39" t="str">
        <f t="array" ref="I18">IFERROR(INDEX('ALL QUIZ'!$M:$M,SMALL(IF('ALL QUIZ'!$B:$B&amp;'ALL QUIZ'!$D:$D&amp;'ALL QUIZ'!$E:$E&amp;"."&amp;'ALL QUIZ'!$F:$F=$B$3&amp;$C$4&amp;" DEVELOPER"&amp;$C$5,ROW('ALL QUIZ'!$B:$B)-ROW(INDEX('ALL QUIZ'!$B:$B,1,1))+1),$B18)), "")</f>
        <v/>
      </c>
    </row>
    <row r="19">
      <c r="B19" s="33">
        <v>11.0</v>
      </c>
      <c r="C19" s="34" t="str">
        <f t="array" ref="C19">IFERROR(INDEX('ALL QUIZ'!$A:$A,SMALL(IF('ALL QUIZ'!$B:$B&amp;'ALL QUIZ'!$D:$D&amp;'ALL QUIZ'!$E:$E&amp;"."&amp;'ALL QUIZ'!$F:$F=$B$3&amp;$C$4&amp;" DEVELOPER"&amp;$C$5,ROW('ALL QUIZ'!$B:$B)-ROW(INDEX('ALL QUIZ'!$B:$B,1,1))+1),$B19)), "")</f>
        <v/>
      </c>
      <c r="D19" s="34" t="str">
        <f t="array" ref="D19">IFERROR(INDEX('ALL QUIZ'!$G:$G,SMALL(IF('ALL QUIZ'!$B:$B&amp;'ALL QUIZ'!$D:$D&amp;'ALL QUIZ'!$E:$E&amp;"."&amp;'ALL QUIZ'!$F:$F=$B$3&amp;$C$4&amp;" DEVELOPER"&amp;$C$5,ROW('ALL QUIZ'!$B:$B)-ROW(INDEX('ALL QUIZ'!$B:$B,1,1))+1),$B19)), "")</f>
        <v/>
      </c>
      <c r="E19" s="34" t="str">
        <f t="array" ref="E19">IFERROR(INDEX('ALL QUIZ'!$I:$I,SMALL(IF('ALL QUIZ'!$B:$B&amp;'ALL QUIZ'!$D:$D&amp;'ALL QUIZ'!$E:$E&amp;"."&amp;'ALL QUIZ'!$F:$F=$B$3&amp;$C$4&amp;" DEVELOPER"&amp;$C$5,ROW('ALL QUIZ'!$B:$B)-ROW(INDEX('ALL QUIZ'!$B:$B,1,1))+1),$B19)), "")</f>
        <v/>
      </c>
      <c r="F19" s="34" t="str">
        <f t="array" ref="F19">IFERROR(INDEX('ALL QUIZ'!$J:$J,SMALL(IF('ALL QUIZ'!$B:$B&amp;'ALL QUIZ'!$D:$D&amp;'ALL QUIZ'!$E:$E&amp;"."&amp;'ALL QUIZ'!$F:$F=$B$3&amp;$C$4&amp;" DEVELOPER"&amp;$C$5,ROW('ALL QUIZ'!$B:$B)-ROW(INDEX('ALL QUIZ'!$B:$B,1,1))+1),$B19)), "")</f>
        <v/>
      </c>
      <c r="G19" s="34" t="str">
        <f t="array" ref="G19">IFERROR(INDEX('ALL QUIZ'!$K:$K,SMALL(IF('ALL QUIZ'!$B:$B&amp;'ALL QUIZ'!$D:$D&amp;'ALL QUIZ'!$E:$E&amp;"."&amp;'ALL QUIZ'!$F:$F=$B$3&amp;$C$4&amp;" DEVELOPER"&amp;$C$5,ROW('ALL QUIZ'!$B:$B)-ROW(INDEX('ALL QUIZ'!$B:$B,1,1))+1),$B19)), "")</f>
        <v/>
      </c>
      <c r="H19" s="38" t="str">
        <f t="array" ref="H19">IF(IFERROR(INDEX('ALL QUIZ'!$L:$L,SMALL(IF('ALL QUIZ'!$B:$B&amp;'ALL QUIZ'!$D:$D&amp;'ALL QUIZ'!$E:$E&amp;"."&amp;'ALL QUIZ'!$F:$F=$B$3&amp;$C$4&amp;" DEVELOPER"&amp;$C$5,ROW('ALL QUIZ'!$B:$B)-ROW(INDEX('ALL QUIZ'!$B:$B,1,1))+1),$B19)), "") = "", "", IFERROR(INDEX('ALL QUIZ'!$L:$L,SMALL(IF('ALL QUIZ'!$B:$B&amp;'ALL QUIZ'!$D:$D&amp;'ALL QUIZ'!$E:$E&amp;"."&amp;'ALL QUIZ'!$F:$F=$B$3&amp;$C$4&amp;" DEVELOPER"&amp;$C$5,ROW('ALL QUIZ'!$B:$B)-ROW(INDEX('ALL QUIZ'!$B:$B,1,1))+1),$B19)), "") * 50)</f>
        <v/>
      </c>
      <c r="I19" s="39" t="str">
        <f t="array" ref="I19">IFERROR(INDEX('ALL QUIZ'!$M:$M,SMALL(IF('ALL QUIZ'!$B:$B&amp;'ALL QUIZ'!$D:$D&amp;'ALL QUIZ'!$E:$E&amp;"."&amp;'ALL QUIZ'!$F:$F=$B$3&amp;$C$4&amp;" DEVELOPER"&amp;$C$5,ROW('ALL QUIZ'!$B:$B)-ROW(INDEX('ALL QUIZ'!$B:$B,1,1))+1),$B19)), "")</f>
        <v/>
      </c>
    </row>
    <row r="20">
      <c r="B20" s="36">
        <v>12.0</v>
      </c>
      <c r="C20" s="34" t="str">
        <f t="array" ref="C20">IFERROR(INDEX('ALL QUIZ'!$A:$A,SMALL(IF('ALL QUIZ'!$B:$B&amp;'ALL QUIZ'!$D:$D&amp;'ALL QUIZ'!$E:$E&amp;"."&amp;'ALL QUIZ'!$F:$F=$B$3&amp;$C$4&amp;" DEVELOPER"&amp;$C$5,ROW('ALL QUIZ'!$B:$B)-ROW(INDEX('ALL QUIZ'!$B:$B,1,1))+1),$B20)), "")</f>
        <v/>
      </c>
      <c r="D20" s="34" t="str">
        <f t="array" ref="D20">IFERROR(INDEX('ALL QUIZ'!$G:$G,SMALL(IF('ALL QUIZ'!$B:$B&amp;'ALL QUIZ'!$D:$D&amp;'ALL QUIZ'!$E:$E&amp;"."&amp;'ALL QUIZ'!$F:$F=$B$3&amp;$C$4&amp;" DEVELOPER"&amp;$C$5,ROW('ALL QUIZ'!$B:$B)-ROW(INDEX('ALL QUIZ'!$B:$B,1,1))+1),$B20)), "")</f>
        <v/>
      </c>
      <c r="E20" s="34" t="str">
        <f t="array" ref="E20">IFERROR(INDEX('ALL QUIZ'!$I:$I,SMALL(IF('ALL QUIZ'!$B:$B&amp;'ALL QUIZ'!$D:$D&amp;'ALL QUIZ'!$E:$E&amp;"."&amp;'ALL QUIZ'!$F:$F=$B$3&amp;$C$4&amp;" DEVELOPER"&amp;$C$5,ROW('ALL QUIZ'!$B:$B)-ROW(INDEX('ALL QUIZ'!$B:$B,1,1))+1),$B20)), "")</f>
        <v/>
      </c>
      <c r="F20" s="34" t="str">
        <f t="array" ref="F20">IFERROR(INDEX('ALL QUIZ'!$J:$J,SMALL(IF('ALL QUIZ'!$B:$B&amp;'ALL QUIZ'!$D:$D&amp;'ALL QUIZ'!$E:$E&amp;"."&amp;'ALL QUIZ'!$F:$F=$B$3&amp;$C$4&amp;" DEVELOPER"&amp;$C$5,ROW('ALL QUIZ'!$B:$B)-ROW(INDEX('ALL QUIZ'!$B:$B,1,1))+1),$B20)), "")</f>
        <v/>
      </c>
      <c r="G20" s="34" t="str">
        <f t="array" ref="G20">IFERROR(INDEX('ALL QUIZ'!$K:$K,SMALL(IF('ALL QUIZ'!$B:$B&amp;'ALL QUIZ'!$D:$D&amp;'ALL QUIZ'!$E:$E&amp;"."&amp;'ALL QUIZ'!$F:$F=$B$3&amp;$C$4&amp;" DEVELOPER"&amp;$C$5,ROW('ALL QUIZ'!$B:$B)-ROW(INDEX('ALL QUIZ'!$B:$B,1,1))+1),$B20)), "")</f>
        <v/>
      </c>
      <c r="H20" s="38" t="str">
        <f t="array" ref="H20">IF(IFERROR(INDEX('ALL QUIZ'!$L:$L,SMALL(IF('ALL QUIZ'!$B:$B&amp;'ALL QUIZ'!$D:$D&amp;'ALL QUIZ'!$E:$E&amp;"."&amp;'ALL QUIZ'!$F:$F=$B$3&amp;$C$4&amp;" DEVELOPER"&amp;$C$5,ROW('ALL QUIZ'!$B:$B)-ROW(INDEX('ALL QUIZ'!$B:$B,1,1))+1),$B20)), "") = "", "", IFERROR(INDEX('ALL QUIZ'!$L:$L,SMALL(IF('ALL QUIZ'!$B:$B&amp;'ALL QUIZ'!$D:$D&amp;'ALL QUIZ'!$E:$E&amp;"."&amp;'ALL QUIZ'!$F:$F=$B$3&amp;$C$4&amp;" DEVELOPER"&amp;$C$5,ROW('ALL QUIZ'!$B:$B)-ROW(INDEX('ALL QUIZ'!$B:$B,1,1))+1),$B20)), "") * 50)</f>
        <v/>
      </c>
      <c r="I20" s="39" t="str">
        <f t="array" ref="I20">IFERROR(INDEX('ALL QUIZ'!$M:$M,SMALL(IF('ALL QUIZ'!$B:$B&amp;'ALL QUIZ'!$D:$D&amp;'ALL QUIZ'!$E:$E&amp;"."&amp;'ALL QUIZ'!$F:$F=$B$3&amp;$C$4&amp;" DEVELOPER"&amp;$C$5,ROW('ALL QUIZ'!$B:$B)-ROW(INDEX('ALL QUIZ'!$B:$B,1,1))+1),$B20)), "")</f>
        <v/>
      </c>
    </row>
    <row r="21">
      <c r="B21" s="33">
        <v>13.0</v>
      </c>
      <c r="C21" s="34" t="str">
        <f t="array" ref="C21">IFERROR(INDEX('ALL QUIZ'!$A:$A,SMALL(IF('ALL QUIZ'!$B:$B&amp;'ALL QUIZ'!$D:$D&amp;'ALL QUIZ'!$E:$E&amp;"."&amp;'ALL QUIZ'!$F:$F=$B$3&amp;$C$4&amp;" DEVELOPER"&amp;$C$5,ROW('ALL QUIZ'!$B:$B)-ROW(INDEX('ALL QUIZ'!$B:$B,1,1))+1),$B21)), "")</f>
        <v/>
      </c>
      <c r="D21" s="34" t="str">
        <f t="array" ref="D21">IFERROR(INDEX('ALL QUIZ'!$G:$G,SMALL(IF('ALL QUIZ'!$B:$B&amp;'ALL QUIZ'!$D:$D&amp;'ALL QUIZ'!$E:$E&amp;"."&amp;'ALL QUIZ'!$F:$F=$B$3&amp;$C$4&amp;" DEVELOPER"&amp;$C$5,ROW('ALL QUIZ'!$B:$B)-ROW(INDEX('ALL QUIZ'!$B:$B,1,1))+1),$B21)), "")</f>
        <v/>
      </c>
      <c r="E21" s="34" t="str">
        <f t="array" ref="E21">IFERROR(INDEX('ALL QUIZ'!$I:$I,SMALL(IF('ALL QUIZ'!$B:$B&amp;'ALL QUIZ'!$D:$D&amp;'ALL QUIZ'!$E:$E&amp;"."&amp;'ALL QUIZ'!$F:$F=$B$3&amp;$C$4&amp;" DEVELOPER"&amp;$C$5,ROW('ALL QUIZ'!$B:$B)-ROW(INDEX('ALL QUIZ'!$B:$B,1,1))+1),$B21)), "")</f>
        <v/>
      </c>
      <c r="F21" s="34" t="str">
        <f t="array" ref="F21">IFERROR(INDEX('ALL QUIZ'!$J:$J,SMALL(IF('ALL QUIZ'!$B:$B&amp;'ALL QUIZ'!$D:$D&amp;'ALL QUIZ'!$E:$E&amp;"."&amp;'ALL QUIZ'!$F:$F=$B$3&amp;$C$4&amp;" DEVELOPER"&amp;$C$5,ROW('ALL QUIZ'!$B:$B)-ROW(INDEX('ALL QUIZ'!$B:$B,1,1))+1),$B21)), "")</f>
        <v/>
      </c>
      <c r="G21" s="34" t="str">
        <f t="array" ref="G21">IFERROR(INDEX('ALL QUIZ'!$K:$K,SMALL(IF('ALL QUIZ'!$B:$B&amp;'ALL QUIZ'!$D:$D&amp;'ALL QUIZ'!$E:$E&amp;"."&amp;'ALL QUIZ'!$F:$F=$B$3&amp;$C$4&amp;" DEVELOPER"&amp;$C$5,ROW('ALL QUIZ'!$B:$B)-ROW(INDEX('ALL QUIZ'!$B:$B,1,1))+1),$B21)), "")</f>
        <v/>
      </c>
      <c r="H21" s="38" t="str">
        <f t="array" ref="H21">IF(IFERROR(INDEX('ALL QUIZ'!$L:$L,SMALL(IF('ALL QUIZ'!$B:$B&amp;'ALL QUIZ'!$D:$D&amp;'ALL QUIZ'!$E:$E&amp;"."&amp;'ALL QUIZ'!$F:$F=$B$3&amp;$C$4&amp;" DEVELOPER"&amp;$C$5,ROW('ALL QUIZ'!$B:$B)-ROW(INDEX('ALL QUIZ'!$B:$B,1,1))+1),$B21)), "") = "", "", IFERROR(INDEX('ALL QUIZ'!$L:$L,SMALL(IF('ALL QUIZ'!$B:$B&amp;'ALL QUIZ'!$D:$D&amp;'ALL QUIZ'!$E:$E&amp;"."&amp;'ALL QUIZ'!$F:$F=$B$3&amp;$C$4&amp;" DEVELOPER"&amp;$C$5,ROW('ALL QUIZ'!$B:$B)-ROW(INDEX('ALL QUIZ'!$B:$B,1,1))+1),$B21)), "") * 50)</f>
        <v/>
      </c>
      <c r="I21" s="39" t="str">
        <f t="array" ref="I21">IFERROR(INDEX('ALL QUIZ'!$M:$M,SMALL(IF('ALL QUIZ'!$B:$B&amp;'ALL QUIZ'!$D:$D&amp;'ALL QUIZ'!$E:$E&amp;"."&amp;'ALL QUIZ'!$F:$F=$B$3&amp;$C$4&amp;" DEVELOPER"&amp;$C$5,ROW('ALL QUIZ'!$B:$B)-ROW(INDEX('ALL QUIZ'!$B:$B,1,1))+1),$B21)), "")</f>
        <v/>
      </c>
    </row>
    <row r="22">
      <c r="B22" s="36">
        <v>14.0</v>
      </c>
      <c r="C22" s="34" t="str">
        <f t="array" ref="C22">IFERROR(INDEX('ALL QUIZ'!$A:$A,SMALL(IF('ALL QUIZ'!$B:$B&amp;'ALL QUIZ'!$D:$D&amp;'ALL QUIZ'!$E:$E&amp;"."&amp;'ALL QUIZ'!$F:$F=$B$3&amp;$C$4&amp;" DEVELOPER"&amp;$C$5,ROW('ALL QUIZ'!$B:$B)-ROW(INDEX('ALL QUIZ'!$B:$B,1,1))+1),$B22)), "")</f>
        <v/>
      </c>
      <c r="D22" s="34" t="str">
        <f t="array" ref="D22">IFERROR(INDEX('ALL QUIZ'!$G:$G,SMALL(IF('ALL QUIZ'!$B:$B&amp;'ALL QUIZ'!$D:$D&amp;'ALL QUIZ'!$E:$E&amp;"."&amp;'ALL QUIZ'!$F:$F=$B$3&amp;$C$4&amp;" DEVELOPER"&amp;$C$5,ROW('ALL QUIZ'!$B:$B)-ROW(INDEX('ALL QUIZ'!$B:$B,1,1))+1),$B22)), "")</f>
        <v/>
      </c>
      <c r="E22" s="34" t="str">
        <f t="array" ref="E22">IFERROR(INDEX('ALL QUIZ'!$I:$I,SMALL(IF('ALL QUIZ'!$B:$B&amp;'ALL QUIZ'!$D:$D&amp;'ALL QUIZ'!$E:$E&amp;"."&amp;'ALL QUIZ'!$F:$F=$B$3&amp;$C$4&amp;" DEVELOPER"&amp;$C$5,ROW('ALL QUIZ'!$B:$B)-ROW(INDEX('ALL QUIZ'!$B:$B,1,1))+1),$B22)), "")</f>
        <v/>
      </c>
      <c r="F22" s="34" t="str">
        <f t="array" ref="F22">IFERROR(INDEX('ALL QUIZ'!$J:$J,SMALL(IF('ALL QUIZ'!$B:$B&amp;'ALL QUIZ'!$D:$D&amp;'ALL QUIZ'!$E:$E&amp;"."&amp;'ALL QUIZ'!$F:$F=$B$3&amp;$C$4&amp;" DEVELOPER"&amp;$C$5,ROW('ALL QUIZ'!$B:$B)-ROW(INDEX('ALL QUIZ'!$B:$B,1,1))+1),$B22)), "")</f>
        <v/>
      </c>
      <c r="G22" s="34" t="str">
        <f t="array" ref="G22">IFERROR(INDEX('ALL QUIZ'!$K:$K,SMALL(IF('ALL QUIZ'!$B:$B&amp;'ALL QUIZ'!$D:$D&amp;'ALL QUIZ'!$E:$E&amp;"."&amp;'ALL QUIZ'!$F:$F=$B$3&amp;$C$4&amp;" DEVELOPER"&amp;$C$5,ROW('ALL QUIZ'!$B:$B)-ROW(INDEX('ALL QUIZ'!$B:$B,1,1))+1),$B22)), "")</f>
        <v/>
      </c>
      <c r="H22" s="38" t="str">
        <f t="array" ref="H22">IF(IFERROR(INDEX('ALL QUIZ'!$L:$L,SMALL(IF('ALL QUIZ'!$B:$B&amp;'ALL QUIZ'!$D:$D&amp;'ALL QUIZ'!$E:$E&amp;"."&amp;'ALL QUIZ'!$F:$F=$B$3&amp;$C$4&amp;" DEVELOPER"&amp;$C$5,ROW('ALL QUIZ'!$B:$B)-ROW(INDEX('ALL QUIZ'!$B:$B,1,1))+1),$B22)), "") = "", "", IFERROR(INDEX('ALL QUIZ'!$L:$L,SMALL(IF('ALL QUIZ'!$B:$B&amp;'ALL QUIZ'!$D:$D&amp;'ALL QUIZ'!$E:$E&amp;"."&amp;'ALL QUIZ'!$F:$F=$B$3&amp;$C$4&amp;" DEVELOPER"&amp;$C$5,ROW('ALL QUIZ'!$B:$B)-ROW(INDEX('ALL QUIZ'!$B:$B,1,1))+1),$B22)), "") * 50)</f>
        <v/>
      </c>
      <c r="I22" s="39" t="str">
        <f t="array" ref="I22">IFERROR(INDEX('ALL QUIZ'!$M:$M,SMALL(IF('ALL QUIZ'!$B:$B&amp;'ALL QUIZ'!$D:$D&amp;'ALL QUIZ'!$E:$E&amp;"."&amp;'ALL QUIZ'!$F:$F=$B$3&amp;$C$4&amp;" DEVELOPER"&amp;$C$5,ROW('ALL QUIZ'!$B:$B)-ROW(INDEX('ALL QUIZ'!$B:$B,1,1))+1),$B22)), "")</f>
        <v/>
      </c>
    </row>
    <row r="23">
      <c r="B23" s="33">
        <v>15.0</v>
      </c>
      <c r="C23" s="34" t="str">
        <f t="array" ref="C23">IFERROR(INDEX('ALL QUIZ'!$A:$A,SMALL(IF('ALL QUIZ'!$B:$B&amp;'ALL QUIZ'!$D:$D&amp;'ALL QUIZ'!$E:$E&amp;"."&amp;'ALL QUIZ'!$F:$F=$B$3&amp;$C$4&amp;" DEVELOPER"&amp;$C$5,ROW('ALL QUIZ'!$B:$B)-ROW(INDEX('ALL QUIZ'!$B:$B,1,1))+1),$B23)), "")</f>
        <v/>
      </c>
      <c r="D23" s="34" t="str">
        <f t="array" ref="D23">IFERROR(INDEX('ALL QUIZ'!$G:$G,SMALL(IF('ALL QUIZ'!$B:$B&amp;'ALL QUIZ'!$D:$D&amp;'ALL QUIZ'!$E:$E&amp;"."&amp;'ALL QUIZ'!$F:$F=$B$3&amp;$C$4&amp;" DEVELOPER"&amp;$C$5,ROW('ALL QUIZ'!$B:$B)-ROW(INDEX('ALL QUIZ'!$B:$B,1,1))+1),$B23)), "")</f>
        <v/>
      </c>
      <c r="E23" s="34" t="str">
        <f t="array" ref="E23">IFERROR(INDEX('ALL QUIZ'!$I:$I,SMALL(IF('ALL QUIZ'!$B:$B&amp;'ALL QUIZ'!$D:$D&amp;'ALL QUIZ'!$E:$E&amp;"."&amp;'ALL QUIZ'!$F:$F=$B$3&amp;$C$4&amp;" DEVELOPER"&amp;$C$5,ROW('ALL QUIZ'!$B:$B)-ROW(INDEX('ALL QUIZ'!$B:$B,1,1))+1),$B23)), "")</f>
        <v/>
      </c>
      <c r="F23" s="34" t="str">
        <f t="array" ref="F23">IFERROR(INDEX('ALL QUIZ'!$J:$J,SMALL(IF('ALL QUIZ'!$B:$B&amp;'ALL QUIZ'!$D:$D&amp;'ALL QUIZ'!$E:$E&amp;"."&amp;'ALL QUIZ'!$F:$F=$B$3&amp;$C$4&amp;" DEVELOPER"&amp;$C$5,ROW('ALL QUIZ'!$B:$B)-ROW(INDEX('ALL QUIZ'!$B:$B,1,1))+1),$B23)), "")</f>
        <v/>
      </c>
      <c r="G23" s="34" t="str">
        <f t="array" ref="G23">IFERROR(INDEX('ALL QUIZ'!$K:$K,SMALL(IF('ALL QUIZ'!$B:$B&amp;'ALL QUIZ'!$D:$D&amp;'ALL QUIZ'!$E:$E&amp;"."&amp;'ALL QUIZ'!$F:$F=$B$3&amp;$C$4&amp;" DEVELOPER"&amp;$C$5,ROW('ALL QUIZ'!$B:$B)-ROW(INDEX('ALL QUIZ'!$B:$B,1,1))+1),$B23)), "")</f>
        <v/>
      </c>
      <c r="H23" s="38" t="str">
        <f t="array" ref="H23">IF(IFERROR(INDEX('ALL QUIZ'!$L:$L,SMALL(IF('ALL QUIZ'!$B:$B&amp;'ALL QUIZ'!$D:$D&amp;'ALL QUIZ'!$E:$E&amp;"."&amp;'ALL QUIZ'!$F:$F=$B$3&amp;$C$4&amp;" DEVELOPER"&amp;$C$5,ROW('ALL QUIZ'!$B:$B)-ROW(INDEX('ALL QUIZ'!$B:$B,1,1))+1),$B23)), "") = "", "", IFERROR(INDEX('ALL QUIZ'!$L:$L,SMALL(IF('ALL QUIZ'!$B:$B&amp;'ALL QUIZ'!$D:$D&amp;'ALL QUIZ'!$E:$E&amp;"."&amp;'ALL QUIZ'!$F:$F=$B$3&amp;$C$4&amp;" DEVELOPER"&amp;$C$5,ROW('ALL QUIZ'!$B:$B)-ROW(INDEX('ALL QUIZ'!$B:$B,1,1))+1),$B23)), "") * 50)</f>
        <v/>
      </c>
      <c r="I23" s="39" t="str">
        <f t="array" ref="I23">IFERROR(INDEX('ALL QUIZ'!$M:$M,SMALL(IF('ALL QUIZ'!$B:$B&amp;'ALL QUIZ'!$D:$D&amp;'ALL QUIZ'!$E:$E&amp;"."&amp;'ALL QUIZ'!$F:$F=$B$3&amp;$C$4&amp;" DEVELOPER"&amp;$C$5,ROW('ALL QUIZ'!$B:$B)-ROW(INDEX('ALL QUIZ'!$B:$B,1,1))+1),$B23)), "")</f>
        <v/>
      </c>
    </row>
    <row r="24">
      <c r="B24" s="36">
        <v>16.0</v>
      </c>
      <c r="C24" s="34" t="str">
        <f t="array" ref="C24">IFERROR(INDEX('ALL QUIZ'!$A:$A,SMALL(IF('ALL QUIZ'!$B:$B&amp;'ALL QUIZ'!$D:$D&amp;'ALL QUIZ'!$E:$E&amp;"."&amp;'ALL QUIZ'!$F:$F=$B$3&amp;$C$4&amp;" DEVELOPER"&amp;$C$5,ROW('ALL QUIZ'!$B:$B)-ROW(INDEX('ALL QUIZ'!$B:$B,1,1))+1),$B24)), "")</f>
        <v/>
      </c>
      <c r="D24" s="34" t="str">
        <f t="array" ref="D24">IFERROR(INDEX('ALL QUIZ'!$G:$G,SMALL(IF('ALL QUIZ'!$B:$B&amp;'ALL QUIZ'!$D:$D&amp;'ALL QUIZ'!$E:$E&amp;"."&amp;'ALL QUIZ'!$F:$F=$B$3&amp;$C$4&amp;" DEVELOPER"&amp;$C$5,ROW('ALL QUIZ'!$B:$B)-ROW(INDEX('ALL QUIZ'!$B:$B,1,1))+1),$B24)), "")</f>
        <v/>
      </c>
      <c r="E24" s="34" t="str">
        <f t="array" ref="E24">IFERROR(INDEX('ALL QUIZ'!$I:$I,SMALL(IF('ALL QUIZ'!$B:$B&amp;'ALL QUIZ'!$D:$D&amp;'ALL QUIZ'!$E:$E&amp;"."&amp;'ALL QUIZ'!$F:$F=$B$3&amp;$C$4&amp;" DEVELOPER"&amp;$C$5,ROW('ALL QUIZ'!$B:$B)-ROW(INDEX('ALL QUIZ'!$B:$B,1,1))+1),$B24)), "")</f>
        <v/>
      </c>
      <c r="F24" s="34" t="str">
        <f t="array" ref="F24">IFERROR(INDEX('ALL QUIZ'!$J:$J,SMALL(IF('ALL QUIZ'!$B:$B&amp;'ALL QUIZ'!$D:$D&amp;'ALL QUIZ'!$E:$E&amp;"."&amp;'ALL QUIZ'!$F:$F=$B$3&amp;$C$4&amp;" DEVELOPER"&amp;$C$5,ROW('ALL QUIZ'!$B:$B)-ROW(INDEX('ALL QUIZ'!$B:$B,1,1))+1),$B24)), "")</f>
        <v/>
      </c>
      <c r="G24" s="34" t="str">
        <f t="array" ref="G24">IFERROR(INDEX('ALL QUIZ'!$K:$K,SMALL(IF('ALL QUIZ'!$B:$B&amp;'ALL QUIZ'!$D:$D&amp;'ALL QUIZ'!$E:$E&amp;"."&amp;'ALL QUIZ'!$F:$F=$B$3&amp;$C$4&amp;" DEVELOPER"&amp;$C$5,ROW('ALL QUIZ'!$B:$B)-ROW(INDEX('ALL QUIZ'!$B:$B,1,1))+1),$B24)), "")</f>
        <v/>
      </c>
      <c r="H24" s="38" t="str">
        <f t="array" ref="H24">IF(IFERROR(INDEX('ALL QUIZ'!$L:$L,SMALL(IF('ALL QUIZ'!$B:$B&amp;'ALL QUIZ'!$D:$D&amp;'ALL QUIZ'!$E:$E&amp;"."&amp;'ALL QUIZ'!$F:$F=$B$3&amp;$C$4&amp;" DEVELOPER"&amp;$C$5,ROW('ALL QUIZ'!$B:$B)-ROW(INDEX('ALL QUIZ'!$B:$B,1,1))+1),$B24)), "") = "", "", IFERROR(INDEX('ALL QUIZ'!$L:$L,SMALL(IF('ALL QUIZ'!$B:$B&amp;'ALL QUIZ'!$D:$D&amp;'ALL QUIZ'!$E:$E&amp;"."&amp;'ALL QUIZ'!$F:$F=$B$3&amp;$C$4&amp;" DEVELOPER"&amp;$C$5,ROW('ALL QUIZ'!$B:$B)-ROW(INDEX('ALL QUIZ'!$B:$B,1,1))+1),$B24)), "") * 50)</f>
        <v/>
      </c>
      <c r="I24" s="39" t="str">
        <f t="array" ref="I24">IFERROR(INDEX('ALL QUIZ'!$M:$M,SMALL(IF('ALL QUIZ'!$B:$B&amp;'ALL QUIZ'!$D:$D&amp;'ALL QUIZ'!$E:$E&amp;"."&amp;'ALL QUIZ'!$F:$F=$B$3&amp;$C$4&amp;" DEVELOPER"&amp;$C$5,ROW('ALL QUIZ'!$B:$B)-ROW(INDEX('ALL QUIZ'!$B:$B,1,1))+1),$B24)), "")</f>
        <v/>
      </c>
    </row>
    <row r="25">
      <c r="B25" s="33">
        <v>17.0</v>
      </c>
      <c r="C25" s="34" t="str">
        <f t="array" ref="C25">IFERROR(INDEX('ALL QUIZ'!$A:$A,SMALL(IF('ALL QUIZ'!$B:$B&amp;'ALL QUIZ'!$D:$D&amp;'ALL QUIZ'!$E:$E&amp;"."&amp;'ALL QUIZ'!$F:$F=$B$3&amp;$C$4&amp;" DEVELOPER"&amp;$C$5,ROW('ALL QUIZ'!$B:$B)-ROW(INDEX('ALL QUIZ'!$B:$B,1,1))+1),$B25)), "")</f>
        <v/>
      </c>
      <c r="D25" s="34" t="str">
        <f t="array" ref="D25">IFERROR(INDEX('ALL QUIZ'!$G:$G,SMALL(IF('ALL QUIZ'!$B:$B&amp;'ALL QUIZ'!$D:$D&amp;'ALL QUIZ'!$E:$E&amp;"."&amp;'ALL QUIZ'!$F:$F=$B$3&amp;$C$4&amp;" DEVELOPER"&amp;$C$5,ROW('ALL QUIZ'!$B:$B)-ROW(INDEX('ALL QUIZ'!$B:$B,1,1))+1),$B25)), "")</f>
        <v/>
      </c>
      <c r="E25" s="34" t="str">
        <f t="array" ref="E25">IFERROR(INDEX('ALL QUIZ'!$I:$I,SMALL(IF('ALL QUIZ'!$B:$B&amp;'ALL QUIZ'!$D:$D&amp;'ALL QUIZ'!$E:$E&amp;"."&amp;'ALL QUIZ'!$F:$F=$B$3&amp;$C$4&amp;" DEVELOPER"&amp;$C$5,ROW('ALL QUIZ'!$B:$B)-ROW(INDEX('ALL QUIZ'!$B:$B,1,1))+1),$B25)), "")</f>
        <v/>
      </c>
      <c r="F25" s="34" t="str">
        <f t="array" ref="F25">IFERROR(INDEX('ALL QUIZ'!$J:$J,SMALL(IF('ALL QUIZ'!$B:$B&amp;'ALL QUIZ'!$D:$D&amp;'ALL QUIZ'!$E:$E&amp;"."&amp;'ALL QUIZ'!$F:$F=$B$3&amp;$C$4&amp;" DEVELOPER"&amp;$C$5,ROW('ALL QUIZ'!$B:$B)-ROW(INDEX('ALL QUIZ'!$B:$B,1,1))+1),$B25)), "")</f>
        <v/>
      </c>
      <c r="G25" s="34" t="str">
        <f t="array" ref="G25">IFERROR(INDEX('ALL QUIZ'!$K:$K,SMALL(IF('ALL QUIZ'!$B:$B&amp;'ALL QUIZ'!$D:$D&amp;'ALL QUIZ'!$E:$E&amp;"."&amp;'ALL QUIZ'!$F:$F=$B$3&amp;$C$4&amp;" DEVELOPER"&amp;$C$5,ROW('ALL QUIZ'!$B:$B)-ROW(INDEX('ALL QUIZ'!$B:$B,1,1))+1),$B25)), "")</f>
        <v/>
      </c>
      <c r="H25" s="38" t="str">
        <f t="array" ref="H25">IF(IFERROR(INDEX('ALL QUIZ'!$L:$L,SMALL(IF('ALL QUIZ'!$B:$B&amp;'ALL QUIZ'!$D:$D&amp;'ALL QUIZ'!$E:$E&amp;"."&amp;'ALL QUIZ'!$F:$F=$B$3&amp;$C$4&amp;" DEVELOPER"&amp;$C$5,ROW('ALL QUIZ'!$B:$B)-ROW(INDEX('ALL QUIZ'!$B:$B,1,1))+1),$B25)), "") = "", "", IFERROR(INDEX('ALL QUIZ'!$L:$L,SMALL(IF('ALL QUIZ'!$B:$B&amp;'ALL QUIZ'!$D:$D&amp;'ALL QUIZ'!$E:$E&amp;"."&amp;'ALL QUIZ'!$F:$F=$B$3&amp;$C$4&amp;" DEVELOPER"&amp;$C$5,ROW('ALL QUIZ'!$B:$B)-ROW(INDEX('ALL QUIZ'!$B:$B,1,1))+1),$B25)), "") * 50)</f>
        <v/>
      </c>
      <c r="I25" s="39" t="str">
        <f t="array" ref="I25">IFERROR(INDEX('ALL QUIZ'!$M:$M,SMALL(IF('ALL QUIZ'!$B:$B&amp;'ALL QUIZ'!$D:$D&amp;'ALL QUIZ'!$E:$E&amp;"."&amp;'ALL QUIZ'!$F:$F=$B$3&amp;$C$4&amp;" DEVELOPER"&amp;$C$5,ROW('ALL QUIZ'!$B:$B)-ROW(INDEX('ALL QUIZ'!$B:$B,1,1))+1),$B25)), "")</f>
        <v/>
      </c>
    </row>
    <row r="26">
      <c r="B26" s="36">
        <v>18.0</v>
      </c>
      <c r="C26" s="34" t="str">
        <f t="array" ref="C26">IFERROR(INDEX('ALL QUIZ'!$A:$A,SMALL(IF('ALL QUIZ'!$B:$B&amp;'ALL QUIZ'!$D:$D&amp;'ALL QUIZ'!$E:$E&amp;"."&amp;'ALL QUIZ'!$F:$F=$B$3&amp;$C$4&amp;" DEVELOPER"&amp;$C$5,ROW('ALL QUIZ'!$B:$B)-ROW(INDEX('ALL QUIZ'!$B:$B,1,1))+1),$B26)), "")</f>
        <v/>
      </c>
      <c r="D26" s="34" t="str">
        <f t="array" ref="D26">IFERROR(INDEX('ALL QUIZ'!$G:$G,SMALL(IF('ALL QUIZ'!$B:$B&amp;'ALL QUIZ'!$D:$D&amp;'ALL QUIZ'!$E:$E&amp;"."&amp;'ALL QUIZ'!$F:$F=$B$3&amp;$C$4&amp;" DEVELOPER"&amp;$C$5,ROW('ALL QUIZ'!$B:$B)-ROW(INDEX('ALL QUIZ'!$B:$B,1,1))+1),$B26)), "")</f>
        <v/>
      </c>
      <c r="E26" s="34" t="str">
        <f t="array" ref="E26">IFERROR(INDEX('ALL QUIZ'!$I:$I,SMALL(IF('ALL QUIZ'!$B:$B&amp;'ALL QUIZ'!$D:$D&amp;'ALL QUIZ'!$E:$E&amp;"."&amp;'ALL QUIZ'!$F:$F=$B$3&amp;$C$4&amp;" DEVELOPER"&amp;$C$5,ROW('ALL QUIZ'!$B:$B)-ROW(INDEX('ALL QUIZ'!$B:$B,1,1))+1),$B26)), "")</f>
        <v/>
      </c>
      <c r="F26" s="34" t="str">
        <f t="array" ref="F26">IFERROR(INDEX('ALL QUIZ'!$J:$J,SMALL(IF('ALL QUIZ'!$B:$B&amp;'ALL QUIZ'!$D:$D&amp;'ALL QUIZ'!$E:$E&amp;"."&amp;'ALL QUIZ'!$F:$F=$B$3&amp;$C$4&amp;" DEVELOPER"&amp;$C$5,ROW('ALL QUIZ'!$B:$B)-ROW(INDEX('ALL QUIZ'!$B:$B,1,1))+1),$B26)), "")</f>
        <v/>
      </c>
      <c r="G26" s="34" t="str">
        <f t="array" ref="G26">IFERROR(INDEX('ALL QUIZ'!$K:$K,SMALL(IF('ALL QUIZ'!$B:$B&amp;'ALL QUIZ'!$D:$D&amp;'ALL QUIZ'!$E:$E&amp;"."&amp;'ALL QUIZ'!$F:$F=$B$3&amp;$C$4&amp;" DEVELOPER"&amp;$C$5,ROW('ALL QUIZ'!$B:$B)-ROW(INDEX('ALL QUIZ'!$B:$B,1,1))+1),$B26)), "")</f>
        <v/>
      </c>
      <c r="H26" s="38" t="str">
        <f t="array" ref="H26">IF(IFERROR(INDEX('ALL QUIZ'!$L:$L,SMALL(IF('ALL QUIZ'!$B:$B&amp;'ALL QUIZ'!$D:$D&amp;'ALL QUIZ'!$E:$E&amp;"."&amp;'ALL QUIZ'!$F:$F=$B$3&amp;$C$4&amp;" DEVELOPER"&amp;$C$5,ROW('ALL QUIZ'!$B:$B)-ROW(INDEX('ALL QUIZ'!$B:$B,1,1))+1),$B26)), "") = "", "", IFERROR(INDEX('ALL QUIZ'!$L:$L,SMALL(IF('ALL QUIZ'!$B:$B&amp;'ALL QUIZ'!$D:$D&amp;'ALL QUIZ'!$E:$E&amp;"."&amp;'ALL QUIZ'!$F:$F=$B$3&amp;$C$4&amp;" DEVELOPER"&amp;$C$5,ROW('ALL QUIZ'!$B:$B)-ROW(INDEX('ALL QUIZ'!$B:$B,1,1))+1),$B26)), "") * 50)</f>
        <v/>
      </c>
      <c r="I26" s="39" t="str">
        <f t="array" ref="I26">IFERROR(INDEX('ALL QUIZ'!$M:$M,SMALL(IF('ALL QUIZ'!$B:$B&amp;'ALL QUIZ'!$D:$D&amp;'ALL QUIZ'!$E:$E&amp;"."&amp;'ALL QUIZ'!$F:$F=$B$3&amp;$C$4&amp;" DEVELOPER"&amp;$C$5,ROW('ALL QUIZ'!$B:$B)-ROW(INDEX('ALL QUIZ'!$B:$B,1,1))+1),$B26)), "")</f>
        <v/>
      </c>
    </row>
    <row r="27">
      <c r="B27" s="33">
        <v>19.0</v>
      </c>
      <c r="C27" s="34" t="str">
        <f t="array" ref="C27">IFERROR(INDEX('ALL QUIZ'!$A:$A,SMALL(IF('ALL QUIZ'!$B:$B&amp;'ALL QUIZ'!$D:$D&amp;'ALL QUIZ'!$E:$E&amp;"."&amp;'ALL QUIZ'!$F:$F=$B$3&amp;$C$4&amp;" DEVELOPER"&amp;$C$5,ROW('ALL QUIZ'!$B:$B)-ROW(INDEX('ALL QUIZ'!$B:$B,1,1))+1),$B27)), "")</f>
        <v/>
      </c>
      <c r="D27" s="34" t="str">
        <f t="array" ref="D27">IFERROR(INDEX('ALL QUIZ'!$G:$G,SMALL(IF('ALL QUIZ'!$B:$B&amp;'ALL QUIZ'!$D:$D&amp;'ALL QUIZ'!$E:$E&amp;"."&amp;'ALL QUIZ'!$F:$F=$B$3&amp;$C$4&amp;" DEVELOPER"&amp;$C$5,ROW('ALL QUIZ'!$B:$B)-ROW(INDEX('ALL QUIZ'!$B:$B,1,1))+1),$B27)), "")</f>
        <v/>
      </c>
      <c r="E27" s="34" t="str">
        <f t="array" ref="E27">IFERROR(INDEX('ALL QUIZ'!$I:$I,SMALL(IF('ALL QUIZ'!$B:$B&amp;'ALL QUIZ'!$D:$D&amp;'ALL QUIZ'!$E:$E&amp;"."&amp;'ALL QUIZ'!$F:$F=$B$3&amp;$C$4&amp;" DEVELOPER"&amp;$C$5,ROW('ALL QUIZ'!$B:$B)-ROW(INDEX('ALL QUIZ'!$B:$B,1,1))+1),$B27)), "")</f>
        <v/>
      </c>
      <c r="F27" s="34" t="str">
        <f t="array" ref="F27">IFERROR(INDEX('ALL QUIZ'!$J:$J,SMALL(IF('ALL QUIZ'!$B:$B&amp;'ALL QUIZ'!$D:$D&amp;'ALL QUIZ'!$E:$E&amp;"."&amp;'ALL QUIZ'!$F:$F=$B$3&amp;$C$4&amp;" DEVELOPER"&amp;$C$5,ROW('ALL QUIZ'!$B:$B)-ROW(INDEX('ALL QUIZ'!$B:$B,1,1))+1),$B27)), "")</f>
        <v/>
      </c>
      <c r="G27" s="34" t="str">
        <f t="array" ref="G27">IFERROR(INDEX('ALL QUIZ'!$K:$K,SMALL(IF('ALL QUIZ'!$B:$B&amp;'ALL QUIZ'!$D:$D&amp;'ALL QUIZ'!$E:$E&amp;"."&amp;'ALL QUIZ'!$F:$F=$B$3&amp;$C$4&amp;" DEVELOPER"&amp;$C$5,ROW('ALL QUIZ'!$B:$B)-ROW(INDEX('ALL QUIZ'!$B:$B,1,1))+1),$B27)), "")</f>
        <v/>
      </c>
      <c r="H27" s="38" t="str">
        <f t="array" ref="H27">IF(IFERROR(INDEX('ALL QUIZ'!$L:$L,SMALL(IF('ALL QUIZ'!$B:$B&amp;'ALL QUIZ'!$D:$D&amp;'ALL QUIZ'!$E:$E&amp;"."&amp;'ALL QUIZ'!$F:$F=$B$3&amp;$C$4&amp;" DEVELOPER"&amp;$C$5,ROW('ALL QUIZ'!$B:$B)-ROW(INDEX('ALL QUIZ'!$B:$B,1,1))+1),$B27)), "") = "", "", IFERROR(INDEX('ALL QUIZ'!$L:$L,SMALL(IF('ALL QUIZ'!$B:$B&amp;'ALL QUIZ'!$D:$D&amp;'ALL QUIZ'!$E:$E&amp;"."&amp;'ALL QUIZ'!$F:$F=$B$3&amp;$C$4&amp;" DEVELOPER"&amp;$C$5,ROW('ALL QUIZ'!$B:$B)-ROW(INDEX('ALL QUIZ'!$B:$B,1,1))+1),$B27)), "") * 50)</f>
        <v/>
      </c>
      <c r="I27" s="39" t="str">
        <f t="array" ref="I27">IFERROR(INDEX('ALL QUIZ'!$M:$M,SMALL(IF('ALL QUIZ'!$B:$B&amp;'ALL QUIZ'!$D:$D&amp;'ALL QUIZ'!$E:$E&amp;"."&amp;'ALL QUIZ'!$F:$F=$B$3&amp;$C$4&amp;" DEVELOPER"&amp;$C$5,ROW('ALL QUIZ'!$B:$B)-ROW(INDEX('ALL QUIZ'!$B:$B,1,1))+1),$B27)), "")</f>
        <v/>
      </c>
    </row>
    <row r="28">
      <c r="B28" s="36">
        <v>20.0</v>
      </c>
      <c r="C28" s="34" t="str">
        <f t="array" ref="C28">IFERROR(INDEX('ALL QUIZ'!$A:$A,SMALL(IF('ALL QUIZ'!$B:$B&amp;'ALL QUIZ'!$D:$D&amp;'ALL QUIZ'!$E:$E&amp;"."&amp;'ALL QUIZ'!$F:$F=$B$3&amp;$C$4&amp;" DEVELOPER"&amp;$C$5,ROW('ALL QUIZ'!$B:$B)-ROW(INDEX('ALL QUIZ'!$B:$B,1,1))+1),$B28)), "")</f>
        <v/>
      </c>
      <c r="D28" s="34" t="str">
        <f t="array" ref="D28">IFERROR(INDEX('ALL QUIZ'!$G:$G,SMALL(IF('ALL QUIZ'!$B:$B&amp;'ALL QUIZ'!$D:$D&amp;'ALL QUIZ'!$E:$E&amp;"."&amp;'ALL QUIZ'!$F:$F=$B$3&amp;$C$4&amp;" DEVELOPER"&amp;$C$5,ROW('ALL QUIZ'!$B:$B)-ROW(INDEX('ALL QUIZ'!$B:$B,1,1))+1),$B28)), "")</f>
        <v/>
      </c>
      <c r="E28" s="34" t="str">
        <f t="array" ref="E28">IFERROR(INDEX('ALL QUIZ'!$I:$I,SMALL(IF('ALL QUIZ'!$B:$B&amp;'ALL QUIZ'!$D:$D&amp;'ALL QUIZ'!$E:$E&amp;"."&amp;'ALL QUIZ'!$F:$F=$B$3&amp;$C$4&amp;" DEVELOPER"&amp;$C$5,ROW('ALL QUIZ'!$B:$B)-ROW(INDEX('ALL QUIZ'!$B:$B,1,1))+1),$B28)), "")</f>
        <v/>
      </c>
      <c r="F28" s="34" t="str">
        <f t="array" ref="F28">IFERROR(INDEX('ALL QUIZ'!$J:$J,SMALL(IF('ALL QUIZ'!$B:$B&amp;'ALL QUIZ'!$D:$D&amp;'ALL QUIZ'!$E:$E&amp;"."&amp;'ALL QUIZ'!$F:$F=$B$3&amp;$C$4&amp;" DEVELOPER"&amp;$C$5,ROW('ALL QUIZ'!$B:$B)-ROW(INDEX('ALL QUIZ'!$B:$B,1,1))+1),$B28)), "")</f>
        <v/>
      </c>
      <c r="G28" s="34" t="str">
        <f t="array" ref="G28">IFERROR(INDEX('ALL QUIZ'!$K:$K,SMALL(IF('ALL QUIZ'!$B:$B&amp;'ALL QUIZ'!$D:$D&amp;'ALL QUIZ'!$E:$E&amp;"."&amp;'ALL QUIZ'!$F:$F=$B$3&amp;$C$4&amp;" DEVELOPER"&amp;$C$5,ROW('ALL QUIZ'!$B:$B)-ROW(INDEX('ALL QUIZ'!$B:$B,1,1))+1),$B28)), "")</f>
        <v/>
      </c>
      <c r="H28" s="38" t="str">
        <f t="array" ref="H28">IF(IFERROR(INDEX('ALL QUIZ'!$L:$L,SMALL(IF('ALL QUIZ'!$B:$B&amp;'ALL QUIZ'!$D:$D&amp;'ALL QUIZ'!$E:$E&amp;"."&amp;'ALL QUIZ'!$F:$F=$B$3&amp;$C$4&amp;" DEVELOPER"&amp;$C$5,ROW('ALL QUIZ'!$B:$B)-ROW(INDEX('ALL QUIZ'!$B:$B,1,1))+1),$B28)), "") = "", "", IFERROR(INDEX('ALL QUIZ'!$L:$L,SMALL(IF('ALL QUIZ'!$B:$B&amp;'ALL QUIZ'!$D:$D&amp;'ALL QUIZ'!$E:$E&amp;"."&amp;'ALL QUIZ'!$F:$F=$B$3&amp;$C$4&amp;" DEVELOPER"&amp;$C$5,ROW('ALL QUIZ'!$B:$B)-ROW(INDEX('ALL QUIZ'!$B:$B,1,1))+1),$B28)), "") * 50)</f>
        <v/>
      </c>
      <c r="I28" s="39" t="str">
        <f t="array" ref="I28">IFERROR(INDEX('ALL QUIZ'!$M:$M,SMALL(IF('ALL QUIZ'!$B:$B&amp;'ALL QUIZ'!$D:$D&amp;'ALL QUIZ'!$E:$E&amp;"."&amp;'ALL QUIZ'!$F:$F=$B$3&amp;$C$4&amp;" DEVELOPER"&amp;$C$5,ROW('ALL QUIZ'!$B:$B)-ROW(INDEX('ALL QUIZ'!$B:$B,1,1))+1),$B28)), "")</f>
        <v/>
      </c>
    </row>
    <row r="29">
      <c r="B29" s="33">
        <v>21.0</v>
      </c>
      <c r="C29" s="34" t="str">
        <f t="array" ref="C29">IFERROR(INDEX('ALL QUIZ'!$A:$A,SMALL(IF('ALL QUIZ'!$B:$B&amp;'ALL QUIZ'!$D:$D&amp;'ALL QUIZ'!$E:$E&amp;"."&amp;'ALL QUIZ'!$F:$F=$B$3&amp;$C$4&amp;" DEVELOPER"&amp;$C$5,ROW('ALL QUIZ'!$B:$B)-ROW(INDEX('ALL QUIZ'!$B:$B,1,1))+1),$B29)), "")</f>
        <v/>
      </c>
      <c r="D29" s="34" t="str">
        <f t="array" ref="D29">IFERROR(INDEX('ALL QUIZ'!$G:$G,SMALL(IF('ALL QUIZ'!$B:$B&amp;'ALL QUIZ'!$D:$D&amp;'ALL QUIZ'!$E:$E&amp;"."&amp;'ALL QUIZ'!$F:$F=$B$3&amp;$C$4&amp;" DEVELOPER"&amp;$C$5,ROW('ALL QUIZ'!$B:$B)-ROW(INDEX('ALL QUIZ'!$B:$B,1,1))+1),$B29)), "")</f>
        <v/>
      </c>
      <c r="E29" s="34" t="str">
        <f t="array" ref="E29">IFERROR(INDEX('ALL QUIZ'!$I:$I,SMALL(IF('ALL QUIZ'!$B:$B&amp;'ALL QUIZ'!$D:$D&amp;'ALL QUIZ'!$E:$E&amp;"."&amp;'ALL QUIZ'!$F:$F=$B$3&amp;$C$4&amp;" DEVELOPER"&amp;$C$5,ROW('ALL QUIZ'!$B:$B)-ROW(INDEX('ALL QUIZ'!$B:$B,1,1))+1),$B29)), "")</f>
        <v/>
      </c>
      <c r="F29" s="34" t="str">
        <f t="array" ref="F29">IFERROR(INDEX('ALL QUIZ'!$J:$J,SMALL(IF('ALL QUIZ'!$B:$B&amp;'ALL QUIZ'!$D:$D&amp;'ALL QUIZ'!$E:$E&amp;"."&amp;'ALL QUIZ'!$F:$F=$B$3&amp;$C$4&amp;" DEVELOPER"&amp;$C$5,ROW('ALL QUIZ'!$B:$B)-ROW(INDEX('ALL QUIZ'!$B:$B,1,1))+1),$B29)), "")</f>
        <v/>
      </c>
      <c r="G29" s="34" t="str">
        <f t="array" ref="G29">IFERROR(INDEX('ALL QUIZ'!$K:$K,SMALL(IF('ALL QUIZ'!$B:$B&amp;'ALL QUIZ'!$D:$D&amp;'ALL QUIZ'!$E:$E&amp;"."&amp;'ALL QUIZ'!$F:$F=$B$3&amp;$C$4&amp;" DEVELOPER"&amp;$C$5,ROW('ALL QUIZ'!$B:$B)-ROW(INDEX('ALL QUIZ'!$B:$B,1,1))+1),$B29)), "")</f>
        <v/>
      </c>
      <c r="H29" s="38" t="str">
        <f t="array" ref="H29">IF(IFERROR(INDEX('ALL QUIZ'!$L:$L,SMALL(IF('ALL QUIZ'!$B:$B&amp;'ALL QUIZ'!$D:$D&amp;'ALL QUIZ'!$E:$E&amp;"."&amp;'ALL QUIZ'!$F:$F=$B$3&amp;$C$4&amp;" DEVELOPER"&amp;$C$5,ROW('ALL QUIZ'!$B:$B)-ROW(INDEX('ALL QUIZ'!$B:$B,1,1))+1),$B29)), "") = "", "", IFERROR(INDEX('ALL QUIZ'!$L:$L,SMALL(IF('ALL QUIZ'!$B:$B&amp;'ALL QUIZ'!$D:$D&amp;'ALL QUIZ'!$E:$E&amp;"."&amp;'ALL QUIZ'!$F:$F=$B$3&amp;$C$4&amp;" DEVELOPER"&amp;$C$5,ROW('ALL QUIZ'!$B:$B)-ROW(INDEX('ALL QUIZ'!$B:$B,1,1))+1),$B29)), "") * 50)</f>
        <v/>
      </c>
      <c r="I29" s="39" t="str">
        <f t="array" ref="I29">IFERROR(INDEX('ALL QUIZ'!$M:$M,SMALL(IF('ALL QUIZ'!$B:$B&amp;'ALL QUIZ'!$D:$D&amp;'ALL QUIZ'!$E:$E&amp;"."&amp;'ALL QUIZ'!$F:$F=$B$3&amp;$C$4&amp;" DEVELOPER"&amp;$C$5,ROW('ALL QUIZ'!$B:$B)-ROW(INDEX('ALL QUIZ'!$B:$B,1,1))+1),$B29)), "")</f>
        <v/>
      </c>
    </row>
    <row r="30">
      <c r="B30" s="36">
        <v>22.0</v>
      </c>
      <c r="C30" s="34" t="str">
        <f t="array" ref="C30">IFERROR(INDEX('ALL QUIZ'!$A:$A,SMALL(IF('ALL QUIZ'!$B:$B&amp;'ALL QUIZ'!$D:$D&amp;'ALL QUIZ'!$E:$E&amp;"."&amp;'ALL QUIZ'!$F:$F=$B$3&amp;$C$4&amp;" DEVELOPER"&amp;$C$5,ROW('ALL QUIZ'!$B:$B)-ROW(INDEX('ALL QUIZ'!$B:$B,1,1))+1),$B30)), "")</f>
        <v/>
      </c>
      <c r="D30" s="34" t="str">
        <f t="array" ref="D30">IFERROR(INDEX('ALL QUIZ'!$G:$G,SMALL(IF('ALL QUIZ'!$B:$B&amp;'ALL QUIZ'!$D:$D&amp;'ALL QUIZ'!$E:$E&amp;"."&amp;'ALL QUIZ'!$F:$F=$B$3&amp;$C$4&amp;" DEVELOPER"&amp;$C$5,ROW('ALL QUIZ'!$B:$B)-ROW(INDEX('ALL QUIZ'!$B:$B,1,1))+1),$B30)), "")</f>
        <v/>
      </c>
      <c r="E30" s="34" t="str">
        <f t="array" ref="E30">IFERROR(INDEX('ALL QUIZ'!$I:$I,SMALL(IF('ALL QUIZ'!$B:$B&amp;'ALL QUIZ'!$D:$D&amp;'ALL QUIZ'!$E:$E&amp;"."&amp;'ALL QUIZ'!$F:$F=$B$3&amp;$C$4&amp;" DEVELOPER"&amp;$C$5,ROW('ALL QUIZ'!$B:$B)-ROW(INDEX('ALL QUIZ'!$B:$B,1,1))+1),$B30)), "")</f>
        <v/>
      </c>
      <c r="F30" s="34" t="str">
        <f t="array" ref="F30">IFERROR(INDEX('ALL QUIZ'!$J:$J,SMALL(IF('ALL QUIZ'!$B:$B&amp;'ALL QUIZ'!$D:$D&amp;'ALL QUIZ'!$E:$E&amp;"."&amp;'ALL QUIZ'!$F:$F=$B$3&amp;$C$4&amp;" DEVELOPER"&amp;$C$5,ROW('ALL QUIZ'!$B:$B)-ROW(INDEX('ALL QUIZ'!$B:$B,1,1))+1),$B30)), "")</f>
        <v/>
      </c>
      <c r="G30" s="34" t="str">
        <f t="array" ref="G30">IFERROR(INDEX('ALL QUIZ'!$K:$K,SMALL(IF('ALL QUIZ'!$B:$B&amp;'ALL QUIZ'!$D:$D&amp;'ALL QUIZ'!$E:$E&amp;"."&amp;'ALL QUIZ'!$F:$F=$B$3&amp;$C$4&amp;" DEVELOPER"&amp;$C$5,ROW('ALL QUIZ'!$B:$B)-ROW(INDEX('ALL QUIZ'!$B:$B,1,1))+1),$B30)), "")</f>
        <v/>
      </c>
      <c r="H30" s="38" t="str">
        <f t="array" ref="H30">IF(IFERROR(INDEX('ALL QUIZ'!$L:$L,SMALL(IF('ALL QUIZ'!$B:$B&amp;'ALL QUIZ'!$D:$D&amp;'ALL QUIZ'!$E:$E&amp;"."&amp;'ALL QUIZ'!$F:$F=$B$3&amp;$C$4&amp;" DEVELOPER"&amp;$C$5,ROW('ALL QUIZ'!$B:$B)-ROW(INDEX('ALL QUIZ'!$B:$B,1,1))+1),$B30)), "") = "", "", IFERROR(INDEX('ALL QUIZ'!$L:$L,SMALL(IF('ALL QUIZ'!$B:$B&amp;'ALL QUIZ'!$D:$D&amp;'ALL QUIZ'!$E:$E&amp;"."&amp;'ALL QUIZ'!$F:$F=$B$3&amp;$C$4&amp;" DEVELOPER"&amp;$C$5,ROW('ALL QUIZ'!$B:$B)-ROW(INDEX('ALL QUIZ'!$B:$B,1,1))+1),$B30)), "") * 50)</f>
        <v/>
      </c>
      <c r="I30" s="39" t="str">
        <f t="array" ref="I30">IFERROR(INDEX('ALL QUIZ'!$M:$M,SMALL(IF('ALL QUIZ'!$B:$B&amp;'ALL QUIZ'!$D:$D&amp;'ALL QUIZ'!$E:$E&amp;"."&amp;'ALL QUIZ'!$F:$F=$B$3&amp;$C$4&amp;" DEVELOPER"&amp;$C$5,ROW('ALL QUIZ'!$B:$B)-ROW(INDEX('ALL QUIZ'!$B:$B,1,1))+1),$B30)), "")</f>
        <v/>
      </c>
    </row>
    <row r="31">
      <c r="B31" s="33">
        <v>23.0</v>
      </c>
      <c r="C31" s="34" t="str">
        <f t="array" ref="C31">IFERROR(INDEX('ALL QUIZ'!$A:$A,SMALL(IF('ALL QUIZ'!$B:$B&amp;'ALL QUIZ'!$D:$D&amp;'ALL QUIZ'!$E:$E&amp;"."&amp;'ALL QUIZ'!$F:$F=$B$3&amp;$C$4&amp;" DEVELOPER"&amp;$C$5,ROW('ALL QUIZ'!$B:$B)-ROW(INDEX('ALL QUIZ'!$B:$B,1,1))+1),$B31)), "")</f>
        <v/>
      </c>
      <c r="D31" s="34" t="str">
        <f t="array" ref="D31">IFERROR(INDEX('ALL QUIZ'!$G:$G,SMALL(IF('ALL QUIZ'!$B:$B&amp;'ALL QUIZ'!$D:$D&amp;'ALL QUIZ'!$E:$E&amp;"."&amp;'ALL QUIZ'!$F:$F=$B$3&amp;$C$4&amp;" DEVELOPER"&amp;$C$5,ROW('ALL QUIZ'!$B:$B)-ROW(INDEX('ALL QUIZ'!$B:$B,1,1))+1),$B31)), "")</f>
        <v/>
      </c>
      <c r="E31" s="34" t="str">
        <f t="array" ref="E31">IFERROR(INDEX('ALL QUIZ'!$I:$I,SMALL(IF('ALL QUIZ'!$B:$B&amp;'ALL QUIZ'!$D:$D&amp;'ALL QUIZ'!$E:$E&amp;"."&amp;'ALL QUIZ'!$F:$F=$B$3&amp;$C$4&amp;" DEVELOPER"&amp;$C$5,ROW('ALL QUIZ'!$B:$B)-ROW(INDEX('ALL QUIZ'!$B:$B,1,1))+1),$B31)), "")</f>
        <v/>
      </c>
      <c r="F31" s="34" t="str">
        <f t="array" ref="F31">IFERROR(INDEX('ALL QUIZ'!$J:$J,SMALL(IF('ALL QUIZ'!$B:$B&amp;'ALL QUIZ'!$D:$D&amp;'ALL QUIZ'!$E:$E&amp;"."&amp;'ALL QUIZ'!$F:$F=$B$3&amp;$C$4&amp;" DEVELOPER"&amp;$C$5,ROW('ALL QUIZ'!$B:$B)-ROW(INDEX('ALL QUIZ'!$B:$B,1,1))+1),$B31)), "")</f>
        <v/>
      </c>
      <c r="G31" s="34" t="str">
        <f t="array" ref="G31">IFERROR(INDEX('ALL QUIZ'!$K:$K,SMALL(IF('ALL QUIZ'!$B:$B&amp;'ALL QUIZ'!$D:$D&amp;'ALL QUIZ'!$E:$E&amp;"."&amp;'ALL QUIZ'!$F:$F=$B$3&amp;$C$4&amp;" DEVELOPER"&amp;$C$5,ROW('ALL QUIZ'!$B:$B)-ROW(INDEX('ALL QUIZ'!$B:$B,1,1))+1),$B31)), "")</f>
        <v/>
      </c>
      <c r="H31" s="38" t="str">
        <f t="array" ref="H31">IF(IFERROR(INDEX('ALL QUIZ'!$L:$L,SMALL(IF('ALL QUIZ'!$B:$B&amp;'ALL QUIZ'!$D:$D&amp;'ALL QUIZ'!$E:$E&amp;"."&amp;'ALL QUIZ'!$F:$F=$B$3&amp;$C$4&amp;" DEVELOPER"&amp;$C$5,ROW('ALL QUIZ'!$B:$B)-ROW(INDEX('ALL QUIZ'!$B:$B,1,1))+1),$B31)), "") = "", "", IFERROR(INDEX('ALL QUIZ'!$L:$L,SMALL(IF('ALL QUIZ'!$B:$B&amp;'ALL QUIZ'!$D:$D&amp;'ALL QUIZ'!$E:$E&amp;"."&amp;'ALL QUIZ'!$F:$F=$B$3&amp;$C$4&amp;" DEVELOPER"&amp;$C$5,ROW('ALL QUIZ'!$B:$B)-ROW(INDEX('ALL QUIZ'!$B:$B,1,1))+1),$B31)), "") * 50)</f>
        <v/>
      </c>
      <c r="I31" s="39" t="str">
        <f t="array" ref="I31">IFERROR(INDEX('ALL QUIZ'!$M:$M,SMALL(IF('ALL QUIZ'!$B:$B&amp;'ALL QUIZ'!$D:$D&amp;'ALL QUIZ'!$E:$E&amp;"."&amp;'ALL QUIZ'!$F:$F=$B$3&amp;$C$4&amp;" DEVELOPER"&amp;$C$5,ROW('ALL QUIZ'!$B:$B)-ROW(INDEX('ALL QUIZ'!$B:$B,1,1))+1),$B31)), "")</f>
        <v/>
      </c>
    </row>
    <row r="32">
      <c r="B32" s="36">
        <v>24.0</v>
      </c>
      <c r="C32" s="34" t="str">
        <f t="array" ref="C32">IFERROR(INDEX('ALL QUIZ'!$A:$A,SMALL(IF('ALL QUIZ'!$B:$B&amp;'ALL QUIZ'!$D:$D&amp;'ALL QUIZ'!$E:$E&amp;"."&amp;'ALL QUIZ'!$F:$F=$B$3&amp;$C$4&amp;" DEVELOPER"&amp;$C$5,ROW('ALL QUIZ'!$B:$B)-ROW(INDEX('ALL QUIZ'!$B:$B,1,1))+1),$B32)), "")</f>
        <v/>
      </c>
      <c r="D32" s="34" t="str">
        <f t="array" ref="D32">IFERROR(INDEX('ALL QUIZ'!$G:$G,SMALL(IF('ALL QUIZ'!$B:$B&amp;'ALL QUIZ'!$D:$D&amp;'ALL QUIZ'!$E:$E&amp;"."&amp;'ALL QUIZ'!$F:$F=$B$3&amp;$C$4&amp;" DEVELOPER"&amp;$C$5,ROW('ALL QUIZ'!$B:$B)-ROW(INDEX('ALL QUIZ'!$B:$B,1,1))+1),$B32)), "")</f>
        <v/>
      </c>
      <c r="E32" s="34" t="str">
        <f t="array" ref="E32">IFERROR(INDEX('ALL QUIZ'!$I:$I,SMALL(IF('ALL QUIZ'!$B:$B&amp;'ALL QUIZ'!$D:$D&amp;'ALL QUIZ'!$E:$E&amp;"."&amp;'ALL QUIZ'!$F:$F=$B$3&amp;$C$4&amp;" DEVELOPER"&amp;$C$5,ROW('ALL QUIZ'!$B:$B)-ROW(INDEX('ALL QUIZ'!$B:$B,1,1))+1),$B32)), "")</f>
        <v/>
      </c>
      <c r="F32" s="34" t="str">
        <f t="array" ref="F32">IFERROR(INDEX('ALL QUIZ'!$J:$J,SMALL(IF('ALL QUIZ'!$B:$B&amp;'ALL QUIZ'!$D:$D&amp;'ALL QUIZ'!$E:$E&amp;"."&amp;'ALL QUIZ'!$F:$F=$B$3&amp;$C$4&amp;" DEVELOPER"&amp;$C$5,ROW('ALL QUIZ'!$B:$B)-ROW(INDEX('ALL QUIZ'!$B:$B,1,1))+1),$B32)), "")</f>
        <v/>
      </c>
      <c r="G32" s="34" t="str">
        <f t="array" ref="G32">IFERROR(INDEX('ALL QUIZ'!$K:$K,SMALL(IF('ALL QUIZ'!$B:$B&amp;'ALL QUIZ'!$D:$D&amp;'ALL QUIZ'!$E:$E&amp;"."&amp;'ALL QUIZ'!$F:$F=$B$3&amp;$C$4&amp;" DEVELOPER"&amp;$C$5,ROW('ALL QUIZ'!$B:$B)-ROW(INDEX('ALL QUIZ'!$B:$B,1,1))+1),$B32)), "")</f>
        <v/>
      </c>
      <c r="H32" s="38" t="str">
        <f t="array" ref="H32">IF(IFERROR(INDEX('ALL QUIZ'!$L:$L,SMALL(IF('ALL QUIZ'!$B:$B&amp;'ALL QUIZ'!$D:$D&amp;'ALL QUIZ'!$E:$E&amp;"."&amp;'ALL QUIZ'!$F:$F=$B$3&amp;$C$4&amp;" DEVELOPER"&amp;$C$5,ROW('ALL QUIZ'!$B:$B)-ROW(INDEX('ALL QUIZ'!$B:$B,1,1))+1),$B32)), "") = "", "", IFERROR(INDEX('ALL QUIZ'!$L:$L,SMALL(IF('ALL QUIZ'!$B:$B&amp;'ALL QUIZ'!$D:$D&amp;'ALL QUIZ'!$E:$E&amp;"."&amp;'ALL QUIZ'!$F:$F=$B$3&amp;$C$4&amp;" DEVELOPER"&amp;$C$5,ROW('ALL QUIZ'!$B:$B)-ROW(INDEX('ALL QUIZ'!$B:$B,1,1))+1),$B32)), "") * 50)</f>
        <v/>
      </c>
      <c r="I32" s="39" t="str">
        <f t="array" ref="I32">IFERROR(INDEX('ALL QUIZ'!$M:$M,SMALL(IF('ALL QUIZ'!$B:$B&amp;'ALL QUIZ'!$D:$D&amp;'ALL QUIZ'!$E:$E&amp;"."&amp;'ALL QUIZ'!$F:$F=$B$3&amp;$C$4&amp;" DEVELOPER"&amp;$C$5,ROW('ALL QUIZ'!$B:$B)-ROW(INDEX('ALL QUIZ'!$B:$B,1,1))+1),$B32)), "")</f>
        <v/>
      </c>
    </row>
    <row r="33">
      <c r="B33" s="33">
        <v>25.0</v>
      </c>
      <c r="C33" s="34" t="str">
        <f t="array" ref="C33">IFERROR(INDEX('ALL QUIZ'!$A:$A,SMALL(IF('ALL QUIZ'!$B:$B&amp;'ALL QUIZ'!$D:$D&amp;'ALL QUIZ'!$E:$E&amp;"."&amp;'ALL QUIZ'!$F:$F=$B$3&amp;$C$4&amp;" DEVELOPER"&amp;$C$5,ROW('ALL QUIZ'!$B:$B)-ROW(INDEX('ALL QUIZ'!$B:$B,1,1))+1),$B33)), "")</f>
        <v/>
      </c>
      <c r="D33" s="34" t="str">
        <f t="array" ref="D33">IFERROR(INDEX('ALL QUIZ'!$G:$G,SMALL(IF('ALL QUIZ'!$B:$B&amp;'ALL QUIZ'!$D:$D&amp;'ALL QUIZ'!$E:$E&amp;"."&amp;'ALL QUIZ'!$F:$F=$B$3&amp;$C$4&amp;" DEVELOPER"&amp;$C$5,ROW('ALL QUIZ'!$B:$B)-ROW(INDEX('ALL QUIZ'!$B:$B,1,1))+1),$B33)), "")</f>
        <v/>
      </c>
      <c r="E33" s="34" t="str">
        <f t="array" ref="E33">IFERROR(INDEX('ALL QUIZ'!$I:$I,SMALL(IF('ALL QUIZ'!$B:$B&amp;'ALL QUIZ'!$D:$D&amp;'ALL QUIZ'!$E:$E&amp;"."&amp;'ALL QUIZ'!$F:$F=$B$3&amp;$C$4&amp;" DEVELOPER"&amp;$C$5,ROW('ALL QUIZ'!$B:$B)-ROW(INDEX('ALL QUIZ'!$B:$B,1,1))+1),$B33)), "")</f>
        <v/>
      </c>
      <c r="F33" s="34" t="str">
        <f t="array" ref="F33">IFERROR(INDEX('ALL QUIZ'!$J:$J,SMALL(IF('ALL QUIZ'!$B:$B&amp;'ALL QUIZ'!$D:$D&amp;'ALL QUIZ'!$E:$E&amp;"."&amp;'ALL QUIZ'!$F:$F=$B$3&amp;$C$4&amp;" DEVELOPER"&amp;$C$5,ROW('ALL QUIZ'!$B:$B)-ROW(INDEX('ALL QUIZ'!$B:$B,1,1))+1),$B33)), "")</f>
        <v/>
      </c>
      <c r="G33" s="34" t="str">
        <f t="array" ref="G33">IFERROR(INDEX('ALL QUIZ'!$K:$K,SMALL(IF('ALL QUIZ'!$B:$B&amp;'ALL QUIZ'!$D:$D&amp;'ALL QUIZ'!$E:$E&amp;"."&amp;'ALL QUIZ'!$F:$F=$B$3&amp;$C$4&amp;" DEVELOPER"&amp;$C$5,ROW('ALL QUIZ'!$B:$B)-ROW(INDEX('ALL QUIZ'!$B:$B,1,1))+1),$B33)), "")</f>
        <v/>
      </c>
      <c r="H33" s="38" t="str">
        <f t="array" ref="H33">IF(IFERROR(INDEX('ALL QUIZ'!$L:$L,SMALL(IF('ALL QUIZ'!$B:$B&amp;'ALL QUIZ'!$D:$D&amp;'ALL QUIZ'!$E:$E&amp;"."&amp;'ALL QUIZ'!$F:$F=$B$3&amp;$C$4&amp;" DEVELOPER"&amp;$C$5,ROW('ALL QUIZ'!$B:$B)-ROW(INDEX('ALL QUIZ'!$B:$B,1,1))+1),$B33)), "") = "", "", IFERROR(INDEX('ALL QUIZ'!$L:$L,SMALL(IF('ALL QUIZ'!$B:$B&amp;'ALL QUIZ'!$D:$D&amp;'ALL QUIZ'!$E:$E&amp;"."&amp;'ALL QUIZ'!$F:$F=$B$3&amp;$C$4&amp;" DEVELOPER"&amp;$C$5,ROW('ALL QUIZ'!$B:$B)-ROW(INDEX('ALL QUIZ'!$B:$B,1,1))+1),$B33)), "") * 50)</f>
        <v/>
      </c>
      <c r="I33" s="39" t="str">
        <f t="array" ref="I33">IFERROR(INDEX('ALL QUIZ'!$M:$M,SMALL(IF('ALL QUIZ'!$B:$B&amp;'ALL QUIZ'!$D:$D&amp;'ALL QUIZ'!$E:$E&amp;"."&amp;'ALL QUIZ'!$F:$F=$B$3&amp;$C$4&amp;" DEVELOPER"&amp;$C$5,ROW('ALL QUIZ'!$B:$B)-ROW(INDEX('ALL QUIZ'!$B:$B,1,1))+1),$B33)), "")</f>
        <v/>
      </c>
    </row>
    <row r="34">
      <c r="B34" s="36">
        <v>26.0</v>
      </c>
      <c r="C34" s="34" t="str">
        <f t="array" ref="C34">IFERROR(INDEX('ALL QUIZ'!$A:$A,SMALL(IF('ALL QUIZ'!$B:$B&amp;'ALL QUIZ'!$D:$D&amp;'ALL QUIZ'!$E:$E&amp;"."&amp;'ALL QUIZ'!$F:$F=$B$3&amp;$C$4&amp;" DEVELOPER"&amp;$C$5,ROW('ALL QUIZ'!$B:$B)-ROW(INDEX('ALL QUIZ'!$B:$B,1,1))+1),$B34)), "")</f>
        <v/>
      </c>
      <c r="D34" s="34" t="str">
        <f t="array" ref="D34">IFERROR(INDEX('ALL QUIZ'!$G:$G,SMALL(IF('ALL QUIZ'!$B:$B&amp;'ALL QUIZ'!$D:$D&amp;'ALL QUIZ'!$E:$E&amp;"."&amp;'ALL QUIZ'!$F:$F=$B$3&amp;$C$4&amp;" DEVELOPER"&amp;$C$5,ROW('ALL QUIZ'!$B:$B)-ROW(INDEX('ALL QUIZ'!$B:$B,1,1))+1),$B34)), "")</f>
        <v/>
      </c>
      <c r="E34" s="34" t="str">
        <f t="array" ref="E34">IFERROR(INDEX('ALL QUIZ'!$I:$I,SMALL(IF('ALL QUIZ'!$B:$B&amp;'ALL QUIZ'!$D:$D&amp;'ALL QUIZ'!$E:$E&amp;"."&amp;'ALL QUIZ'!$F:$F=$B$3&amp;$C$4&amp;" DEVELOPER"&amp;$C$5,ROW('ALL QUIZ'!$B:$B)-ROW(INDEX('ALL QUIZ'!$B:$B,1,1))+1),$B34)), "")</f>
        <v/>
      </c>
      <c r="F34" s="34" t="str">
        <f t="array" ref="F34">IFERROR(INDEX('ALL QUIZ'!$J:$J,SMALL(IF('ALL QUIZ'!$B:$B&amp;'ALL QUIZ'!$D:$D&amp;'ALL QUIZ'!$E:$E&amp;"."&amp;'ALL QUIZ'!$F:$F=$B$3&amp;$C$4&amp;" DEVELOPER"&amp;$C$5,ROW('ALL QUIZ'!$B:$B)-ROW(INDEX('ALL QUIZ'!$B:$B,1,1))+1),$B34)), "")</f>
        <v/>
      </c>
      <c r="G34" s="34" t="str">
        <f t="array" ref="G34">IFERROR(INDEX('ALL QUIZ'!$K:$K,SMALL(IF('ALL QUIZ'!$B:$B&amp;'ALL QUIZ'!$D:$D&amp;'ALL QUIZ'!$E:$E&amp;"."&amp;'ALL QUIZ'!$F:$F=$B$3&amp;$C$4&amp;" DEVELOPER"&amp;$C$5,ROW('ALL QUIZ'!$B:$B)-ROW(INDEX('ALL QUIZ'!$B:$B,1,1))+1),$B34)), "")</f>
        <v/>
      </c>
      <c r="H34" s="38" t="str">
        <f t="array" ref="H34">IF(IFERROR(INDEX('ALL QUIZ'!$L:$L,SMALL(IF('ALL QUIZ'!$B:$B&amp;'ALL QUIZ'!$D:$D&amp;'ALL QUIZ'!$E:$E&amp;"."&amp;'ALL QUIZ'!$F:$F=$B$3&amp;$C$4&amp;" DEVELOPER"&amp;$C$5,ROW('ALL QUIZ'!$B:$B)-ROW(INDEX('ALL QUIZ'!$B:$B,1,1))+1),$B34)), "") = "", "", IFERROR(INDEX('ALL QUIZ'!$L:$L,SMALL(IF('ALL QUIZ'!$B:$B&amp;'ALL QUIZ'!$D:$D&amp;'ALL QUIZ'!$E:$E&amp;"."&amp;'ALL QUIZ'!$F:$F=$B$3&amp;$C$4&amp;" DEVELOPER"&amp;$C$5,ROW('ALL QUIZ'!$B:$B)-ROW(INDEX('ALL QUIZ'!$B:$B,1,1))+1),$B34)), "") * 50)</f>
        <v/>
      </c>
      <c r="I34" s="39" t="str">
        <f t="array" ref="I34">IFERROR(INDEX('ALL QUIZ'!$M:$M,SMALL(IF('ALL QUIZ'!$B:$B&amp;'ALL QUIZ'!$D:$D&amp;'ALL QUIZ'!$E:$E&amp;"."&amp;'ALL QUIZ'!$F:$F=$B$3&amp;$C$4&amp;" DEVELOPER"&amp;$C$5,ROW('ALL QUIZ'!$B:$B)-ROW(INDEX('ALL QUIZ'!$B:$B,1,1))+1),$B34)), "")</f>
        <v/>
      </c>
    </row>
    <row r="35">
      <c r="B35" s="33">
        <v>27.0</v>
      </c>
      <c r="C35" s="34" t="str">
        <f t="array" ref="C35">IFERROR(INDEX('ALL QUIZ'!$A:$A,SMALL(IF('ALL QUIZ'!$B:$B&amp;'ALL QUIZ'!$D:$D&amp;'ALL QUIZ'!$E:$E&amp;"."&amp;'ALL QUIZ'!$F:$F=$B$3&amp;$C$4&amp;" DEVELOPER"&amp;$C$5,ROW('ALL QUIZ'!$B:$B)-ROW(INDEX('ALL QUIZ'!$B:$B,1,1))+1),$B35)), "")</f>
        <v/>
      </c>
      <c r="D35" s="34" t="str">
        <f t="array" ref="D35">IFERROR(INDEX('ALL QUIZ'!$G:$G,SMALL(IF('ALL QUIZ'!$B:$B&amp;'ALL QUIZ'!$D:$D&amp;'ALL QUIZ'!$E:$E&amp;"."&amp;'ALL QUIZ'!$F:$F=$B$3&amp;$C$4&amp;" DEVELOPER"&amp;$C$5,ROW('ALL QUIZ'!$B:$B)-ROW(INDEX('ALL QUIZ'!$B:$B,1,1))+1),$B35)), "")</f>
        <v/>
      </c>
      <c r="E35" s="34" t="str">
        <f t="array" ref="E35">IFERROR(INDEX('ALL QUIZ'!$I:$I,SMALL(IF('ALL QUIZ'!$B:$B&amp;'ALL QUIZ'!$D:$D&amp;'ALL QUIZ'!$E:$E&amp;"."&amp;'ALL QUIZ'!$F:$F=$B$3&amp;$C$4&amp;" DEVELOPER"&amp;$C$5,ROW('ALL QUIZ'!$B:$B)-ROW(INDEX('ALL QUIZ'!$B:$B,1,1))+1),$B35)), "")</f>
        <v/>
      </c>
      <c r="F35" s="34" t="str">
        <f t="array" ref="F35">IFERROR(INDEX('ALL QUIZ'!$J:$J,SMALL(IF('ALL QUIZ'!$B:$B&amp;'ALL QUIZ'!$D:$D&amp;'ALL QUIZ'!$E:$E&amp;"."&amp;'ALL QUIZ'!$F:$F=$B$3&amp;$C$4&amp;" DEVELOPER"&amp;$C$5,ROW('ALL QUIZ'!$B:$B)-ROW(INDEX('ALL QUIZ'!$B:$B,1,1))+1),$B35)), "")</f>
        <v/>
      </c>
      <c r="G35" s="34" t="str">
        <f t="array" ref="G35">IFERROR(INDEX('ALL QUIZ'!$K:$K,SMALL(IF('ALL QUIZ'!$B:$B&amp;'ALL QUIZ'!$D:$D&amp;'ALL QUIZ'!$E:$E&amp;"."&amp;'ALL QUIZ'!$F:$F=$B$3&amp;$C$4&amp;" DEVELOPER"&amp;$C$5,ROW('ALL QUIZ'!$B:$B)-ROW(INDEX('ALL QUIZ'!$B:$B,1,1))+1),$B35)), "")</f>
        <v/>
      </c>
      <c r="H35" s="38" t="str">
        <f t="array" ref="H35">IF(IFERROR(INDEX('ALL QUIZ'!$L:$L,SMALL(IF('ALL QUIZ'!$B:$B&amp;'ALL QUIZ'!$D:$D&amp;'ALL QUIZ'!$E:$E&amp;"."&amp;'ALL QUIZ'!$F:$F=$B$3&amp;$C$4&amp;" DEVELOPER"&amp;$C$5,ROW('ALL QUIZ'!$B:$B)-ROW(INDEX('ALL QUIZ'!$B:$B,1,1))+1),$B35)), "") = "", "", IFERROR(INDEX('ALL QUIZ'!$L:$L,SMALL(IF('ALL QUIZ'!$B:$B&amp;'ALL QUIZ'!$D:$D&amp;'ALL QUIZ'!$E:$E&amp;"."&amp;'ALL QUIZ'!$F:$F=$B$3&amp;$C$4&amp;" DEVELOPER"&amp;$C$5,ROW('ALL QUIZ'!$B:$B)-ROW(INDEX('ALL QUIZ'!$B:$B,1,1))+1),$B35)), "") * 50)</f>
        <v/>
      </c>
      <c r="I35" s="39" t="str">
        <f t="array" ref="I35">IFERROR(INDEX('ALL QUIZ'!$M:$M,SMALL(IF('ALL QUIZ'!$B:$B&amp;'ALL QUIZ'!$D:$D&amp;'ALL QUIZ'!$E:$E&amp;"."&amp;'ALL QUIZ'!$F:$F=$B$3&amp;$C$4&amp;" DEVELOPER"&amp;$C$5,ROW('ALL QUIZ'!$B:$B)-ROW(INDEX('ALL QUIZ'!$B:$B,1,1))+1),$B35)), "")</f>
        <v/>
      </c>
    </row>
    <row r="36">
      <c r="B36" s="36">
        <v>28.0</v>
      </c>
      <c r="C36" s="34" t="str">
        <f t="array" ref="C36">IFERROR(INDEX('ALL QUIZ'!$A:$A,SMALL(IF('ALL QUIZ'!$B:$B&amp;'ALL QUIZ'!$D:$D&amp;'ALL QUIZ'!$E:$E&amp;"."&amp;'ALL QUIZ'!$F:$F=$B$3&amp;$C$4&amp;" DEVELOPER"&amp;$C$5,ROW('ALL QUIZ'!$B:$B)-ROW(INDEX('ALL QUIZ'!$B:$B,1,1))+1),$B36)), "")</f>
        <v/>
      </c>
      <c r="D36" s="34" t="str">
        <f t="array" ref="D36">IFERROR(INDEX('ALL QUIZ'!$G:$G,SMALL(IF('ALL QUIZ'!$B:$B&amp;'ALL QUIZ'!$D:$D&amp;'ALL QUIZ'!$E:$E&amp;"."&amp;'ALL QUIZ'!$F:$F=$B$3&amp;$C$4&amp;" DEVELOPER"&amp;$C$5,ROW('ALL QUIZ'!$B:$B)-ROW(INDEX('ALL QUIZ'!$B:$B,1,1))+1),$B36)), "")</f>
        <v/>
      </c>
      <c r="E36" s="34" t="str">
        <f t="array" ref="E36">IFERROR(INDEX('ALL QUIZ'!$I:$I,SMALL(IF('ALL QUIZ'!$B:$B&amp;'ALL QUIZ'!$D:$D&amp;'ALL QUIZ'!$E:$E&amp;"."&amp;'ALL QUIZ'!$F:$F=$B$3&amp;$C$4&amp;" DEVELOPER"&amp;$C$5,ROW('ALL QUIZ'!$B:$B)-ROW(INDEX('ALL QUIZ'!$B:$B,1,1))+1),$B36)), "")</f>
        <v/>
      </c>
      <c r="F36" s="34" t="str">
        <f t="array" ref="F36">IFERROR(INDEX('ALL QUIZ'!$J:$J,SMALL(IF('ALL QUIZ'!$B:$B&amp;'ALL QUIZ'!$D:$D&amp;'ALL QUIZ'!$E:$E&amp;"."&amp;'ALL QUIZ'!$F:$F=$B$3&amp;$C$4&amp;" DEVELOPER"&amp;$C$5,ROW('ALL QUIZ'!$B:$B)-ROW(INDEX('ALL QUIZ'!$B:$B,1,1))+1),$B36)), "")</f>
        <v/>
      </c>
      <c r="G36" s="34" t="str">
        <f t="array" ref="G36">IFERROR(INDEX('ALL QUIZ'!$K:$K,SMALL(IF('ALL QUIZ'!$B:$B&amp;'ALL QUIZ'!$D:$D&amp;'ALL QUIZ'!$E:$E&amp;"."&amp;'ALL QUIZ'!$F:$F=$B$3&amp;$C$4&amp;" DEVELOPER"&amp;$C$5,ROW('ALL QUIZ'!$B:$B)-ROW(INDEX('ALL QUIZ'!$B:$B,1,1))+1),$B36)), "")</f>
        <v/>
      </c>
      <c r="H36" s="38" t="str">
        <f t="array" ref="H36">IF(IFERROR(INDEX('ALL QUIZ'!$L:$L,SMALL(IF('ALL QUIZ'!$B:$B&amp;'ALL QUIZ'!$D:$D&amp;'ALL QUIZ'!$E:$E&amp;"."&amp;'ALL QUIZ'!$F:$F=$B$3&amp;$C$4&amp;" DEVELOPER"&amp;$C$5,ROW('ALL QUIZ'!$B:$B)-ROW(INDEX('ALL QUIZ'!$B:$B,1,1))+1),$B36)), "") = "", "", IFERROR(INDEX('ALL QUIZ'!$L:$L,SMALL(IF('ALL QUIZ'!$B:$B&amp;'ALL QUIZ'!$D:$D&amp;'ALL QUIZ'!$E:$E&amp;"."&amp;'ALL QUIZ'!$F:$F=$B$3&amp;$C$4&amp;" DEVELOPER"&amp;$C$5,ROW('ALL QUIZ'!$B:$B)-ROW(INDEX('ALL QUIZ'!$B:$B,1,1))+1),$B36)), "") * 50)</f>
        <v/>
      </c>
      <c r="I36" s="39" t="str">
        <f t="array" ref="I36">IFERROR(INDEX('ALL QUIZ'!$M:$M,SMALL(IF('ALL QUIZ'!$B:$B&amp;'ALL QUIZ'!$D:$D&amp;'ALL QUIZ'!$E:$E&amp;"."&amp;'ALL QUIZ'!$F:$F=$B$3&amp;$C$4&amp;" DEVELOPER"&amp;$C$5,ROW('ALL QUIZ'!$B:$B)-ROW(INDEX('ALL QUIZ'!$B:$B,1,1))+1),$B36)), "")</f>
        <v/>
      </c>
    </row>
    <row r="37">
      <c r="B37" s="33">
        <v>29.0</v>
      </c>
      <c r="C37" s="34" t="str">
        <f t="array" ref="C37">IFERROR(INDEX('ALL QUIZ'!$A:$A,SMALL(IF('ALL QUIZ'!$B:$B&amp;'ALL QUIZ'!$D:$D&amp;'ALL QUIZ'!$E:$E&amp;"."&amp;'ALL QUIZ'!$F:$F=$B$3&amp;$C$4&amp;" DEVELOPER"&amp;$C$5,ROW('ALL QUIZ'!$B:$B)-ROW(INDEX('ALL QUIZ'!$B:$B,1,1))+1),$B37)), "")</f>
        <v/>
      </c>
      <c r="D37" s="34" t="str">
        <f t="array" ref="D37">IFERROR(INDEX('ALL QUIZ'!$G:$G,SMALL(IF('ALL QUIZ'!$B:$B&amp;'ALL QUIZ'!$D:$D&amp;'ALL QUIZ'!$E:$E&amp;"."&amp;'ALL QUIZ'!$F:$F=$B$3&amp;$C$4&amp;" DEVELOPER"&amp;$C$5,ROW('ALL QUIZ'!$B:$B)-ROW(INDEX('ALL QUIZ'!$B:$B,1,1))+1),$B37)), "")</f>
        <v/>
      </c>
      <c r="E37" s="34" t="str">
        <f t="array" ref="E37">IFERROR(INDEX('ALL QUIZ'!$I:$I,SMALL(IF('ALL QUIZ'!$B:$B&amp;'ALL QUIZ'!$D:$D&amp;'ALL QUIZ'!$E:$E&amp;"."&amp;'ALL QUIZ'!$F:$F=$B$3&amp;$C$4&amp;" DEVELOPER"&amp;$C$5,ROW('ALL QUIZ'!$B:$B)-ROW(INDEX('ALL QUIZ'!$B:$B,1,1))+1),$B37)), "")</f>
        <v/>
      </c>
      <c r="F37" s="34" t="str">
        <f t="array" ref="F37">IFERROR(INDEX('ALL QUIZ'!$J:$J,SMALL(IF('ALL QUIZ'!$B:$B&amp;'ALL QUIZ'!$D:$D&amp;'ALL QUIZ'!$E:$E&amp;"."&amp;'ALL QUIZ'!$F:$F=$B$3&amp;$C$4&amp;" DEVELOPER"&amp;$C$5,ROW('ALL QUIZ'!$B:$B)-ROW(INDEX('ALL QUIZ'!$B:$B,1,1))+1),$B37)), "")</f>
        <v/>
      </c>
      <c r="G37" s="34" t="str">
        <f t="array" ref="G37">IFERROR(INDEX('ALL QUIZ'!$K:$K,SMALL(IF('ALL QUIZ'!$B:$B&amp;'ALL QUIZ'!$D:$D&amp;'ALL QUIZ'!$E:$E&amp;"."&amp;'ALL QUIZ'!$F:$F=$B$3&amp;$C$4&amp;" DEVELOPER"&amp;$C$5,ROW('ALL QUIZ'!$B:$B)-ROW(INDEX('ALL QUIZ'!$B:$B,1,1))+1),$B37)), "")</f>
        <v/>
      </c>
      <c r="H37" s="38" t="str">
        <f t="array" ref="H37">IF(IFERROR(INDEX('ALL QUIZ'!$L:$L,SMALL(IF('ALL QUIZ'!$B:$B&amp;'ALL QUIZ'!$D:$D&amp;'ALL QUIZ'!$E:$E&amp;"."&amp;'ALL QUIZ'!$F:$F=$B$3&amp;$C$4&amp;" DEVELOPER"&amp;$C$5,ROW('ALL QUIZ'!$B:$B)-ROW(INDEX('ALL QUIZ'!$B:$B,1,1))+1),$B37)), "") = "", "", IFERROR(INDEX('ALL QUIZ'!$L:$L,SMALL(IF('ALL QUIZ'!$B:$B&amp;'ALL QUIZ'!$D:$D&amp;'ALL QUIZ'!$E:$E&amp;"."&amp;'ALL QUIZ'!$F:$F=$B$3&amp;$C$4&amp;" DEVELOPER"&amp;$C$5,ROW('ALL QUIZ'!$B:$B)-ROW(INDEX('ALL QUIZ'!$B:$B,1,1))+1),$B37)), "") * 50)</f>
        <v/>
      </c>
      <c r="I37" s="39" t="str">
        <f t="array" ref="I37">IFERROR(INDEX('ALL QUIZ'!$M:$M,SMALL(IF('ALL QUIZ'!$B:$B&amp;'ALL QUIZ'!$D:$D&amp;'ALL QUIZ'!$E:$E&amp;"."&amp;'ALL QUIZ'!$F:$F=$B$3&amp;$C$4&amp;" DEVELOPER"&amp;$C$5,ROW('ALL QUIZ'!$B:$B)-ROW(INDEX('ALL QUIZ'!$B:$B,1,1))+1),$B37)), "")</f>
        <v/>
      </c>
    </row>
    <row r="38">
      <c r="B38" s="36">
        <v>30.0</v>
      </c>
      <c r="C38" s="34" t="str">
        <f t="array" ref="C38">IFERROR(INDEX('ALL QUIZ'!$A:$A,SMALL(IF('ALL QUIZ'!$B:$B&amp;'ALL QUIZ'!$D:$D&amp;'ALL QUIZ'!$E:$E&amp;"."&amp;'ALL QUIZ'!$F:$F=$B$3&amp;$C$4&amp;" DEVELOPER"&amp;$C$5,ROW('ALL QUIZ'!$B:$B)-ROW(INDEX('ALL QUIZ'!$B:$B,1,1))+1),$B38)), "")</f>
        <v/>
      </c>
      <c r="D38" s="34" t="str">
        <f t="array" ref="D38">IFERROR(INDEX('ALL QUIZ'!$G:$G,SMALL(IF('ALL QUIZ'!$B:$B&amp;'ALL QUIZ'!$D:$D&amp;'ALL QUIZ'!$E:$E&amp;"."&amp;'ALL QUIZ'!$F:$F=$B$3&amp;$C$4&amp;" DEVELOPER"&amp;$C$5,ROW('ALL QUIZ'!$B:$B)-ROW(INDEX('ALL QUIZ'!$B:$B,1,1))+1),$B38)), "")</f>
        <v/>
      </c>
      <c r="E38" s="34" t="str">
        <f t="array" ref="E38">IFERROR(INDEX('ALL QUIZ'!$I:$I,SMALL(IF('ALL QUIZ'!$B:$B&amp;'ALL QUIZ'!$D:$D&amp;'ALL QUIZ'!$E:$E&amp;"."&amp;'ALL QUIZ'!$F:$F=$B$3&amp;$C$4&amp;" DEVELOPER"&amp;$C$5,ROW('ALL QUIZ'!$B:$B)-ROW(INDEX('ALL QUIZ'!$B:$B,1,1))+1),$B38)), "")</f>
        <v/>
      </c>
      <c r="F38" s="34" t="str">
        <f t="array" ref="F38">IFERROR(INDEX('ALL QUIZ'!$J:$J,SMALL(IF('ALL QUIZ'!$B:$B&amp;'ALL QUIZ'!$D:$D&amp;'ALL QUIZ'!$E:$E&amp;"."&amp;'ALL QUIZ'!$F:$F=$B$3&amp;$C$4&amp;" DEVELOPER"&amp;$C$5,ROW('ALL QUIZ'!$B:$B)-ROW(INDEX('ALL QUIZ'!$B:$B,1,1))+1),$B38)), "")</f>
        <v/>
      </c>
      <c r="G38" s="34" t="str">
        <f t="array" ref="G38">IFERROR(INDEX('ALL QUIZ'!$K:$K,SMALL(IF('ALL QUIZ'!$B:$B&amp;'ALL QUIZ'!$D:$D&amp;'ALL QUIZ'!$E:$E&amp;"."&amp;'ALL QUIZ'!$F:$F=$B$3&amp;$C$4&amp;" DEVELOPER"&amp;$C$5,ROW('ALL QUIZ'!$B:$B)-ROW(INDEX('ALL QUIZ'!$B:$B,1,1))+1),$B38)), "")</f>
        <v/>
      </c>
      <c r="H38" s="38" t="str">
        <f t="array" ref="H38">IF(IFERROR(INDEX('ALL QUIZ'!$L:$L,SMALL(IF('ALL QUIZ'!$B:$B&amp;'ALL QUIZ'!$D:$D&amp;'ALL QUIZ'!$E:$E&amp;"."&amp;'ALL QUIZ'!$F:$F=$B$3&amp;$C$4&amp;" DEVELOPER"&amp;$C$5,ROW('ALL QUIZ'!$B:$B)-ROW(INDEX('ALL QUIZ'!$B:$B,1,1))+1),$B38)), "") = "", "", IFERROR(INDEX('ALL QUIZ'!$L:$L,SMALL(IF('ALL QUIZ'!$B:$B&amp;'ALL QUIZ'!$D:$D&amp;'ALL QUIZ'!$E:$E&amp;"."&amp;'ALL QUIZ'!$F:$F=$B$3&amp;$C$4&amp;" DEVELOPER"&amp;$C$5,ROW('ALL QUIZ'!$B:$B)-ROW(INDEX('ALL QUIZ'!$B:$B,1,1))+1),$B38)), "") * 50)</f>
        <v/>
      </c>
      <c r="I38" s="39" t="str">
        <f t="array" ref="I38">IFERROR(INDEX('ALL QUIZ'!$M:$M,SMALL(IF('ALL QUIZ'!$B:$B&amp;'ALL QUIZ'!$D:$D&amp;'ALL QUIZ'!$E:$E&amp;"."&amp;'ALL QUIZ'!$F:$F=$B$3&amp;$C$4&amp;" DEVELOPER"&amp;$C$5,ROW('ALL QUIZ'!$B:$B)-ROW(INDEX('ALL QUIZ'!$B:$B,1,1))+1),$B38)), "")</f>
        <v/>
      </c>
    </row>
    <row r="39">
      <c r="G39" s="40" t="s">
        <v>30</v>
      </c>
      <c r="H39" s="41" t="str">
        <f>AVERAGE(H9:H38)</f>
        <v>#DIV/0!</v>
      </c>
      <c r="I39" s="3"/>
    </row>
    <row r="40">
      <c r="I40" s="3"/>
    </row>
    <row r="41">
      <c r="I41" s="3"/>
    </row>
    <row r="42">
      <c r="I42" s="3"/>
    </row>
    <row r="43">
      <c r="I43" s="3"/>
    </row>
    <row r="44">
      <c r="I44" s="3"/>
    </row>
    <row r="45">
      <c r="I45" s="3"/>
    </row>
    <row r="46">
      <c r="I46" s="3"/>
    </row>
    <row r="47">
      <c r="I47" s="3"/>
    </row>
    <row r="48">
      <c r="I48" s="3"/>
    </row>
    <row r="49">
      <c r="I49" s="3"/>
    </row>
    <row r="50">
      <c r="I50" s="3"/>
    </row>
    <row r="51">
      <c r="I51" s="3"/>
    </row>
    <row r="52">
      <c r="I52" s="3"/>
    </row>
    <row r="53">
      <c r="I53" s="3"/>
    </row>
    <row r="54">
      <c r="I54" s="3"/>
    </row>
    <row r="55">
      <c r="I55" s="3"/>
    </row>
    <row r="56">
      <c r="I56" s="3"/>
    </row>
    <row r="57">
      <c r="I57" s="3"/>
    </row>
    <row r="58">
      <c r="I58" s="3"/>
    </row>
    <row r="59">
      <c r="I59" s="3"/>
    </row>
    <row r="60">
      <c r="I60" s="3"/>
    </row>
    <row r="61">
      <c r="I61" s="3"/>
    </row>
    <row r="62">
      <c r="I62" s="3"/>
    </row>
    <row r="63">
      <c r="I63" s="3"/>
    </row>
    <row r="64">
      <c r="I64" s="3"/>
    </row>
    <row r="65">
      <c r="I65" s="3"/>
    </row>
    <row r="66">
      <c r="I66" s="3"/>
    </row>
    <row r="67">
      <c r="I67" s="3"/>
    </row>
    <row r="68">
      <c r="I68" s="3"/>
    </row>
    <row r="69">
      <c r="I69" s="3"/>
    </row>
    <row r="70">
      <c r="I70" s="3"/>
    </row>
    <row r="71">
      <c r="I71" s="3"/>
    </row>
    <row r="72">
      <c r="I72" s="3"/>
    </row>
    <row r="73">
      <c r="I73" s="3"/>
    </row>
    <row r="74">
      <c r="I74" s="3"/>
    </row>
    <row r="75">
      <c r="I75" s="3"/>
    </row>
    <row r="76">
      <c r="I76" s="3"/>
    </row>
    <row r="77">
      <c r="I77" s="3"/>
    </row>
    <row r="78">
      <c r="I78" s="3"/>
    </row>
    <row r="79">
      <c r="I79" s="3"/>
    </row>
    <row r="80">
      <c r="I80" s="3"/>
    </row>
    <row r="81">
      <c r="I81" s="3"/>
    </row>
    <row r="82">
      <c r="I82" s="3"/>
    </row>
    <row r="83">
      <c r="I83" s="3"/>
    </row>
    <row r="84">
      <c r="I84" s="3"/>
    </row>
    <row r="85">
      <c r="I85" s="3"/>
    </row>
    <row r="86">
      <c r="I86" s="3"/>
    </row>
    <row r="87">
      <c r="I87" s="3"/>
    </row>
    <row r="88">
      <c r="I88" s="3"/>
    </row>
    <row r="89">
      <c r="I89" s="3"/>
    </row>
    <row r="90">
      <c r="I90" s="3"/>
    </row>
    <row r="91">
      <c r="I91" s="3"/>
    </row>
    <row r="92">
      <c r="I92" s="3"/>
    </row>
    <row r="93">
      <c r="I93" s="3"/>
    </row>
    <row r="94">
      <c r="I94" s="3"/>
    </row>
    <row r="95">
      <c r="I95" s="3"/>
    </row>
    <row r="96">
      <c r="I96" s="3"/>
    </row>
    <row r="97">
      <c r="I97" s="3"/>
    </row>
    <row r="98">
      <c r="I98" s="3"/>
    </row>
    <row r="99">
      <c r="I99" s="3"/>
    </row>
    <row r="100">
      <c r="I100" s="3"/>
    </row>
    <row r="101">
      <c r="I101" s="3"/>
    </row>
    <row r="102">
      <c r="I102" s="3"/>
    </row>
    <row r="103">
      <c r="I103" s="3"/>
    </row>
    <row r="104">
      <c r="I104" s="3"/>
    </row>
    <row r="105">
      <c r="I105" s="3"/>
    </row>
    <row r="106">
      <c r="I106" s="3"/>
    </row>
    <row r="107">
      <c r="I107" s="3"/>
    </row>
    <row r="108">
      <c r="I108" s="3"/>
    </row>
    <row r="109">
      <c r="I109" s="3"/>
    </row>
    <row r="110">
      <c r="I110" s="3"/>
    </row>
    <row r="111">
      <c r="I111" s="3"/>
    </row>
    <row r="112">
      <c r="I112" s="3"/>
    </row>
    <row r="113">
      <c r="I113" s="3"/>
    </row>
    <row r="114">
      <c r="I114" s="3"/>
    </row>
    <row r="115">
      <c r="I115" s="3"/>
    </row>
    <row r="116">
      <c r="I116" s="3"/>
    </row>
    <row r="117">
      <c r="I117" s="3"/>
    </row>
    <row r="118">
      <c r="I118" s="3"/>
    </row>
    <row r="119">
      <c r="I119" s="3"/>
    </row>
    <row r="120">
      <c r="I120" s="3"/>
    </row>
    <row r="121">
      <c r="I121" s="3"/>
    </row>
    <row r="122">
      <c r="I122" s="3"/>
    </row>
    <row r="123">
      <c r="I123" s="3"/>
    </row>
    <row r="124">
      <c r="I124" s="3"/>
    </row>
    <row r="125">
      <c r="I125" s="3"/>
    </row>
    <row r="126">
      <c r="I126" s="3"/>
    </row>
    <row r="127">
      <c r="I127" s="3"/>
    </row>
    <row r="128">
      <c r="I128" s="3"/>
    </row>
    <row r="129">
      <c r="I129" s="3"/>
    </row>
    <row r="130">
      <c r="I130" s="3"/>
    </row>
    <row r="131">
      <c r="I131" s="3"/>
    </row>
    <row r="132">
      <c r="I132" s="3"/>
    </row>
    <row r="133">
      <c r="I133" s="3"/>
    </row>
    <row r="134">
      <c r="I134" s="3"/>
    </row>
    <row r="135">
      <c r="I135" s="3"/>
    </row>
    <row r="136">
      <c r="I136" s="3"/>
    </row>
    <row r="137">
      <c r="I137" s="3"/>
    </row>
    <row r="138">
      <c r="I138" s="3"/>
    </row>
    <row r="139">
      <c r="I139" s="3"/>
    </row>
    <row r="140">
      <c r="I140" s="3"/>
    </row>
    <row r="141">
      <c r="I141" s="3"/>
    </row>
    <row r="142">
      <c r="I142" s="3"/>
    </row>
    <row r="143">
      <c r="I143" s="3"/>
    </row>
    <row r="144">
      <c r="I144" s="3"/>
    </row>
    <row r="145">
      <c r="I145" s="3"/>
    </row>
    <row r="146">
      <c r="I146" s="3"/>
    </row>
    <row r="147">
      <c r="I147" s="3"/>
    </row>
    <row r="148">
      <c r="I148" s="3"/>
    </row>
    <row r="149">
      <c r="I149" s="3"/>
    </row>
    <row r="150">
      <c r="I150" s="3"/>
    </row>
    <row r="151">
      <c r="I151" s="3"/>
    </row>
    <row r="152">
      <c r="I152" s="3"/>
    </row>
    <row r="153">
      <c r="I153" s="3"/>
    </row>
    <row r="154">
      <c r="I154" s="3"/>
    </row>
    <row r="155">
      <c r="I155" s="3"/>
    </row>
    <row r="156">
      <c r="I156" s="3"/>
    </row>
    <row r="157">
      <c r="I157" s="3"/>
    </row>
    <row r="158">
      <c r="I158" s="3"/>
    </row>
    <row r="159">
      <c r="I159" s="3"/>
    </row>
    <row r="160">
      <c r="I160" s="3"/>
    </row>
    <row r="161">
      <c r="I161" s="3"/>
    </row>
    <row r="162">
      <c r="I162" s="3"/>
    </row>
    <row r="163">
      <c r="I163" s="3"/>
    </row>
    <row r="164">
      <c r="I164" s="3"/>
    </row>
    <row r="165">
      <c r="I165" s="3"/>
    </row>
    <row r="166">
      <c r="I166" s="3"/>
    </row>
    <row r="167">
      <c r="I167" s="3"/>
    </row>
    <row r="168">
      <c r="I168" s="3"/>
    </row>
    <row r="169">
      <c r="I169" s="3"/>
    </row>
    <row r="170">
      <c r="I170" s="3"/>
    </row>
    <row r="171">
      <c r="I171" s="3"/>
    </row>
    <row r="172">
      <c r="I172" s="3"/>
    </row>
    <row r="173">
      <c r="I173" s="3"/>
    </row>
    <row r="174">
      <c r="I174" s="3"/>
    </row>
    <row r="175">
      <c r="I175" s="3"/>
    </row>
    <row r="176">
      <c r="I176" s="3"/>
    </row>
    <row r="177">
      <c r="I177" s="3"/>
    </row>
    <row r="178">
      <c r="I178" s="3"/>
    </row>
    <row r="179">
      <c r="I179" s="3"/>
    </row>
    <row r="180">
      <c r="I180" s="3"/>
    </row>
    <row r="181">
      <c r="I181" s="3"/>
    </row>
    <row r="182">
      <c r="I182" s="3"/>
    </row>
    <row r="183">
      <c r="I183" s="3"/>
    </row>
    <row r="184">
      <c r="I184" s="3"/>
    </row>
    <row r="185">
      <c r="I185" s="3"/>
    </row>
    <row r="186">
      <c r="I186" s="3"/>
    </row>
    <row r="187">
      <c r="I187" s="3"/>
    </row>
    <row r="188">
      <c r="I188" s="3"/>
    </row>
    <row r="189">
      <c r="I189" s="3"/>
    </row>
    <row r="190">
      <c r="I190" s="3"/>
    </row>
    <row r="191">
      <c r="I191" s="3"/>
    </row>
    <row r="192">
      <c r="I192" s="3"/>
    </row>
    <row r="193">
      <c r="I193" s="3"/>
    </row>
    <row r="194">
      <c r="I194" s="3"/>
    </row>
    <row r="195">
      <c r="I195" s="3"/>
    </row>
    <row r="196">
      <c r="I196" s="3"/>
    </row>
    <row r="197">
      <c r="I197" s="3"/>
    </row>
    <row r="198">
      <c r="I198" s="3"/>
    </row>
    <row r="199">
      <c r="I199" s="3"/>
    </row>
    <row r="200">
      <c r="I200" s="3"/>
    </row>
    <row r="201">
      <c r="I201" s="3"/>
    </row>
    <row r="202">
      <c r="I202" s="3"/>
    </row>
    <row r="203">
      <c r="I203" s="3"/>
    </row>
    <row r="204">
      <c r="I204" s="3"/>
    </row>
    <row r="205">
      <c r="I205" s="3"/>
    </row>
    <row r="206">
      <c r="I206" s="3"/>
    </row>
    <row r="207">
      <c r="I207" s="3"/>
    </row>
    <row r="208">
      <c r="I208" s="3"/>
    </row>
    <row r="209">
      <c r="I209" s="3"/>
    </row>
    <row r="210">
      <c r="I210" s="3"/>
    </row>
    <row r="211">
      <c r="I211" s="3"/>
    </row>
    <row r="212">
      <c r="I212" s="3"/>
    </row>
    <row r="213">
      <c r="I213" s="3"/>
    </row>
    <row r="214">
      <c r="I214" s="3"/>
    </row>
    <row r="215">
      <c r="I215" s="3"/>
    </row>
    <row r="216">
      <c r="I216" s="3"/>
    </row>
    <row r="217">
      <c r="I217" s="3"/>
    </row>
    <row r="218">
      <c r="I218" s="3"/>
    </row>
    <row r="219">
      <c r="I219" s="3"/>
    </row>
    <row r="220">
      <c r="I220" s="3"/>
    </row>
    <row r="221">
      <c r="I221" s="3"/>
    </row>
    <row r="222">
      <c r="I222" s="3"/>
    </row>
    <row r="223">
      <c r="I223" s="3"/>
    </row>
    <row r="224">
      <c r="I224" s="3"/>
    </row>
    <row r="225">
      <c r="I225" s="3"/>
    </row>
    <row r="226">
      <c r="I226" s="3"/>
    </row>
    <row r="227">
      <c r="I227" s="3"/>
    </row>
    <row r="228">
      <c r="I228" s="3"/>
    </row>
    <row r="229">
      <c r="I229" s="3"/>
    </row>
    <row r="230">
      <c r="I230" s="3"/>
    </row>
    <row r="231">
      <c r="I231" s="3"/>
    </row>
    <row r="232">
      <c r="I232" s="3"/>
    </row>
    <row r="233">
      <c r="I233" s="3"/>
    </row>
    <row r="234">
      <c r="I234" s="3"/>
    </row>
    <row r="235">
      <c r="I235" s="3"/>
    </row>
    <row r="236">
      <c r="I236" s="3"/>
    </row>
    <row r="237">
      <c r="I237" s="3"/>
    </row>
    <row r="238">
      <c r="I238" s="3"/>
    </row>
    <row r="239">
      <c r="I239" s="3"/>
    </row>
    <row r="240">
      <c r="I240" s="3"/>
    </row>
    <row r="241">
      <c r="I241" s="3"/>
    </row>
    <row r="242">
      <c r="I242" s="3"/>
    </row>
    <row r="243">
      <c r="I243" s="3"/>
    </row>
    <row r="244">
      <c r="I244" s="3"/>
    </row>
    <row r="245">
      <c r="I245" s="3"/>
    </row>
    <row r="246">
      <c r="I246" s="3"/>
    </row>
    <row r="247">
      <c r="I247" s="3"/>
    </row>
    <row r="248">
      <c r="I248" s="3"/>
    </row>
    <row r="249">
      <c r="I249" s="3"/>
    </row>
    <row r="250">
      <c r="I250" s="3"/>
    </row>
    <row r="251">
      <c r="I251" s="3"/>
    </row>
    <row r="252">
      <c r="I252" s="3"/>
    </row>
    <row r="253">
      <c r="I253" s="3"/>
    </row>
    <row r="254">
      <c r="I254" s="3"/>
    </row>
    <row r="255">
      <c r="I255" s="3"/>
    </row>
    <row r="256">
      <c r="I256" s="3"/>
    </row>
    <row r="257">
      <c r="I257" s="3"/>
    </row>
    <row r="258">
      <c r="I258" s="3"/>
    </row>
    <row r="259">
      <c r="I259" s="3"/>
    </row>
    <row r="260">
      <c r="I260" s="3"/>
    </row>
    <row r="261">
      <c r="I261" s="3"/>
    </row>
    <row r="262">
      <c r="I262" s="3"/>
    </row>
    <row r="263">
      <c r="I263" s="3"/>
    </row>
    <row r="264">
      <c r="I264" s="3"/>
    </row>
    <row r="265">
      <c r="I265" s="3"/>
    </row>
    <row r="266">
      <c r="I266" s="3"/>
    </row>
    <row r="267">
      <c r="I267" s="3"/>
    </row>
    <row r="268">
      <c r="I268" s="3"/>
    </row>
    <row r="269">
      <c r="I269" s="3"/>
    </row>
    <row r="270">
      <c r="I270" s="3"/>
    </row>
    <row r="271">
      <c r="I271" s="3"/>
    </row>
    <row r="272">
      <c r="I272" s="3"/>
    </row>
    <row r="273">
      <c r="I273" s="3"/>
    </row>
    <row r="274">
      <c r="I274" s="3"/>
    </row>
    <row r="275">
      <c r="I275" s="3"/>
    </row>
    <row r="276">
      <c r="I276" s="3"/>
    </row>
    <row r="277">
      <c r="I277" s="3"/>
    </row>
    <row r="278">
      <c r="I278" s="3"/>
    </row>
    <row r="279">
      <c r="I279" s="3"/>
    </row>
    <row r="280">
      <c r="I280" s="3"/>
    </row>
    <row r="281">
      <c r="I281" s="3"/>
    </row>
    <row r="282">
      <c r="I282" s="3"/>
    </row>
    <row r="283">
      <c r="I283" s="3"/>
    </row>
    <row r="284">
      <c r="I284" s="3"/>
    </row>
    <row r="285">
      <c r="I285" s="3"/>
    </row>
    <row r="286">
      <c r="I286" s="3"/>
    </row>
    <row r="287">
      <c r="I287" s="3"/>
    </row>
    <row r="288">
      <c r="I288" s="3"/>
    </row>
    <row r="289">
      <c r="I289" s="3"/>
    </row>
    <row r="290">
      <c r="I290" s="3"/>
    </row>
    <row r="291">
      <c r="I291" s="3"/>
    </row>
    <row r="292">
      <c r="I292" s="3"/>
    </row>
    <row r="293">
      <c r="I293" s="3"/>
    </row>
    <row r="294">
      <c r="I294" s="3"/>
    </row>
    <row r="295">
      <c r="I295" s="3"/>
    </row>
    <row r="296">
      <c r="I296" s="3"/>
    </row>
    <row r="297">
      <c r="I297" s="3"/>
    </row>
    <row r="298">
      <c r="I298" s="3"/>
    </row>
    <row r="299">
      <c r="I299" s="3"/>
    </row>
    <row r="300">
      <c r="I300" s="3"/>
    </row>
    <row r="301">
      <c r="I301" s="3"/>
    </row>
    <row r="302">
      <c r="I302" s="3"/>
    </row>
    <row r="303">
      <c r="I303" s="3"/>
    </row>
    <row r="304">
      <c r="I304" s="3"/>
    </row>
    <row r="305">
      <c r="I305" s="3"/>
    </row>
    <row r="306">
      <c r="I306" s="3"/>
    </row>
    <row r="307">
      <c r="I307" s="3"/>
    </row>
    <row r="308">
      <c r="I308" s="3"/>
    </row>
    <row r="309">
      <c r="I309" s="3"/>
    </row>
    <row r="310">
      <c r="I310" s="3"/>
    </row>
    <row r="311">
      <c r="I311" s="3"/>
    </row>
    <row r="312">
      <c r="I312" s="3"/>
    </row>
    <row r="313">
      <c r="I313" s="3"/>
    </row>
    <row r="314">
      <c r="I314" s="3"/>
    </row>
    <row r="315">
      <c r="I315" s="3"/>
    </row>
    <row r="316">
      <c r="I316" s="3"/>
    </row>
    <row r="317">
      <c r="I317" s="3"/>
    </row>
    <row r="318">
      <c r="I318" s="3"/>
    </row>
    <row r="319">
      <c r="I319" s="3"/>
    </row>
    <row r="320">
      <c r="I320" s="3"/>
    </row>
    <row r="321">
      <c r="I321" s="3"/>
    </row>
    <row r="322">
      <c r="I322" s="3"/>
    </row>
    <row r="323">
      <c r="I323" s="3"/>
    </row>
    <row r="324">
      <c r="I324" s="3"/>
    </row>
    <row r="325">
      <c r="I325" s="3"/>
    </row>
    <row r="326">
      <c r="I326" s="3"/>
    </row>
    <row r="327">
      <c r="I327" s="3"/>
    </row>
    <row r="328">
      <c r="I328" s="3"/>
    </row>
    <row r="329">
      <c r="I329" s="3"/>
    </row>
    <row r="330">
      <c r="I330" s="3"/>
    </row>
    <row r="331">
      <c r="I331" s="3"/>
    </row>
    <row r="332">
      <c r="I332" s="3"/>
    </row>
    <row r="333">
      <c r="I333" s="3"/>
    </row>
    <row r="334">
      <c r="I334" s="3"/>
    </row>
    <row r="335">
      <c r="I335" s="3"/>
    </row>
    <row r="336">
      <c r="I336" s="3"/>
    </row>
    <row r="337">
      <c r="I337" s="3"/>
    </row>
    <row r="338">
      <c r="I338" s="3"/>
    </row>
    <row r="339">
      <c r="I339" s="3"/>
    </row>
    <row r="340">
      <c r="I340" s="3"/>
    </row>
    <row r="341">
      <c r="I341" s="3"/>
    </row>
    <row r="342">
      <c r="I342" s="3"/>
    </row>
    <row r="343">
      <c r="I343" s="3"/>
    </row>
    <row r="344">
      <c r="I344" s="3"/>
    </row>
    <row r="345">
      <c r="I345" s="3"/>
    </row>
    <row r="346">
      <c r="I346" s="3"/>
    </row>
    <row r="347">
      <c r="I347" s="3"/>
    </row>
    <row r="348">
      <c r="I348" s="3"/>
    </row>
    <row r="349">
      <c r="I349" s="3"/>
    </row>
    <row r="350">
      <c r="I350" s="3"/>
    </row>
    <row r="351">
      <c r="I351" s="3"/>
    </row>
    <row r="352">
      <c r="I352" s="3"/>
    </row>
    <row r="353">
      <c r="I353" s="3"/>
    </row>
    <row r="354">
      <c r="I354" s="3"/>
    </row>
    <row r="355">
      <c r="I355" s="3"/>
    </row>
    <row r="356">
      <c r="I356" s="3"/>
    </row>
    <row r="357">
      <c r="I357" s="3"/>
    </row>
    <row r="358">
      <c r="I358" s="3"/>
    </row>
    <row r="359">
      <c r="I359" s="3"/>
    </row>
    <row r="360">
      <c r="I360" s="3"/>
    </row>
    <row r="361">
      <c r="I361" s="3"/>
    </row>
    <row r="362">
      <c r="I362" s="3"/>
    </row>
    <row r="363">
      <c r="I363" s="3"/>
    </row>
    <row r="364">
      <c r="I364" s="3"/>
    </row>
    <row r="365">
      <c r="I365" s="3"/>
    </row>
    <row r="366">
      <c r="I366" s="3"/>
    </row>
    <row r="367">
      <c r="I367" s="3"/>
    </row>
    <row r="368">
      <c r="I368" s="3"/>
    </row>
    <row r="369">
      <c r="I369" s="3"/>
    </row>
    <row r="370">
      <c r="I370" s="3"/>
    </row>
    <row r="371">
      <c r="I371" s="3"/>
    </row>
    <row r="372">
      <c r="I372" s="3"/>
    </row>
    <row r="373">
      <c r="I373" s="3"/>
    </row>
    <row r="374">
      <c r="I374" s="3"/>
    </row>
    <row r="375">
      <c r="I375" s="3"/>
    </row>
    <row r="376">
      <c r="I376" s="3"/>
    </row>
    <row r="377">
      <c r="I377" s="3"/>
    </row>
    <row r="378">
      <c r="I378" s="3"/>
    </row>
    <row r="379">
      <c r="I379" s="3"/>
    </row>
    <row r="380">
      <c r="I380" s="3"/>
    </row>
    <row r="381">
      <c r="I381" s="3"/>
    </row>
    <row r="382">
      <c r="I382" s="3"/>
    </row>
    <row r="383">
      <c r="I383" s="3"/>
    </row>
    <row r="384">
      <c r="I384" s="3"/>
    </row>
    <row r="385">
      <c r="I385" s="3"/>
    </row>
    <row r="386">
      <c r="I386" s="3"/>
    </row>
    <row r="387">
      <c r="I387" s="3"/>
    </row>
    <row r="388">
      <c r="I388" s="3"/>
    </row>
    <row r="389">
      <c r="I389" s="3"/>
    </row>
    <row r="390">
      <c r="I390" s="3"/>
    </row>
    <row r="391">
      <c r="I391" s="3"/>
    </row>
    <row r="392">
      <c r="I392" s="3"/>
    </row>
    <row r="393">
      <c r="I393" s="3"/>
    </row>
    <row r="394">
      <c r="I394" s="3"/>
    </row>
    <row r="395">
      <c r="I395" s="3"/>
    </row>
    <row r="396">
      <c r="I396" s="3"/>
    </row>
    <row r="397">
      <c r="I397" s="3"/>
    </row>
    <row r="398">
      <c r="I398" s="3"/>
    </row>
    <row r="399">
      <c r="I399" s="3"/>
    </row>
    <row r="400">
      <c r="I400" s="3"/>
    </row>
    <row r="401">
      <c r="I401" s="3"/>
    </row>
    <row r="402">
      <c r="I402" s="3"/>
    </row>
    <row r="403">
      <c r="I403" s="3"/>
    </row>
    <row r="404">
      <c r="I404" s="3"/>
    </row>
    <row r="405">
      <c r="I405" s="3"/>
    </row>
    <row r="406">
      <c r="I406" s="3"/>
    </row>
    <row r="407">
      <c r="I407" s="3"/>
    </row>
    <row r="408">
      <c r="I408" s="3"/>
    </row>
    <row r="409">
      <c r="I409" s="3"/>
    </row>
    <row r="410">
      <c r="I410" s="3"/>
    </row>
    <row r="411">
      <c r="I411" s="3"/>
    </row>
    <row r="412">
      <c r="I412" s="3"/>
    </row>
    <row r="413">
      <c r="I413" s="3"/>
    </row>
    <row r="414">
      <c r="I414" s="3"/>
    </row>
    <row r="415">
      <c r="I415" s="3"/>
    </row>
    <row r="416">
      <c r="I416" s="3"/>
    </row>
    <row r="417">
      <c r="I417" s="3"/>
    </row>
    <row r="418">
      <c r="I418" s="3"/>
    </row>
    <row r="419">
      <c r="I419" s="3"/>
    </row>
    <row r="420">
      <c r="I420" s="3"/>
    </row>
    <row r="421">
      <c r="I421" s="3"/>
    </row>
    <row r="422">
      <c r="I422" s="3"/>
    </row>
    <row r="423">
      <c r="I423" s="3"/>
    </row>
    <row r="424">
      <c r="I424" s="3"/>
    </row>
    <row r="425">
      <c r="I425" s="3"/>
    </row>
    <row r="426">
      <c r="I426" s="3"/>
    </row>
    <row r="427">
      <c r="I427" s="3"/>
    </row>
    <row r="428">
      <c r="I428" s="3"/>
    </row>
    <row r="429">
      <c r="I429" s="3"/>
    </row>
    <row r="430">
      <c r="I430" s="3"/>
    </row>
    <row r="431">
      <c r="I431" s="3"/>
    </row>
    <row r="432">
      <c r="I432" s="3"/>
    </row>
    <row r="433">
      <c r="I433" s="3"/>
    </row>
    <row r="434">
      <c r="I434" s="3"/>
    </row>
    <row r="435">
      <c r="I435" s="3"/>
    </row>
    <row r="436">
      <c r="I436" s="3"/>
    </row>
    <row r="437">
      <c r="I437" s="3"/>
    </row>
    <row r="438">
      <c r="I438" s="3"/>
    </row>
    <row r="439">
      <c r="I439" s="3"/>
    </row>
    <row r="440">
      <c r="I440" s="3"/>
    </row>
    <row r="441">
      <c r="I441" s="3"/>
    </row>
    <row r="442">
      <c r="I442" s="3"/>
    </row>
    <row r="443">
      <c r="I443" s="3"/>
    </row>
    <row r="444">
      <c r="I444" s="3"/>
    </row>
    <row r="445">
      <c r="I445" s="3"/>
    </row>
    <row r="446">
      <c r="I446" s="3"/>
    </row>
    <row r="447">
      <c r="I447" s="3"/>
    </row>
    <row r="448">
      <c r="I448" s="3"/>
    </row>
    <row r="449">
      <c r="I449" s="3"/>
    </row>
    <row r="450">
      <c r="I450" s="3"/>
    </row>
    <row r="451">
      <c r="I451" s="3"/>
    </row>
    <row r="452">
      <c r="I452" s="3"/>
    </row>
    <row r="453">
      <c r="I453" s="3"/>
    </row>
    <row r="454">
      <c r="I454" s="3"/>
    </row>
    <row r="455">
      <c r="I455" s="3"/>
    </row>
    <row r="456">
      <c r="I456" s="3"/>
    </row>
    <row r="457">
      <c r="I457" s="3"/>
    </row>
    <row r="458">
      <c r="I458" s="3"/>
    </row>
    <row r="459">
      <c r="I459" s="3"/>
    </row>
    <row r="460">
      <c r="I460" s="3"/>
    </row>
    <row r="461">
      <c r="I461" s="3"/>
    </row>
    <row r="462">
      <c r="I462" s="3"/>
    </row>
    <row r="463">
      <c r="I463" s="3"/>
    </row>
    <row r="464">
      <c r="I464" s="3"/>
    </row>
    <row r="465">
      <c r="I465" s="3"/>
    </row>
    <row r="466">
      <c r="I466" s="3"/>
    </row>
    <row r="467">
      <c r="I467" s="3"/>
    </row>
    <row r="468">
      <c r="I468" s="3"/>
    </row>
    <row r="469">
      <c r="I469" s="3"/>
    </row>
    <row r="470">
      <c r="I470" s="3"/>
    </row>
    <row r="471">
      <c r="I471" s="3"/>
    </row>
    <row r="472">
      <c r="I472" s="3"/>
    </row>
    <row r="473">
      <c r="I473" s="3"/>
    </row>
    <row r="474">
      <c r="I474" s="3"/>
    </row>
    <row r="475">
      <c r="I475" s="3"/>
    </row>
    <row r="476">
      <c r="I476" s="3"/>
    </row>
    <row r="477">
      <c r="I477" s="3"/>
    </row>
    <row r="478">
      <c r="I478" s="3"/>
    </row>
    <row r="479">
      <c r="I479" s="3"/>
    </row>
    <row r="480">
      <c r="I480" s="3"/>
    </row>
    <row r="481">
      <c r="I481" s="3"/>
    </row>
    <row r="482">
      <c r="I482" s="3"/>
    </row>
    <row r="483">
      <c r="I483" s="3"/>
    </row>
    <row r="484">
      <c r="I484" s="3"/>
    </row>
    <row r="485">
      <c r="I485" s="3"/>
    </row>
    <row r="486">
      <c r="I486" s="3"/>
    </row>
    <row r="487">
      <c r="I487" s="3"/>
    </row>
    <row r="488">
      <c r="I488" s="3"/>
    </row>
    <row r="489">
      <c r="I489" s="3"/>
    </row>
    <row r="490">
      <c r="I490" s="3"/>
    </row>
    <row r="491">
      <c r="I491" s="3"/>
    </row>
    <row r="492">
      <c r="I492" s="3"/>
    </row>
    <row r="493">
      <c r="I493" s="3"/>
    </row>
    <row r="494">
      <c r="I494" s="3"/>
    </row>
    <row r="495">
      <c r="I495" s="3"/>
    </row>
    <row r="496">
      <c r="I496" s="3"/>
    </row>
    <row r="497">
      <c r="I497" s="3"/>
    </row>
    <row r="498">
      <c r="I498" s="3"/>
    </row>
    <row r="499">
      <c r="I499" s="3"/>
    </row>
    <row r="500">
      <c r="I500" s="3"/>
    </row>
    <row r="501">
      <c r="I501" s="3"/>
    </row>
    <row r="502">
      <c r="I502" s="3"/>
    </row>
    <row r="503">
      <c r="I503" s="3"/>
    </row>
    <row r="504">
      <c r="I504" s="3"/>
    </row>
    <row r="505">
      <c r="I505" s="3"/>
    </row>
    <row r="506">
      <c r="I506" s="3"/>
    </row>
    <row r="507">
      <c r="I507" s="3"/>
    </row>
    <row r="508">
      <c r="I508" s="3"/>
    </row>
    <row r="509">
      <c r="I509" s="3"/>
    </row>
    <row r="510">
      <c r="I510" s="3"/>
    </row>
    <row r="511">
      <c r="I511" s="3"/>
    </row>
    <row r="512">
      <c r="I512" s="3"/>
    </row>
    <row r="513">
      <c r="I513" s="3"/>
    </row>
    <row r="514">
      <c r="I514" s="3"/>
    </row>
    <row r="515">
      <c r="I515" s="3"/>
    </row>
    <row r="516">
      <c r="I516" s="3"/>
    </row>
    <row r="517">
      <c r="I517" s="3"/>
    </row>
    <row r="518">
      <c r="I518" s="3"/>
    </row>
    <row r="519">
      <c r="I519" s="3"/>
    </row>
    <row r="520">
      <c r="I520" s="3"/>
    </row>
    <row r="521">
      <c r="I521" s="3"/>
    </row>
    <row r="522">
      <c r="I522" s="3"/>
    </row>
    <row r="523">
      <c r="I523" s="3"/>
    </row>
    <row r="524">
      <c r="I524" s="3"/>
    </row>
    <row r="525">
      <c r="I525" s="3"/>
    </row>
    <row r="526">
      <c r="I526" s="3"/>
    </row>
    <row r="527">
      <c r="I527" s="3"/>
    </row>
    <row r="528">
      <c r="I528" s="3"/>
    </row>
    <row r="529">
      <c r="I529" s="3"/>
    </row>
    <row r="530">
      <c r="I530" s="3"/>
    </row>
    <row r="531">
      <c r="I531" s="3"/>
    </row>
    <row r="532">
      <c r="I532" s="3"/>
    </row>
    <row r="533">
      <c r="I533" s="3"/>
    </row>
    <row r="534">
      <c r="I534" s="3"/>
    </row>
    <row r="535">
      <c r="I535" s="3"/>
    </row>
    <row r="536">
      <c r="I536" s="3"/>
    </row>
    <row r="537">
      <c r="I537" s="3"/>
    </row>
    <row r="538">
      <c r="I538" s="3"/>
    </row>
    <row r="539">
      <c r="I539" s="3"/>
    </row>
    <row r="540">
      <c r="I540" s="3"/>
    </row>
    <row r="541">
      <c r="I541" s="3"/>
    </row>
    <row r="542">
      <c r="I542" s="3"/>
    </row>
    <row r="543">
      <c r="I543" s="3"/>
    </row>
    <row r="544">
      <c r="I544" s="3"/>
    </row>
    <row r="545">
      <c r="I545" s="3"/>
    </row>
    <row r="546">
      <c r="I546" s="3"/>
    </row>
    <row r="547">
      <c r="I547" s="3"/>
    </row>
    <row r="548">
      <c r="I548" s="3"/>
    </row>
    <row r="549">
      <c r="I549" s="3"/>
    </row>
    <row r="550">
      <c r="I550" s="3"/>
    </row>
    <row r="551">
      <c r="I551" s="3"/>
    </row>
    <row r="552">
      <c r="I552" s="3"/>
    </row>
    <row r="553">
      <c r="I553" s="3"/>
    </row>
    <row r="554">
      <c r="I554" s="3"/>
    </row>
    <row r="555">
      <c r="I555" s="3"/>
    </row>
    <row r="556">
      <c r="I556" s="3"/>
    </row>
    <row r="557">
      <c r="I557" s="3"/>
    </row>
    <row r="558">
      <c r="I558" s="3"/>
    </row>
    <row r="559">
      <c r="I559" s="3"/>
    </row>
    <row r="560">
      <c r="I560" s="3"/>
    </row>
    <row r="561">
      <c r="I561" s="3"/>
    </row>
    <row r="562">
      <c r="I562" s="3"/>
    </row>
    <row r="563">
      <c r="I563" s="3"/>
    </row>
    <row r="564">
      <c r="I564" s="3"/>
    </row>
    <row r="565">
      <c r="I565" s="3"/>
    </row>
    <row r="566">
      <c r="I566" s="3"/>
    </row>
    <row r="567">
      <c r="I567" s="3"/>
    </row>
    <row r="568">
      <c r="I568" s="3"/>
    </row>
    <row r="569">
      <c r="I569" s="3"/>
    </row>
    <row r="570">
      <c r="I570" s="3"/>
    </row>
    <row r="571">
      <c r="I571" s="3"/>
    </row>
    <row r="572">
      <c r="I572" s="3"/>
    </row>
    <row r="573">
      <c r="I573" s="3"/>
    </row>
    <row r="574">
      <c r="I574" s="3"/>
    </row>
    <row r="575">
      <c r="I575" s="3"/>
    </row>
    <row r="576">
      <c r="I576" s="3"/>
    </row>
    <row r="577">
      <c r="I577" s="3"/>
    </row>
    <row r="578">
      <c r="I578" s="3"/>
    </row>
    <row r="579">
      <c r="I579" s="3"/>
    </row>
    <row r="580">
      <c r="I580" s="3"/>
    </row>
    <row r="581">
      <c r="I581" s="3"/>
    </row>
    <row r="582">
      <c r="I582" s="3"/>
    </row>
    <row r="583">
      <c r="I583" s="3"/>
    </row>
    <row r="584">
      <c r="I584" s="3"/>
    </row>
    <row r="585">
      <c r="I585" s="3"/>
    </row>
    <row r="586">
      <c r="I586" s="3"/>
    </row>
    <row r="587">
      <c r="I587" s="3"/>
    </row>
    <row r="588">
      <c r="I588" s="3"/>
    </row>
    <row r="589">
      <c r="I589" s="3"/>
    </row>
    <row r="590">
      <c r="I590" s="3"/>
    </row>
    <row r="591">
      <c r="I591" s="3"/>
    </row>
    <row r="592">
      <c r="I592" s="3"/>
    </row>
    <row r="593">
      <c r="I593" s="3"/>
    </row>
    <row r="594">
      <c r="I594" s="3"/>
    </row>
    <row r="595">
      <c r="I595" s="3"/>
    </row>
    <row r="596">
      <c r="I596" s="3"/>
    </row>
    <row r="597">
      <c r="I597" s="3"/>
    </row>
    <row r="598">
      <c r="I598" s="3"/>
    </row>
    <row r="599">
      <c r="I599" s="3"/>
    </row>
    <row r="600">
      <c r="I600" s="3"/>
    </row>
    <row r="601">
      <c r="I601" s="3"/>
    </row>
    <row r="602">
      <c r="I602" s="3"/>
    </row>
    <row r="603">
      <c r="I603" s="3"/>
    </row>
    <row r="604">
      <c r="I604" s="3"/>
    </row>
    <row r="605">
      <c r="I605" s="3"/>
    </row>
    <row r="606">
      <c r="I606" s="3"/>
    </row>
    <row r="607">
      <c r="I607" s="3"/>
    </row>
    <row r="608">
      <c r="I608" s="3"/>
    </row>
    <row r="609">
      <c r="I609" s="3"/>
    </row>
    <row r="610">
      <c r="I610" s="3"/>
    </row>
    <row r="611">
      <c r="I611" s="3"/>
    </row>
    <row r="612">
      <c r="I612" s="3"/>
    </row>
    <row r="613">
      <c r="I613" s="3"/>
    </row>
    <row r="614">
      <c r="I614" s="3"/>
    </row>
    <row r="615">
      <c r="I615" s="3"/>
    </row>
    <row r="616">
      <c r="I616" s="3"/>
    </row>
    <row r="617">
      <c r="I617" s="3"/>
    </row>
    <row r="618">
      <c r="I618" s="3"/>
    </row>
    <row r="619">
      <c r="I619" s="3"/>
    </row>
    <row r="620">
      <c r="I620" s="3"/>
    </row>
    <row r="621">
      <c r="I621" s="3"/>
    </row>
    <row r="622">
      <c r="I622" s="3"/>
    </row>
    <row r="623">
      <c r="I623" s="3"/>
    </row>
    <row r="624">
      <c r="I624" s="3"/>
    </row>
    <row r="625">
      <c r="I625" s="3"/>
    </row>
    <row r="626">
      <c r="I626" s="3"/>
    </row>
    <row r="627">
      <c r="I627" s="3"/>
    </row>
    <row r="628">
      <c r="I628" s="3"/>
    </row>
    <row r="629">
      <c r="I629" s="3"/>
    </row>
    <row r="630">
      <c r="I630" s="3"/>
    </row>
    <row r="631">
      <c r="I631" s="3"/>
    </row>
    <row r="632">
      <c r="I632" s="3"/>
    </row>
    <row r="633">
      <c r="I633" s="3"/>
    </row>
    <row r="634">
      <c r="I634" s="3"/>
    </row>
    <row r="635">
      <c r="I635" s="3"/>
    </row>
    <row r="636">
      <c r="I636" s="3"/>
    </row>
    <row r="637">
      <c r="I637" s="3"/>
    </row>
    <row r="638">
      <c r="I638" s="3"/>
    </row>
    <row r="639">
      <c r="I639" s="3"/>
    </row>
    <row r="640">
      <c r="I640" s="3"/>
    </row>
    <row r="641">
      <c r="I641" s="3"/>
    </row>
    <row r="642">
      <c r="I642" s="3"/>
    </row>
    <row r="643">
      <c r="I643" s="3"/>
    </row>
    <row r="644">
      <c r="I644" s="3"/>
    </row>
    <row r="645">
      <c r="I645" s="3"/>
    </row>
    <row r="646">
      <c r="I646" s="3"/>
    </row>
    <row r="647">
      <c r="I647" s="3"/>
    </row>
    <row r="648">
      <c r="I648" s="3"/>
    </row>
    <row r="649">
      <c r="I649" s="3"/>
    </row>
    <row r="650">
      <c r="I650" s="3"/>
    </row>
    <row r="651">
      <c r="I651" s="3"/>
    </row>
    <row r="652">
      <c r="I652" s="3"/>
    </row>
    <row r="653">
      <c r="I653" s="3"/>
    </row>
    <row r="654">
      <c r="I654" s="3"/>
    </row>
    <row r="655">
      <c r="I655" s="3"/>
    </row>
    <row r="656">
      <c r="I656" s="3"/>
    </row>
    <row r="657">
      <c r="I657" s="3"/>
    </row>
    <row r="658">
      <c r="I658" s="3"/>
    </row>
    <row r="659">
      <c r="I659" s="3"/>
    </row>
    <row r="660">
      <c r="I660" s="3"/>
    </row>
    <row r="661">
      <c r="I661" s="3"/>
    </row>
    <row r="662">
      <c r="I662" s="3"/>
    </row>
    <row r="663">
      <c r="I663" s="3"/>
    </row>
    <row r="664">
      <c r="I664" s="3"/>
    </row>
    <row r="665">
      <c r="I665" s="3"/>
    </row>
    <row r="666">
      <c r="I666" s="3"/>
    </row>
    <row r="667">
      <c r="I667" s="3"/>
    </row>
    <row r="668">
      <c r="I668" s="3"/>
    </row>
    <row r="669">
      <c r="I669" s="3"/>
    </row>
    <row r="670">
      <c r="I670" s="3"/>
    </row>
    <row r="671">
      <c r="I671" s="3"/>
    </row>
    <row r="672">
      <c r="I672" s="3"/>
    </row>
    <row r="673">
      <c r="I673" s="3"/>
    </row>
    <row r="674">
      <c r="I674" s="3"/>
    </row>
    <row r="675">
      <c r="I675" s="3"/>
    </row>
    <row r="676">
      <c r="I676" s="3"/>
    </row>
    <row r="677">
      <c r="I677" s="3"/>
    </row>
    <row r="678">
      <c r="I678" s="3"/>
    </row>
    <row r="679">
      <c r="I679" s="3"/>
    </row>
    <row r="680">
      <c r="I680" s="3"/>
    </row>
    <row r="681">
      <c r="I681" s="3"/>
    </row>
    <row r="682">
      <c r="I682" s="3"/>
    </row>
    <row r="683">
      <c r="I683" s="3"/>
    </row>
    <row r="684">
      <c r="I684" s="3"/>
    </row>
    <row r="685">
      <c r="I685" s="3"/>
    </row>
    <row r="686">
      <c r="I686" s="3"/>
    </row>
    <row r="687">
      <c r="I687" s="3"/>
    </row>
    <row r="688">
      <c r="I688" s="3"/>
    </row>
    <row r="689">
      <c r="I689" s="3"/>
    </row>
    <row r="690">
      <c r="I690" s="3"/>
    </row>
    <row r="691">
      <c r="I691" s="3"/>
    </row>
    <row r="692">
      <c r="I692" s="3"/>
    </row>
    <row r="693">
      <c r="I693" s="3"/>
    </row>
    <row r="694">
      <c r="I694" s="3"/>
    </row>
    <row r="695">
      <c r="I695" s="3"/>
    </row>
    <row r="696">
      <c r="I696" s="3"/>
    </row>
    <row r="697">
      <c r="I697" s="3"/>
    </row>
    <row r="698">
      <c r="I698" s="3"/>
    </row>
    <row r="699">
      <c r="I699" s="3"/>
    </row>
    <row r="700">
      <c r="I700" s="3"/>
    </row>
    <row r="701">
      <c r="I701" s="3"/>
    </row>
    <row r="702">
      <c r="I702" s="3"/>
    </row>
    <row r="703">
      <c r="I703" s="3"/>
    </row>
    <row r="704">
      <c r="I704" s="3"/>
    </row>
    <row r="705">
      <c r="I705" s="3"/>
    </row>
    <row r="706">
      <c r="I706" s="3"/>
    </row>
    <row r="707">
      <c r="I707" s="3"/>
    </row>
    <row r="708">
      <c r="I708" s="3"/>
    </row>
    <row r="709">
      <c r="I709" s="3"/>
    </row>
    <row r="710">
      <c r="I710" s="3"/>
    </row>
    <row r="711">
      <c r="I711" s="3"/>
    </row>
    <row r="712">
      <c r="I712" s="3"/>
    </row>
    <row r="713">
      <c r="I713" s="3"/>
    </row>
    <row r="714">
      <c r="I714" s="3"/>
    </row>
    <row r="715">
      <c r="I715" s="3"/>
    </row>
    <row r="716">
      <c r="I716" s="3"/>
    </row>
    <row r="717">
      <c r="I717" s="3"/>
    </row>
    <row r="718">
      <c r="I718" s="3"/>
    </row>
    <row r="719">
      <c r="I719" s="3"/>
    </row>
    <row r="720">
      <c r="I720" s="3"/>
    </row>
    <row r="721">
      <c r="I721" s="3"/>
    </row>
    <row r="722">
      <c r="I722" s="3"/>
    </row>
    <row r="723">
      <c r="I723" s="3"/>
    </row>
    <row r="724">
      <c r="I724" s="3"/>
    </row>
    <row r="725">
      <c r="I725" s="3"/>
    </row>
    <row r="726">
      <c r="I726" s="3"/>
    </row>
    <row r="727">
      <c r="I727" s="3"/>
    </row>
    <row r="728">
      <c r="I728" s="3"/>
    </row>
    <row r="729">
      <c r="I729" s="3"/>
    </row>
    <row r="730">
      <c r="I730" s="3"/>
    </row>
    <row r="731">
      <c r="I731" s="3"/>
    </row>
    <row r="732">
      <c r="I732" s="3"/>
    </row>
    <row r="733">
      <c r="I733" s="3"/>
    </row>
    <row r="734">
      <c r="I734" s="3"/>
    </row>
    <row r="735">
      <c r="I735" s="3"/>
    </row>
    <row r="736">
      <c r="I736" s="3"/>
    </row>
    <row r="737">
      <c r="I737" s="3"/>
    </row>
    <row r="738">
      <c r="I738" s="3"/>
    </row>
    <row r="739">
      <c r="I739" s="3"/>
    </row>
    <row r="740">
      <c r="I740" s="3"/>
    </row>
    <row r="741">
      <c r="I741" s="3"/>
    </row>
    <row r="742">
      <c r="I742" s="3"/>
    </row>
    <row r="743">
      <c r="I743" s="3"/>
    </row>
    <row r="744">
      <c r="I744" s="3"/>
    </row>
    <row r="745">
      <c r="I745" s="3"/>
    </row>
    <row r="746">
      <c r="I746" s="3"/>
    </row>
    <row r="747">
      <c r="I747" s="3"/>
    </row>
    <row r="748">
      <c r="I748" s="3"/>
    </row>
    <row r="749">
      <c r="I749" s="3"/>
    </row>
    <row r="750">
      <c r="I750" s="3"/>
    </row>
    <row r="751">
      <c r="I751" s="3"/>
    </row>
    <row r="752">
      <c r="I752" s="3"/>
    </row>
    <row r="753">
      <c r="I753" s="3"/>
    </row>
    <row r="754">
      <c r="I754" s="3"/>
    </row>
    <row r="755">
      <c r="I755" s="3"/>
    </row>
    <row r="756">
      <c r="I756" s="3"/>
    </row>
    <row r="757">
      <c r="I757" s="3"/>
    </row>
    <row r="758">
      <c r="I758" s="3"/>
    </row>
    <row r="759">
      <c r="I759" s="3"/>
    </row>
    <row r="760">
      <c r="I760" s="3"/>
    </row>
    <row r="761">
      <c r="I761" s="3"/>
    </row>
    <row r="762">
      <c r="I762" s="3"/>
    </row>
    <row r="763">
      <c r="I763" s="3"/>
    </row>
    <row r="764">
      <c r="I764" s="3"/>
    </row>
    <row r="765">
      <c r="I765" s="3"/>
    </row>
    <row r="766">
      <c r="I766" s="3"/>
    </row>
    <row r="767">
      <c r="I767" s="3"/>
    </row>
    <row r="768">
      <c r="I768" s="3"/>
    </row>
    <row r="769">
      <c r="I769" s="3"/>
    </row>
    <row r="770">
      <c r="I770" s="3"/>
    </row>
    <row r="771">
      <c r="I771" s="3"/>
    </row>
    <row r="772">
      <c r="I772" s="3"/>
    </row>
    <row r="773">
      <c r="I773" s="3"/>
    </row>
    <row r="774">
      <c r="I774" s="3"/>
    </row>
    <row r="775">
      <c r="I775" s="3"/>
    </row>
    <row r="776">
      <c r="I776" s="3"/>
    </row>
    <row r="777">
      <c r="I777" s="3"/>
    </row>
    <row r="778">
      <c r="I778" s="3"/>
    </row>
    <row r="779">
      <c r="I779" s="3"/>
    </row>
    <row r="780">
      <c r="I780" s="3"/>
    </row>
    <row r="781">
      <c r="I781" s="3"/>
    </row>
    <row r="782">
      <c r="I782" s="3"/>
    </row>
    <row r="783">
      <c r="I783" s="3"/>
    </row>
    <row r="784">
      <c r="I784" s="3"/>
    </row>
    <row r="785">
      <c r="I785" s="3"/>
    </row>
    <row r="786">
      <c r="I786" s="3"/>
    </row>
    <row r="787">
      <c r="I787" s="3"/>
    </row>
    <row r="788">
      <c r="I788" s="3"/>
    </row>
    <row r="789">
      <c r="I789" s="3"/>
    </row>
    <row r="790">
      <c r="I790" s="3"/>
    </row>
    <row r="791">
      <c r="I791" s="3"/>
    </row>
    <row r="792">
      <c r="I792" s="3"/>
    </row>
    <row r="793">
      <c r="I793" s="3"/>
    </row>
    <row r="794">
      <c r="I794" s="3"/>
    </row>
    <row r="795">
      <c r="I795" s="3"/>
    </row>
    <row r="796">
      <c r="I796" s="3"/>
    </row>
    <row r="797">
      <c r="I797" s="3"/>
    </row>
    <row r="798">
      <c r="I798" s="3"/>
    </row>
    <row r="799">
      <c r="I799" s="3"/>
    </row>
    <row r="800">
      <c r="I800" s="3"/>
    </row>
    <row r="801">
      <c r="I801" s="3"/>
    </row>
    <row r="802">
      <c r="I802" s="3"/>
    </row>
    <row r="803">
      <c r="I803" s="3"/>
    </row>
    <row r="804">
      <c r="I804" s="3"/>
    </row>
    <row r="805">
      <c r="I805" s="3"/>
    </row>
    <row r="806">
      <c r="I806" s="3"/>
    </row>
    <row r="807">
      <c r="I807" s="3"/>
    </row>
    <row r="808">
      <c r="I808" s="3"/>
    </row>
    <row r="809">
      <c r="I809" s="3"/>
    </row>
    <row r="810">
      <c r="I810" s="3"/>
    </row>
    <row r="811">
      <c r="I811" s="3"/>
    </row>
    <row r="812">
      <c r="I812" s="3"/>
    </row>
    <row r="813">
      <c r="I813" s="3"/>
    </row>
    <row r="814">
      <c r="I814" s="3"/>
    </row>
    <row r="815">
      <c r="I815" s="3"/>
    </row>
    <row r="816">
      <c r="I816" s="3"/>
    </row>
    <row r="817">
      <c r="I817" s="3"/>
    </row>
    <row r="818">
      <c r="I818" s="3"/>
    </row>
    <row r="819">
      <c r="I819" s="3"/>
    </row>
    <row r="820">
      <c r="I820" s="3"/>
    </row>
    <row r="821">
      <c r="I821" s="3"/>
    </row>
    <row r="822">
      <c r="I822" s="3"/>
    </row>
    <row r="823">
      <c r="I823" s="3"/>
    </row>
    <row r="824">
      <c r="I824" s="3"/>
    </row>
    <row r="825">
      <c r="I825" s="3"/>
    </row>
    <row r="826">
      <c r="I826" s="3"/>
    </row>
    <row r="827">
      <c r="I827" s="3"/>
    </row>
    <row r="828">
      <c r="I828" s="3"/>
    </row>
    <row r="829">
      <c r="I829" s="3"/>
    </row>
    <row r="830">
      <c r="I830" s="3"/>
    </row>
    <row r="831">
      <c r="I831" s="3"/>
    </row>
    <row r="832">
      <c r="I832" s="3"/>
    </row>
    <row r="833">
      <c r="I833" s="3"/>
    </row>
    <row r="834">
      <c r="I834" s="3"/>
    </row>
    <row r="835">
      <c r="I835" s="3"/>
    </row>
    <row r="836">
      <c r="I836" s="3"/>
    </row>
    <row r="837">
      <c r="I837" s="3"/>
    </row>
    <row r="838">
      <c r="I838" s="3"/>
    </row>
    <row r="839">
      <c r="I839" s="3"/>
    </row>
    <row r="840">
      <c r="I840" s="3"/>
    </row>
    <row r="841">
      <c r="I841" s="3"/>
    </row>
    <row r="842">
      <c r="I842" s="3"/>
    </row>
    <row r="843">
      <c r="I843" s="3"/>
    </row>
    <row r="844">
      <c r="I844" s="3"/>
    </row>
    <row r="845">
      <c r="I845" s="3"/>
    </row>
    <row r="846">
      <c r="I846" s="3"/>
    </row>
    <row r="847">
      <c r="I847" s="3"/>
    </row>
    <row r="848">
      <c r="I848" s="3"/>
    </row>
    <row r="849">
      <c r="I849" s="3"/>
    </row>
    <row r="850">
      <c r="I850" s="3"/>
    </row>
    <row r="851">
      <c r="I851" s="3"/>
    </row>
    <row r="852">
      <c r="I852" s="3"/>
    </row>
    <row r="853">
      <c r="I853" s="3"/>
    </row>
    <row r="854">
      <c r="I854" s="3"/>
    </row>
    <row r="855">
      <c r="I855" s="3"/>
    </row>
    <row r="856">
      <c r="I856" s="3"/>
    </row>
    <row r="857">
      <c r="I857" s="3"/>
    </row>
    <row r="858">
      <c r="I858" s="3"/>
    </row>
    <row r="859">
      <c r="I859" s="3"/>
    </row>
    <row r="860">
      <c r="I860" s="3"/>
    </row>
    <row r="861">
      <c r="I861" s="3"/>
    </row>
    <row r="862">
      <c r="I862" s="3"/>
    </row>
    <row r="863">
      <c r="I863" s="3"/>
    </row>
    <row r="864">
      <c r="I864" s="3"/>
    </row>
    <row r="865">
      <c r="I865" s="3"/>
    </row>
    <row r="866">
      <c r="I866" s="3"/>
    </row>
    <row r="867">
      <c r="I867" s="3"/>
    </row>
    <row r="868">
      <c r="I868" s="3"/>
    </row>
    <row r="869">
      <c r="I869" s="3"/>
    </row>
    <row r="870">
      <c r="I870" s="3"/>
    </row>
    <row r="871">
      <c r="I871" s="3"/>
    </row>
    <row r="872">
      <c r="I872" s="3"/>
    </row>
    <row r="873">
      <c r="I873" s="3"/>
    </row>
    <row r="874">
      <c r="I874" s="3"/>
    </row>
    <row r="875">
      <c r="I875" s="3"/>
    </row>
    <row r="876">
      <c r="I876" s="3"/>
    </row>
    <row r="877">
      <c r="I877" s="3"/>
    </row>
    <row r="878">
      <c r="I878" s="3"/>
    </row>
    <row r="879">
      <c r="I879" s="3"/>
    </row>
    <row r="880">
      <c r="I880" s="3"/>
    </row>
    <row r="881">
      <c r="I881" s="3"/>
    </row>
    <row r="882">
      <c r="I882" s="3"/>
    </row>
    <row r="883">
      <c r="I883" s="3"/>
    </row>
    <row r="884">
      <c r="I884" s="3"/>
    </row>
    <row r="885">
      <c r="I885" s="3"/>
    </row>
    <row r="886">
      <c r="I886" s="3"/>
    </row>
    <row r="887">
      <c r="I887" s="3"/>
    </row>
    <row r="888">
      <c r="I888" s="3"/>
    </row>
    <row r="889">
      <c r="I889" s="3"/>
    </row>
    <row r="890">
      <c r="I890" s="3"/>
    </row>
    <row r="891">
      <c r="I891" s="3"/>
    </row>
    <row r="892">
      <c r="I892" s="3"/>
    </row>
    <row r="893">
      <c r="I893" s="3"/>
    </row>
    <row r="894">
      <c r="I894" s="3"/>
    </row>
    <row r="895">
      <c r="I895" s="3"/>
    </row>
    <row r="896">
      <c r="I896" s="3"/>
    </row>
    <row r="897">
      <c r="I897" s="3"/>
    </row>
    <row r="898">
      <c r="I898" s="3"/>
    </row>
    <row r="899">
      <c r="I899" s="3"/>
    </row>
    <row r="900">
      <c r="I900" s="3"/>
    </row>
    <row r="901">
      <c r="I901" s="3"/>
    </row>
    <row r="902">
      <c r="I902" s="3"/>
    </row>
    <row r="903">
      <c r="I903" s="3"/>
    </row>
    <row r="904">
      <c r="I904" s="3"/>
    </row>
    <row r="905">
      <c r="I905" s="3"/>
    </row>
    <row r="906">
      <c r="I906" s="3"/>
    </row>
    <row r="907">
      <c r="I907" s="3"/>
    </row>
    <row r="908">
      <c r="I908" s="3"/>
    </row>
    <row r="909">
      <c r="I909" s="3"/>
    </row>
    <row r="910">
      <c r="I910" s="3"/>
    </row>
    <row r="911">
      <c r="I911" s="3"/>
    </row>
    <row r="912">
      <c r="I912" s="3"/>
    </row>
    <row r="913">
      <c r="I913" s="3"/>
    </row>
    <row r="914">
      <c r="I914" s="3"/>
    </row>
    <row r="915">
      <c r="I915" s="3"/>
    </row>
    <row r="916">
      <c r="I916" s="3"/>
    </row>
    <row r="917">
      <c r="I917" s="3"/>
    </row>
    <row r="918">
      <c r="I918" s="3"/>
    </row>
    <row r="919">
      <c r="I919" s="3"/>
    </row>
    <row r="920">
      <c r="I920" s="3"/>
    </row>
    <row r="921">
      <c r="I921" s="3"/>
    </row>
    <row r="922">
      <c r="I922" s="3"/>
    </row>
    <row r="923">
      <c r="I923" s="3"/>
    </row>
    <row r="924">
      <c r="I924" s="3"/>
    </row>
    <row r="925">
      <c r="I925" s="3"/>
    </row>
    <row r="926">
      <c r="I926" s="3"/>
    </row>
    <row r="927">
      <c r="I927" s="3"/>
    </row>
    <row r="928">
      <c r="I928" s="3"/>
    </row>
    <row r="929">
      <c r="I929" s="3"/>
    </row>
    <row r="930">
      <c r="I930" s="3"/>
    </row>
    <row r="931">
      <c r="I931" s="3"/>
    </row>
    <row r="932">
      <c r="I932" s="3"/>
    </row>
    <row r="933">
      <c r="I933" s="3"/>
    </row>
    <row r="934">
      <c r="I934" s="3"/>
    </row>
    <row r="935">
      <c r="I935" s="3"/>
    </row>
    <row r="936">
      <c r="I936" s="3"/>
    </row>
    <row r="937">
      <c r="I937" s="3"/>
    </row>
    <row r="938">
      <c r="I938" s="3"/>
    </row>
    <row r="939">
      <c r="I939" s="3"/>
    </row>
    <row r="940">
      <c r="I940" s="3"/>
    </row>
    <row r="941">
      <c r="I941" s="3"/>
    </row>
    <row r="942">
      <c r="I942" s="3"/>
    </row>
    <row r="943">
      <c r="I943" s="3"/>
    </row>
    <row r="944">
      <c r="I944" s="3"/>
    </row>
    <row r="945">
      <c r="I945" s="3"/>
    </row>
    <row r="946">
      <c r="I946" s="3"/>
    </row>
    <row r="947">
      <c r="I947" s="3"/>
    </row>
    <row r="948">
      <c r="I948" s="3"/>
    </row>
    <row r="949">
      <c r="I949" s="3"/>
    </row>
    <row r="950">
      <c r="I950" s="3"/>
    </row>
    <row r="951">
      <c r="I951" s="3"/>
    </row>
    <row r="952">
      <c r="I952" s="3"/>
    </row>
    <row r="953">
      <c r="I953" s="3"/>
    </row>
    <row r="954">
      <c r="I954" s="3"/>
    </row>
    <row r="955">
      <c r="I955" s="3"/>
    </row>
    <row r="956">
      <c r="I956" s="3"/>
    </row>
    <row r="957">
      <c r="I957" s="3"/>
    </row>
    <row r="958">
      <c r="I958" s="3"/>
    </row>
    <row r="959">
      <c r="I959" s="3"/>
    </row>
    <row r="960">
      <c r="I960" s="3"/>
    </row>
    <row r="961">
      <c r="I961" s="3"/>
    </row>
    <row r="962">
      <c r="I962" s="3"/>
    </row>
    <row r="963">
      <c r="I963" s="3"/>
    </row>
    <row r="964">
      <c r="I964" s="3"/>
    </row>
    <row r="965">
      <c r="I965" s="3"/>
    </row>
    <row r="966">
      <c r="I966" s="3"/>
    </row>
    <row r="967">
      <c r="I967" s="3"/>
    </row>
    <row r="968">
      <c r="I968" s="3"/>
    </row>
    <row r="969">
      <c r="I969" s="3"/>
    </row>
    <row r="970">
      <c r="I970" s="3"/>
    </row>
    <row r="971">
      <c r="I971" s="3"/>
    </row>
    <row r="972">
      <c r="I972" s="3"/>
    </row>
    <row r="973">
      <c r="I973" s="3"/>
    </row>
    <row r="974">
      <c r="I974" s="3"/>
    </row>
    <row r="975">
      <c r="I975" s="3"/>
    </row>
    <row r="976">
      <c r="I976" s="3"/>
    </row>
    <row r="977">
      <c r="I977" s="3"/>
    </row>
    <row r="978">
      <c r="I978" s="3"/>
    </row>
    <row r="979">
      <c r="I979" s="3"/>
    </row>
    <row r="980">
      <c r="I980" s="3"/>
    </row>
  </sheetData>
  <conditionalFormatting sqref="H9:H39">
    <cfRule type="colorScale" priority="1">
      <colorScale>
        <cfvo type="formula" val="0"/>
        <cfvo type="formula" val="75"/>
        <color rgb="FFE06666"/>
        <color rgb="FFFFFFFF"/>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2" t="str">
        <f>IFERROR(__xludf.DUMMYFUNCTION("IMPORTRANGE(""https://docs.google.com/spreadsheets/d/1wWQL02ApYAhLCZS6OKgyAySYfHOCW6yGVW5LGXUKM9k/edit#gid=1304337304"", ""$A:$F"")"),"Timestamp")</f>
        <v>Timestamp</v>
      </c>
      <c r="B1" s="42" t="str">
        <f>IFERROR(__xludf.DUMMYFUNCTION("""COMPUTED_VALUE"""),"Name")</f>
        <v>Name</v>
      </c>
      <c r="C1" s="42" t="str">
        <f>IFERROR(__xludf.DUMMYFUNCTION("""COMPUTED_VALUE"""),"Date (Today)")</f>
        <v>Date (Today)</v>
      </c>
      <c r="D1" s="42" t="str">
        <f>IFERROR(__xludf.DUMMYFUNCTION("""COMPUTED_VALUE"""),"Yesterday")</f>
        <v>Yesterday</v>
      </c>
      <c r="E1" s="42" t="str">
        <f>IFERROR(__xludf.DUMMYFUNCTION("""COMPUTED_VALUE"""),"Problem")</f>
        <v>Problem</v>
      </c>
      <c r="F1" s="42" t="str">
        <f>IFERROR(__xludf.DUMMYFUNCTION("""COMPUTED_VALUE"""),"Today")</f>
        <v>Today</v>
      </c>
    </row>
    <row r="2">
      <c r="A2" s="43">
        <f>IFERROR(__xludf.DUMMYFUNCTION("""COMPUTED_VALUE"""),44083.36043450232)</f>
        <v>44083.36043</v>
      </c>
      <c r="B2" s="42" t="str">
        <f>IFERROR(__xludf.DUMMYFUNCTION("""COMPUTED_VALUE"""),"Furoidah Chilmi")</f>
        <v>Furoidah Chilmi</v>
      </c>
      <c r="C2" s="44">
        <f>IFERROR(__xludf.DUMMYFUNCTION("""COMPUTED_VALUE"""),44083.0)</f>
        <v>44083</v>
      </c>
      <c r="D2" s="42" t="str">
        <f>IFERROR(__xludf.DUMMYFUNCTION("""COMPUTED_VALUE"""),"do number 1 task")</f>
        <v>do number 1 task</v>
      </c>
      <c r="E2" s="42" t="str">
        <f>IFERROR(__xludf.DUMMYFUNCTION("""COMPUTED_VALUE"""),"1. dont know how to do for next number
2. CRUD, as i know before, always use database, so i have no idea what step i should do. i tried, watched, and read some tutorials but i still dont know how. ")</f>
        <v>1. dont know how to do for next number
2. CRUD, as i know before, always use database, so i have no idea what step i should do. i tried, watched, and read some tutorials but i still dont know how. </v>
      </c>
      <c r="F2" s="42" t="str">
        <f>IFERROR(__xludf.DUMMYFUNCTION("""COMPUTED_VALUE"""),"1. complete the task, after 
2. complete the bootstrap task before")</f>
        <v>1. complete the task, after 
2. complete the bootstrap task before</v>
      </c>
    </row>
    <row r="3">
      <c r="A3" s="43">
        <f>IFERROR(__xludf.DUMMYFUNCTION("""COMPUTED_VALUE"""),44083.37488166666)</f>
        <v>44083.37488</v>
      </c>
      <c r="B3" s="42" t="str">
        <f>IFERROR(__xludf.DUMMYFUNCTION("""COMPUTED_VALUE"""),"Pramesti Regita Cahyani")</f>
        <v>Pramesti Regita Cahyani</v>
      </c>
      <c r="C3" s="44">
        <f>IFERROR(__xludf.DUMMYFUNCTION("""COMPUTED_VALUE"""),44083.0)</f>
        <v>44083</v>
      </c>
      <c r="D3" s="42" t="str">
        <f>IFERROR(__xludf.DUMMYFUNCTION("""COMPUTED_VALUE"""),"1. Membuat method GET '/home' yang menampilkan response 'Welcome to my first backend'
2. Membuat method POST '/data' yang menampilkan data di console.log")</f>
        <v>1. Membuat method GET '/home' yang menampilkan response 'Welcome to my first backend'
2. Membuat method POST '/data' yang menampilkan data di console.log</v>
      </c>
      <c r="E3" s="42" t="str">
        <f>IFERROR(__xludf.DUMMYFUNCTION("""COMPUTED_VALUE"""),"1. Saat membuat POST harus menggunakan html, masih ragu untuk membuat file html karena kemarin belum didemokan
2. Kadang ada error port 8080 in used, saya tidak tahu apa itu maksudnya, kalau udah muncul ini, harus di close dulu tab Chrome dan VSCode nya
3"&amp;". Belum paham cara menggunakan POST
4. Sisa tugas yang lain belum saya coba karena berhenti di nomor 3")</f>
        <v>1. Saat membuat POST harus menggunakan html, masih ragu untuk membuat file html karena kemarin belum didemokan
2. Kadang ada error port 8080 in used, saya tidak tahu apa itu maksudnya, kalau udah muncul ini, harus di close dulu tab Chrome dan VSCode nya
3. Belum paham cara menggunakan POST
4. Sisa tugas yang lain belum saya coba karena berhenti di nomor 3</v>
      </c>
      <c r="F3" s="42" t="str">
        <f>IFERROR(__xludf.DUMMYFUNCTION("""COMPUTED_VALUE"""),"1. Menyelesaikan tugas
2. Mencari penyelesaian yang benar untuk soal nomor 2")</f>
        <v>1. Menyelesaikan tugas
2. Mencari penyelesaian yang benar untuk soal nomor 2</v>
      </c>
    </row>
    <row r="4">
      <c r="A4" s="43">
        <f>IFERROR(__xludf.DUMMYFUNCTION("""COMPUTED_VALUE"""),44083.37677884259)</f>
        <v>44083.37678</v>
      </c>
      <c r="B4" s="42" t="str">
        <f>IFERROR(__xludf.DUMMYFUNCTION("""COMPUTED_VALUE"""),"Fahmi Aziz Ismail")</f>
        <v>Fahmi Aziz Ismail</v>
      </c>
      <c r="C4" s="44">
        <f>IFERROR(__xludf.DUMMYFUNCTION("""COMPUTED_VALUE"""),44083.0)</f>
        <v>44083</v>
      </c>
      <c r="D4" s="42" t="str">
        <f>IFERROR(__xludf.DUMMYFUNCTION("""COMPUTED_VALUE"""),"saya sudah mengerjakan nomor 1 dan nomor 6 yang menggunakan method get")</f>
        <v>saya sudah mengerjakan nomor 1 dan nomor 6 yang menggunakan method get</v>
      </c>
      <c r="E4" s="42" t="str">
        <f>IFERROR(__xludf.DUMMYFUNCTION("""COMPUTED_VALUE"""),"ketika memakai method post data tidak tampil saya juga belum memahami penggunaan method post")</f>
        <v>ketika memakai method post data tidak tampil saya juga belum memahami penggunaan method post</v>
      </c>
      <c r="F4" s="42" t="str">
        <f>IFERROR(__xludf.DUMMYFUNCTION("""COMPUTED_VALUE"""),"ingin memahami cara penggunaan method post, put, dan  patch")</f>
        <v>ingin memahami cara penggunaan method post, put, dan  patch</v>
      </c>
    </row>
    <row r="5">
      <c r="A5" s="43">
        <f>IFERROR(__xludf.DUMMYFUNCTION("""COMPUTED_VALUE"""),44083.376842384256)</f>
        <v>44083.37684</v>
      </c>
      <c r="B5" s="42" t="str">
        <f>IFERROR(__xludf.DUMMYFUNCTION("""COMPUTED_VALUE"""),"Iqbal Athorid")</f>
        <v>Iqbal Athorid</v>
      </c>
      <c r="C5" s="44">
        <f>IFERROR(__xludf.DUMMYFUNCTION("""COMPUTED_VALUE"""),44083.0)</f>
        <v>44083</v>
      </c>
      <c r="D5" s="42" t="str">
        <f>IFERROR(__xludf.DUMMYFUNCTION("""COMPUTED_VALUE"""),"mengerjakan perogram method get,post,put,patch,delete")</f>
        <v>mengerjakan perogram method get,post,put,patch,delete</v>
      </c>
      <c r="E5" s="42" t="str">
        <f>IFERROR(__xludf.DUMMYFUNCTION("""COMPUTED_VALUE"""),"pada method put,patch,dan delete saya todak tau caranya buat ngubah sebuah variabel data, jadi saya hanya mengerjakannya seakan-akan data variabel tersebut adalah data dari database")</f>
        <v>pada method put,patch,dan delete saya todak tau caranya buat ngubah sebuah variabel data, jadi saya hanya mengerjakannya seakan-akan data variabel tersebut adalah data dari database</v>
      </c>
      <c r="F5" s="42" t="str">
        <f>IFERROR(__xludf.DUMMYFUNCTION("""COMPUTED_VALUE"""),"lebih dalam memahami express, dan method put,patch")</f>
        <v>lebih dalam memahami express, dan method put,patch</v>
      </c>
    </row>
    <row r="6">
      <c r="A6" s="43">
        <f>IFERROR(__xludf.DUMMYFUNCTION("""COMPUTED_VALUE"""),44083.37840872685)</f>
        <v>44083.37841</v>
      </c>
      <c r="B6" s="42" t="str">
        <f>IFERROR(__xludf.DUMMYFUNCTION("""COMPUTED_VALUE"""),"Rezha Maulana Jaya")</f>
        <v>Rezha Maulana Jaya</v>
      </c>
      <c r="C6" s="44">
        <f>IFERROR(__xludf.DUMMYFUNCTION("""COMPUTED_VALUE"""),44083.0)</f>
        <v>44083</v>
      </c>
      <c r="D6" s="42" t="str">
        <f>IFERROR(__xludf.DUMMYFUNCTION("""COMPUTED_VALUE"""),"saya mengerjakan get no1 , post no 2 dan no 3 , patch no4 .")</f>
        <v>saya mengerjakan get no1 , post no 2 dan no 3 , patch no4 .</v>
      </c>
      <c r="E6" s="42" t="str">
        <f>IFERROR(__xludf.DUMMYFUNCTION("""COMPUTED_VALUE"""),"kondisi badan tidak memadai jadi belum beres, kesulitan di tugas  memhami body parser dan ketika sudah POST data ketika di GET ga muncul ,jadi bingung  apakah itu tersimpan atau tidaknya")</f>
        <v>kondisi badan tidak memadai jadi belum beres, kesulitan di tugas  memhami body parser dan ketika sudah POST data ketika di GET ga muncul ,jadi bingung  apakah itu tersimpan atau tidaknya</v>
      </c>
      <c r="F6" s="42" t="str">
        <f>IFERROR(__xludf.DUMMYFUNCTION("""COMPUTED_VALUE"""),"menyempurnakan yang belum
")</f>
        <v>menyempurnakan yang belum
</v>
      </c>
    </row>
    <row r="7">
      <c r="A7" s="43">
        <f>IFERROR(__xludf.DUMMYFUNCTION("""COMPUTED_VALUE"""),44083.37984541667)</f>
        <v>44083.37985</v>
      </c>
      <c r="B7" s="42" t="str">
        <f>IFERROR(__xludf.DUMMYFUNCTION("""COMPUTED_VALUE"""),"Wahyu Ramadhan")</f>
        <v>Wahyu Ramadhan</v>
      </c>
      <c r="C7" s="44">
        <f>IFERROR(__xludf.DUMMYFUNCTION("""COMPUTED_VALUE"""),36597.0)</f>
        <v>36597</v>
      </c>
      <c r="D7" s="42" t="str">
        <f>IFERROR(__xludf.DUMMYFUNCTION("""COMPUTED_VALUE"""),"create get and post method in express.js")</f>
        <v>create get and post method in express.js</v>
      </c>
      <c r="E7" s="42" t="str">
        <f>IFERROR(__xludf.DUMMYFUNCTION("""COMPUTED_VALUE"""),"yes, I can finish get and post but I don't understand the flow")</f>
        <v>yes, I can finish get and post but I don't understand the flow</v>
      </c>
      <c r="F7" s="42" t="str">
        <f>IFERROR(__xludf.DUMMYFUNCTION("""COMPUTED_VALUE"""),"create crud in express.js and understand the express.js flow")</f>
        <v>create crud in express.js and understand the express.js flow</v>
      </c>
    </row>
    <row r="8">
      <c r="A8" s="43">
        <f>IFERROR(__xludf.DUMMYFUNCTION("""COMPUTED_VALUE"""),44083.38092643519)</f>
        <v>44083.38093</v>
      </c>
      <c r="B8" s="42" t="str">
        <f>IFERROR(__xludf.DUMMYFUNCTION("""COMPUTED_VALUE"""),"Timotius Simanjuntak")</f>
        <v>Timotius Simanjuntak</v>
      </c>
      <c r="C8" s="44">
        <f>IFERROR(__xludf.DUMMYFUNCTION("""COMPUTED_VALUE"""),44083.0)</f>
        <v>44083</v>
      </c>
      <c r="D8" s="42" t="str">
        <f>IFERROR(__xludf.DUMMYFUNCTION("""COMPUTED_VALUE"""),"belajar tentang express js")</f>
        <v>belajar tentang express js</v>
      </c>
      <c r="E8" s="42" t="str">
        <f>IFERROR(__xludf.DUMMYFUNCTION("""COMPUTED_VALUE"""),"masih belum paham cara menggunakan method post, put, dan delete")</f>
        <v>masih belum paham cara menggunakan method post, put, dan delete</v>
      </c>
      <c r="F8" s="42" t="str">
        <f>IFERROR(__xludf.DUMMYFUNCTION("""COMPUTED_VALUE"""),"ingin mempelajari lebih dalam")</f>
        <v>ingin mempelajari lebih dalam</v>
      </c>
    </row>
    <row r="9">
      <c r="A9" s="43">
        <f>IFERROR(__xludf.DUMMYFUNCTION("""COMPUTED_VALUE"""),44083.38292886574)</f>
        <v>44083.38293</v>
      </c>
      <c r="B9" s="42" t="str">
        <f>IFERROR(__xludf.DUMMYFUNCTION("""COMPUTED_VALUE"""),"Ahmad Fatkhul Amam")</f>
        <v>Ahmad Fatkhul Amam</v>
      </c>
      <c r="C9" s="44">
        <f>IFERROR(__xludf.DUMMYFUNCTION("""COMPUTED_VALUE"""),37218.0)</f>
        <v>37218</v>
      </c>
      <c r="D9" s="42" t="str">
        <f>IFERROR(__xludf.DUMMYFUNCTION("""COMPUTED_VALUE"""),"try express js basic CRUD with the .get method to display the data and .post methode to enter the data value")</f>
        <v>try express js basic CRUD with the .get method to display the data and .post methode to enter the data value</v>
      </c>
      <c r="E9" s="42" t="str">
        <f>IFERROR(__xludf.DUMMYFUNCTION("""COMPUTED_VALUE"""),"yes, i got many problem")</f>
        <v>yes, i got many problem</v>
      </c>
      <c r="F9" s="42" t="str">
        <f>IFERROR(__xludf.DUMMYFUNCTION("""COMPUTED_VALUE"""),"i plan to study and practic abaout .post methode , .patch methode , .put methode, .delete methode in node js with express framework")</f>
        <v>i plan to study and practic abaout .post methode , .patch methode , .put methode, .delete methode in node js with express framework</v>
      </c>
    </row>
    <row r="10">
      <c r="A10" s="43">
        <f>IFERROR(__xludf.DUMMYFUNCTION("""COMPUTED_VALUE"""),44083.38516936342)</f>
        <v>44083.38517</v>
      </c>
      <c r="B10" s="42" t="str">
        <f>IFERROR(__xludf.DUMMYFUNCTION("""COMPUTED_VALUE"""),"Muhamad Faris Alkodri")</f>
        <v>Muhamad Faris Alkodri</v>
      </c>
      <c r="C10" s="44">
        <f>IFERROR(__xludf.DUMMYFUNCTION("""COMPUTED_VALUE"""),44083.0)</f>
        <v>44083</v>
      </c>
      <c r="D10" s="42" t="str">
        <f>IFERROR(__xludf.DUMMYFUNCTION("""COMPUTED_VALUE"""),"I've done the first three task those are GET Path, POST on console.log and POST on response")</f>
        <v>I've done the first three task those are GET Path, POST on console.log and POST on response</v>
      </c>
      <c r="E10" s="42" t="str">
        <f>IFERROR(__xludf.DUMMYFUNCTION("""COMPUTED_VALUE"""),"I had a problem on doing it without external html/ejs file so i made the ejs file to apply the POST method, for the other task i don't know how the PATCH, and PUT methods work, I was searching for the documentations and it doesn't help me much, because i "&amp;"think i should know its paradigms on editing the data.")</f>
        <v>I had a problem on doing it without external html/ejs file so i made the ejs file to apply the POST method, for the other task i don't know how the PATCH, and PUT methods work, I was searching for the documentations and it doesn't help me much, because i think i should know its paradigms on editing the data.</v>
      </c>
      <c r="F10" s="42" t="str">
        <f>IFERROR(__xludf.DUMMYFUNCTION("""COMPUTED_VALUE"""),"My plan for today is searching another documentation and asking some friends who know how PUT, and PATCH methods work, and also continuing to do the tasks that Mas Irul have given to me")</f>
        <v>My plan for today is searching another documentation and asking some friends who know how PUT, and PATCH methods work, and also continuing to do the tasks that Mas Irul have given to me</v>
      </c>
    </row>
    <row r="11">
      <c r="A11" s="43">
        <f>IFERROR(__xludf.DUMMYFUNCTION("""COMPUTED_VALUE"""),44083.38807076389)</f>
        <v>44083.38807</v>
      </c>
      <c r="B11" s="42" t="str">
        <f>IFERROR(__xludf.DUMMYFUNCTION("""COMPUTED_VALUE"""),"Muhammad")</f>
        <v>Muhammad</v>
      </c>
      <c r="C11" s="44">
        <f>IFERROR(__xludf.DUMMYFUNCTION("""COMPUTED_VALUE"""),44083.0)</f>
        <v>44083</v>
      </c>
      <c r="D11" s="42" t="str">
        <f>IFERROR(__xludf.DUMMYFUNCTION("""COMPUTED_VALUE"""),"Create GET method in express js
Learn POST method in express js")</f>
        <v>Create GET method in express js
Learn POST method in express js</v>
      </c>
      <c r="E11" s="42" t="str">
        <f>IFERROR(__xludf.DUMMYFUNCTION("""COMPUTED_VALUE"""),"Yes, my problem is about http, method, web server, and something about express js")</f>
        <v>Yes, my problem is about http, method, web server, and something about express js</v>
      </c>
      <c r="F11" s="42" t="str">
        <f>IFERROR(__xludf.DUMMYFUNCTION("""COMPUTED_VALUE"""),"Learn basic for backend development
And express js")</f>
        <v>Learn basic for backend development
And express js</v>
      </c>
    </row>
    <row r="12">
      <c r="A12" s="43">
        <f>IFERROR(__xludf.DUMMYFUNCTION("""COMPUTED_VALUE"""),44083.390413229165)</f>
        <v>44083.39041</v>
      </c>
      <c r="B12" s="42" t="str">
        <f>IFERROR(__xludf.DUMMYFUNCTION("""COMPUTED_VALUE"""),"Ahmad Asrofi")</f>
        <v>Ahmad Asrofi</v>
      </c>
      <c r="C12" s="44">
        <f>IFERROR(__xludf.DUMMYFUNCTION("""COMPUTED_VALUE"""),44083.0)</f>
        <v>44083</v>
      </c>
      <c r="D12" s="42" t="str">
        <f>IFERROR(__xludf.DUMMYFUNCTION("""COMPUTED_VALUE"""),"Making a program HTTP method and reading reference for Express.js")</f>
        <v>Making a program HTTP method and reading reference for Express.js</v>
      </c>
      <c r="E12" s="42" t="str">
        <f>IFERROR(__xludf.DUMMYFUNCTION("""COMPUTED_VALUE"""),"I got confused when  i implemented POST, PATCH, PUT and DELETE methods. What do they need a HTML's file for running those methods?")</f>
        <v>I got confused when  i implemented POST, PATCH, PUT and DELETE methods. What do they need a HTML's file for running those methods?</v>
      </c>
      <c r="F12" s="42" t="str">
        <f>IFERROR(__xludf.DUMMYFUNCTION("""COMPUTED_VALUE"""),"i'm going to figure out those methods more, and how to impliment those methods")</f>
        <v>i'm going to figure out those methods more, and how to impliment those methods</v>
      </c>
    </row>
    <row r="13">
      <c r="A13" s="43">
        <f>IFERROR(__xludf.DUMMYFUNCTION("""COMPUTED_VALUE"""),44083.39397844908)</f>
        <v>44083.39398</v>
      </c>
      <c r="B13" s="42" t="str">
        <f>IFERROR(__xludf.DUMMYFUNCTION("""COMPUTED_VALUE"""),"Muhammad Abdurasyid")</f>
        <v>Muhammad Abdurasyid</v>
      </c>
      <c r="C13" s="44">
        <f>IFERROR(__xludf.DUMMYFUNCTION("""COMPUTED_VALUE"""),44083.0)</f>
        <v>44083</v>
      </c>
      <c r="D13" s="42" t="str">
        <f>IFERROR(__xludf.DUMMYFUNCTION("""COMPUTED_VALUE"""),"1. revisi tugas bootstrap agar menjadi responsive web dgn menggunakan media query dan kelas bawaan bootstrap
2. mempelajari cara penggunaan method GET, POST, DELETE, PUT, PATCH pada Express JS
3. menggunakan teknik app.route() utk menulis sebuah path/rout"&amp;"e dgn berbagai method yg berbeda
")</f>
        <v>1. revisi tugas bootstrap agar menjadi responsive web dgn menggunakan media query dan kelas bawaan bootstrap
2. mempelajari cara penggunaan method GET, POST, DELETE, PUT, PATCH pada Express JS
3. menggunakan teknik app.route() utk menulis sebuah path/route dgn berbagai method yg berbeda
</v>
      </c>
      <c r="E13" s="42" t="str">
        <f>IFERROR(__xludf.DUMMYFUNCTION("""COMPUTED_VALUE"""),"Tugas nomor 5 saya tidak terlalu paham, maksudnya ketika key tidak lengkap atau salah satu value bernilai null/kosong?")</f>
        <v>Tugas nomor 5 saya tidak terlalu paham, maksudnya ketika key tidak lengkap atau salah satu value bernilai null/kosong?</v>
      </c>
      <c r="F13" s="42" t="str">
        <f>IFERROR(__xludf.DUMMYFUNCTION("""COMPUTED_VALUE"""),"Mengikuti materi baru &amp; belajar prakteknya melalui tugas yg diberikan")</f>
        <v>Mengikuti materi baru &amp; belajar prakteknya melalui tugas yg diberikan</v>
      </c>
    </row>
    <row r="14">
      <c r="A14" s="43">
        <f>IFERROR(__xludf.DUMMYFUNCTION("""COMPUTED_VALUE"""),44083.39480234953)</f>
        <v>44083.3948</v>
      </c>
      <c r="B14" s="42" t="str">
        <f>IFERROR(__xludf.DUMMYFUNCTION("""COMPUTED_VALUE"""),"Satrio Nugroho")</f>
        <v>Satrio Nugroho</v>
      </c>
      <c r="C14" s="44">
        <f>IFERROR(__xludf.DUMMYFUNCTION("""COMPUTED_VALUE"""),37530.0)</f>
        <v>37530</v>
      </c>
      <c r="D14" s="42" t="str">
        <f>IFERROR(__xludf.DUMMYFUNCTION("""COMPUTED_VALUE"""),"mencoba membuat web api dengan express js")</f>
        <v>mencoba membuat web api dengan express js</v>
      </c>
      <c r="E14" s="42" t="str">
        <f>IFERROR(__xludf.DUMMYFUNCTION("""COMPUTED_VALUE"""),"belum terlalu paham denga method post/ put/path/delete ... belum paham cara implementasikannya")</f>
        <v>belum terlalu paham denga method post/ put/path/delete ... belum paham cara implementasikannya</v>
      </c>
      <c r="F14" s="42" t="str">
        <f>IFERROR(__xludf.DUMMYFUNCTION("""COMPUTED_VALUE"""),"melanjutkan materi dan membahas tentang web api/rest api yang telah dibuat")</f>
        <v>melanjutkan materi dan membahas tentang web api/rest api yang telah dibuat</v>
      </c>
    </row>
    <row r="15">
      <c r="A15" s="43">
        <f>IFERROR(__xludf.DUMMYFUNCTION("""COMPUTED_VALUE"""),44084.28177739584)</f>
        <v>44084.28178</v>
      </c>
      <c r="B15" s="42" t="str">
        <f>IFERROR(__xludf.DUMMYFUNCTION("""COMPUTED_VALUE"""),"Iqbal Athorid")</f>
        <v>Iqbal Athorid</v>
      </c>
      <c r="C15" s="44">
        <f>IFERROR(__xludf.DUMMYFUNCTION("""COMPUTED_VALUE"""),44084.0)</f>
        <v>44084</v>
      </c>
      <c r="D15" s="42" t="str">
        <f>IFERROR(__xludf.DUMMYFUNCTION("""COMPUTED_VALUE"""),"create connection to database mysql, create postman collection to strore endpoint's, create CRUD for items table")</f>
        <v>create connection to database mysql, create postman collection to strore endpoint's, create CRUD for items table</v>
      </c>
      <c r="E15" s="42" t="str">
        <f>IFERROR(__xludf.DUMMYFUNCTION("""COMPUTED_VALUE"""),"i got confused when implemented patch method. I know patch method using for when we change one or more data, but when i tried to make patch method changed all data's, it's still work")</f>
        <v>i got confused when implemented patch method. I know patch method using for when we change one or more data, but when i tried to make patch method changed all data's, it's still work</v>
      </c>
      <c r="F15" s="42" t="str">
        <f>IFERROR(__xludf.DUMMYFUNCTION("""COMPUTED_VALUE"""),"Learn deeper about patch method, expressJs,mysql liblary for express")</f>
        <v>Learn deeper about patch method, expressJs,mysql liblary for express</v>
      </c>
    </row>
    <row r="16">
      <c r="A16" s="43">
        <f>IFERROR(__xludf.DUMMYFUNCTION("""COMPUTED_VALUE"""),44084.365839328704)</f>
        <v>44084.36584</v>
      </c>
      <c r="B16" s="42" t="str">
        <f>IFERROR(__xludf.DUMMYFUNCTION("""COMPUTED_VALUE"""),"Pramesti Regita Cahyani")</f>
        <v>Pramesti Regita Cahyani</v>
      </c>
      <c r="C16" s="44">
        <f>IFERROR(__xludf.DUMMYFUNCTION("""COMPUTED_VALUE"""),44084.0)</f>
        <v>44084</v>
      </c>
      <c r="D16" s="42" t="str">
        <f>IFERROR(__xludf.DUMMYFUNCTION("""COMPUTED_VALUE"""),"1. Membuat path /items/:id dengan method PUT, PATCH, DELETE, dan GET
2. Membuat file README.md")</f>
        <v>1. Membuat path /items/:id dengan method PUT, PATCH, DELETE, dan GET
2. Membuat file README.md</v>
      </c>
      <c r="E16" s="42" t="str">
        <f>IFERROR(__xludf.DUMMYFUNCTION("""COMPUTED_VALUE"""),"Belum tahu apakah /:id bisa dijadikan dynamic atau tidak")</f>
        <v>Belum tahu apakah /:id bisa dijadikan dynamic atau tidak</v>
      </c>
      <c r="F16" s="42" t="str">
        <f>IFERROR(__xludf.DUMMYFUNCTION("""COMPUTED_VALUE"""),"Memecahkan masalah yang disebutkan dan mempelajari hal baru")</f>
        <v>Memecahkan masalah yang disebutkan dan mempelajari hal baru</v>
      </c>
    </row>
    <row r="17">
      <c r="A17" s="43">
        <f>IFERROR(__xludf.DUMMYFUNCTION("""COMPUTED_VALUE"""),44084.37960252315)</f>
        <v>44084.3796</v>
      </c>
      <c r="B17" s="42" t="str">
        <f>IFERROR(__xludf.DUMMYFUNCTION("""COMPUTED_VALUE"""),"Wahyu Ramadhan")</f>
        <v>Wahyu Ramadhan</v>
      </c>
      <c r="C17" s="44">
        <f>IFERROR(__xludf.DUMMYFUNCTION("""COMPUTED_VALUE"""),36597.0)</f>
        <v>36597</v>
      </c>
      <c r="D17" s="42" t="str">
        <f>IFERROR(__xludf.DUMMYFUNCTION("""COMPUTED_VALUE"""),"create crud in expressjs")</f>
        <v>create crud in expressjs</v>
      </c>
      <c r="E17" s="42" t="str">
        <f>IFERROR(__xludf.DUMMYFUNCTION("""COMPUTED_VALUE"""),"A little confused in the serachkey and searchvalue sections and the pageInfo sections")</f>
        <v>A little confused in the serachkey and searchvalue sections and the pageInfo sections</v>
      </c>
      <c r="F17" s="42" t="str">
        <f>IFERROR(__xludf.DUMMYFUNCTION("""COMPUTED_VALUE"""),"Try to understand express and if have a free time want to finish my homework")</f>
        <v>Try to understand express and if have a free time want to finish my homework</v>
      </c>
    </row>
    <row r="18">
      <c r="A18" s="43">
        <f>IFERROR(__xludf.DUMMYFUNCTION("""COMPUTED_VALUE"""),44084.38460362269)</f>
        <v>44084.3846</v>
      </c>
      <c r="B18" s="42" t="str">
        <f>IFERROR(__xludf.DUMMYFUNCTION("""COMPUTED_VALUE"""),"Ahmad Fatkhul Amam")</f>
        <v>Ahmad Fatkhul Amam</v>
      </c>
      <c r="C18" s="44">
        <f>IFERROR(__xludf.DUMMYFUNCTION("""COMPUTED_VALUE"""),44084.0)</f>
        <v>44084</v>
      </c>
      <c r="D18" s="42" t="str">
        <f>IFERROR(__xludf.DUMMYFUNCTION("""COMPUTED_VALUE"""),"revising the task(8/09/20) of this week about .PATCH .PUT .DELETE basic
make a CRUD(.PUT .PATCH .DELETE .GET) based on query id")</f>
        <v>revising the task(8/09/20) of this week about .PATCH .PUT .DELETE basic
make a CRUD(.PUT .PATCH .DELETE .GET) based on query id</v>
      </c>
      <c r="E18" s="42" t="str">
        <f>IFERROR(__xludf.DUMMYFUNCTION("""COMPUTED_VALUE"""),"i have problem, i can't update data with methode .PUT, my program enter the else statement")</f>
        <v>i have problem, i can't update data with methode .PUT, my program enter the else statement</v>
      </c>
      <c r="F18" s="42" t="str">
        <f>IFERROR(__xludf.DUMMYFUNCTION("""COMPUTED_VALUE"""),"fixing the .PUT methode, to be able to update the entire query based on id")</f>
        <v>fixing the .PUT methode, to be able to update the entire query based on id</v>
      </c>
    </row>
    <row r="19">
      <c r="A19" s="43">
        <f>IFERROR(__xludf.DUMMYFUNCTION("""COMPUTED_VALUE"""),44084.385117592596)</f>
        <v>44084.38512</v>
      </c>
      <c r="B19" s="42" t="str">
        <f>IFERROR(__xludf.DUMMYFUNCTION("""COMPUTED_VALUE"""),"Muhammad Abdurasyid")</f>
        <v>Muhammad Abdurasyid</v>
      </c>
      <c r="C19" s="44">
        <f>IFERROR(__xludf.DUMMYFUNCTION("""COMPUTED_VALUE"""),44084.0)</f>
        <v>44084</v>
      </c>
      <c r="D19" s="42" t="str">
        <f>IFERROR(__xludf.DUMMYFUNCTION("""COMPUTED_VALUE"""),"Menerapkan CRUD dengan menggunakan backend ExpressJS dan database MySQL:
- method GET pada path '/item'
- method GET pada path '/item/{id}'
- method POST pada path '/item'
- method PUT pada path '/item/{id}'
- method PATCH pada path '/item/{id}'
- method "&amp;"DELETE pada path '/item/{id}'")</f>
        <v>Menerapkan CRUD dengan menggunakan backend ExpressJS dan database MySQL:
- method GET pada path '/item'
- method GET pada path '/item/{id}'
- method POST pada path '/item'
- method PUT pada path '/item/{id}'
- method PATCH pada path '/item/{id}'
- method DELETE pada path '/item/{id}'</v>
      </c>
      <c r="E19" s="42" t="str">
        <f>IFERROR(__xludf.DUMMYFUNCTION("""COMPUTED_VALUE"""),"Saya awalnya sedikit kesulitan menghandle data yg diupdate ketika menggunakan method PATCH. Karena update dilakukan tidak pada keseluruhan data. Akan tetapi setelah mencoba dan mencoba saya menemukan solusi permasalahan tersebut.")</f>
        <v>Saya awalnya sedikit kesulitan menghandle data yg diupdate ketika menggunakan method PATCH. Karena update dilakukan tidak pada keseluruhan data. Akan tetapi setelah mencoba dan mencoba saya menemukan solusi permasalahan tersebut.</v>
      </c>
      <c r="F19" s="42" t="str">
        <f>IFERROR(__xludf.DUMMYFUNCTION("""COMPUTED_VALUE"""),"1. Mengikuti materi baru &amp; belajar prakteknya melalui tugas yg diberikan
2. Mencoba deploy tugas Bootstrap ke Netlify
3. Revisi file readme pada tugas Bootstrap")</f>
        <v>1. Mengikuti materi baru &amp; belajar prakteknya melalui tugas yg diberikan
2. Mencoba deploy tugas Bootstrap ke Netlify
3. Revisi file readme pada tugas Bootstrap</v>
      </c>
    </row>
    <row r="20">
      <c r="A20" s="43">
        <f>IFERROR(__xludf.DUMMYFUNCTION("""COMPUTED_VALUE"""),44084.387357685184)</f>
        <v>44084.38736</v>
      </c>
      <c r="B20" s="42" t="str">
        <f>IFERROR(__xludf.DUMMYFUNCTION("""COMPUTED_VALUE"""),"Furoidah Chilmi")</f>
        <v>Furoidah Chilmi</v>
      </c>
      <c r="C20" s="44">
        <f>IFERROR(__xludf.DUMMYFUNCTION("""COMPUTED_VALUE"""),44084.0)</f>
        <v>44084</v>
      </c>
      <c r="D20" s="42" t="str">
        <f>IFERROR(__xludf.DUMMYFUNCTION("""COMPUTED_VALUE"""),"complete the tasks (PUT, PATCH, GET, DELETE)")</f>
        <v>complete the tasks (PUT, PATCH, GET, DELETE)</v>
      </c>
      <c r="E20" s="42" t="str">
        <f>IFERROR(__xludf.DUMMYFUNCTION("""COMPUTED_VALUE"""),"1. PATCH method is not optimal yet. 
2. I cant read the documentation yet.")</f>
        <v>1. PATCH method is not optimal yet. 
2. I cant read the documentation yet.</v>
      </c>
      <c r="F20" s="42" t="str">
        <f>IFERROR(__xludf.DUMMYFUNCTION("""COMPUTED_VALUE"""),"maximazing my task")</f>
        <v>maximazing my task</v>
      </c>
    </row>
    <row r="21">
      <c r="A21" s="43">
        <f>IFERROR(__xludf.DUMMYFUNCTION("""COMPUTED_VALUE"""),44084.392973298614)</f>
        <v>44084.39297</v>
      </c>
      <c r="B21" s="42" t="str">
        <f>IFERROR(__xludf.DUMMYFUNCTION("""COMPUTED_VALUE"""),"Muhamad Faris Alkodri")</f>
        <v>Muhamad Faris Alkodri</v>
      </c>
      <c r="C21" s="44">
        <f>IFERROR(__xludf.DUMMYFUNCTION("""COMPUTED_VALUE"""),44084.0)</f>
        <v>44084</v>
      </c>
      <c r="D21" s="42" t="str">
        <f>IFERROR(__xludf.DUMMYFUNCTION("""COMPUTED_VALUE"""),"I've done my task. Adding PUT, PATCH, DELETE, and GET also add a filter id handler")</f>
        <v>I've done my task. Adding PUT, PATCH, DELETE, and GET also add a filter id handler</v>
      </c>
      <c r="E21" s="42" t="str">
        <f>IFERROR(__xludf.DUMMYFUNCTION("""COMPUTED_VALUE"""),"I don't encounter any difficult problem")</f>
        <v>I don't encounter any difficult problem</v>
      </c>
      <c r="F21" s="42" t="str">
        <f>IFERROR(__xludf.DUMMYFUNCTION("""COMPUTED_VALUE"""),"I want to learn more about expressjs")</f>
        <v>I want to learn more about expressjs</v>
      </c>
    </row>
    <row r="22">
      <c r="A22" s="43">
        <f>IFERROR(__xludf.DUMMYFUNCTION("""COMPUTED_VALUE"""),44084.395946979166)</f>
        <v>44084.39595</v>
      </c>
      <c r="B22" s="42" t="str">
        <f>IFERROR(__xludf.DUMMYFUNCTION("""COMPUTED_VALUE"""),"Fahmi Aziz Ismail")</f>
        <v>Fahmi Aziz Ismail</v>
      </c>
      <c r="C22" s="44">
        <f>IFERROR(__xludf.DUMMYFUNCTION("""COMPUTED_VALUE"""),44084.0)</f>
        <v>44084</v>
      </c>
      <c r="D22" s="42" t="str">
        <f>IFERROR(__xludf.DUMMYFUNCTION("""COMPUTED_VALUE"""),"saya sudah menambahkan method put patch delete dan get per id")</f>
        <v>saya sudah menambahkan method put patch delete dan get per id</v>
      </c>
      <c r="E22" s="42" t="str">
        <f>IFERROR(__xludf.DUMMYFUNCTION("""COMPUTED_VALUE"""),"agak kesulitan saat ingin menampilkan item per id")</f>
        <v>agak kesulitan saat ingin menampilkan item per id</v>
      </c>
      <c r="F22" s="42" t="str">
        <f>IFERROR(__xludf.DUMMYFUNCTION("""COMPUTED_VALUE"""),"memahami middleware")</f>
        <v>memahami middleware</v>
      </c>
    </row>
    <row r="23">
      <c r="A23" s="43">
        <f>IFERROR(__xludf.DUMMYFUNCTION("""COMPUTED_VALUE"""),44084.40115496528)</f>
        <v>44084.40115</v>
      </c>
      <c r="B23" s="42" t="str">
        <f>IFERROR(__xludf.DUMMYFUNCTION("""COMPUTED_VALUE"""),"Muhammad")</f>
        <v>Muhammad</v>
      </c>
      <c r="C23" s="44">
        <f>IFERROR(__xludf.DUMMYFUNCTION("""COMPUTED_VALUE"""),44084.0)</f>
        <v>44084</v>
      </c>
      <c r="D23" s="42" t="str">
        <f>IFERROR(__xludf.DUMMYFUNCTION("""COMPUTED_VALUE"""),"Connection database mysql
Insert data with method GET
Select all data with method POST
Update all data by Id with method PUT
Select data by id with method GET
Delete data by I'd with method DELETE
use Postman")</f>
        <v>Connection database mysql
Insert data with method GET
Select all data with method POST
Update all data by Id with method PUT
Select data by id with method GET
Delete data by I'd with method DELETE
use Postman</v>
      </c>
      <c r="E23" s="42" t="str">
        <f>IFERROR(__xludf.DUMMYFUNCTION("""COMPUTED_VALUE"""),"My problem is when I want to update data with method PATH")</f>
        <v>My problem is when I want to update data with method PATH</v>
      </c>
      <c r="F23" s="42" t="str">
        <f>IFERROR(__xludf.DUMMYFUNCTION("""COMPUTED_VALUE"""),"Learn About Design Pattern")</f>
        <v>Learn About Design Pattern</v>
      </c>
    </row>
    <row r="24">
      <c r="A24" s="43">
        <f>IFERROR(__xludf.DUMMYFUNCTION("""COMPUTED_VALUE"""),44084.40294760416)</f>
        <v>44084.40295</v>
      </c>
      <c r="B24" s="42" t="str">
        <f>IFERROR(__xludf.DUMMYFUNCTION("""COMPUTED_VALUE"""),"Ahmad Asrofi")</f>
        <v>Ahmad Asrofi</v>
      </c>
      <c r="C24" s="44">
        <f>IFERROR(__xludf.DUMMYFUNCTION("""COMPUTED_VALUE"""),44084.0)</f>
        <v>44084</v>
      </c>
      <c r="D24" s="42" t="str">
        <f>IFERROR(__xludf.DUMMYFUNCTION("""COMPUTED_VALUE"""),"built application CRUD using express js")</f>
        <v>built application CRUD using express js</v>
      </c>
      <c r="E24" s="42" t="str">
        <f>IFERROR(__xludf.DUMMYFUNCTION("""COMPUTED_VALUE"""),"im not good at how to implementing http method and how to use postman")</f>
        <v>im not good at how to implementing http method and how to use postman</v>
      </c>
      <c r="F24" s="42" t="str">
        <f>IFERROR(__xludf.DUMMYFUNCTION("""COMPUTED_VALUE"""),"i'm going to try to understand more how to implementing http method and using a postman. and ready to learn more query SQL")</f>
        <v>i'm going to try to understand more how to implementing http method and using a postman. and ready to learn more query SQL</v>
      </c>
    </row>
    <row r="25">
      <c r="A25" s="43">
        <f>IFERROR(__xludf.DUMMYFUNCTION("""COMPUTED_VALUE"""),44084.40354087963)</f>
        <v>44084.40354</v>
      </c>
      <c r="B25" s="42" t="str">
        <f>IFERROR(__xludf.DUMMYFUNCTION("""COMPUTED_VALUE"""),"Timotius Simanjuntak")</f>
        <v>Timotius Simanjuntak</v>
      </c>
      <c r="C25" s="44">
        <f>IFERROR(__xludf.DUMMYFUNCTION("""COMPUTED_VALUE"""),44084.0)</f>
        <v>44084</v>
      </c>
      <c r="D25" s="42" t="str">
        <f>IFERROR(__xludf.DUMMYFUNCTION("""COMPUTED_VALUE"""),"learn postman and using express js")</f>
        <v>learn postman and using express js</v>
      </c>
      <c r="E25" s="42" t="str">
        <f>IFERROR(__xludf.DUMMYFUNCTION("""COMPUTED_VALUE"""),"still struggle to use method express")</f>
        <v>still struggle to use method express</v>
      </c>
      <c r="F25" s="42" t="str">
        <f>IFERROR(__xludf.DUMMYFUNCTION("""COMPUTED_VALUE"""),"do the best")</f>
        <v>do the best</v>
      </c>
    </row>
    <row r="26">
      <c r="A26" s="43">
        <f>IFERROR(__xludf.DUMMYFUNCTION("""COMPUTED_VALUE"""),44084.40539103009)</f>
        <v>44084.40539</v>
      </c>
      <c r="B26" s="42" t="str">
        <f>IFERROR(__xludf.DUMMYFUNCTION("""COMPUTED_VALUE"""),"Satrio Nugroho")</f>
        <v>Satrio Nugroho</v>
      </c>
      <c r="C26" s="44">
        <f>IFERROR(__xludf.DUMMYFUNCTION("""COMPUTED_VALUE"""),37530.0)</f>
        <v>37530</v>
      </c>
      <c r="D26" s="42" t="str">
        <f>IFERROR(__xludf.DUMMYFUNCTION("""COMPUTED_VALUE"""),"mengerjakan melanjutkan dengam menambahkan Put, patch , delete dan get sesuai dengan items id")</f>
        <v>mengerjakan melanjutkan dengam menambahkan Put, patch , delete dan get sesuai dengan items id</v>
      </c>
      <c r="E26" s="42" t="str">
        <f>IFERROR(__xludf.DUMMYFUNCTION("""COMPUTED_VALUE"""),"tinggal mengerjakan delete dan get karena ada kendala di laptop jadi tugasnya belom selesai")</f>
        <v>tinggal mengerjakan delete dan get karena ada kendala di laptop jadi tugasnya belom selesai</v>
      </c>
      <c r="F26" s="42" t="str">
        <f>IFERROR(__xludf.DUMMYFUNCTION("""COMPUTED_VALUE"""),"melanjutka materi dari materi kemaren")</f>
        <v>melanjutka materi dari materi kemaren</v>
      </c>
    </row>
    <row r="27">
      <c r="A27" s="43">
        <f>IFERROR(__xludf.DUMMYFUNCTION("""COMPUTED_VALUE"""),44085.335362060185)</f>
        <v>44085.33536</v>
      </c>
      <c r="B27" s="42" t="str">
        <f>IFERROR(__xludf.DUMMYFUNCTION("""COMPUTED_VALUE"""),"Muhamad Faris Alkodri")</f>
        <v>Muhamad Faris Alkodri</v>
      </c>
      <c r="C27" s="44">
        <f>IFERROR(__xludf.DUMMYFUNCTION("""COMPUTED_VALUE"""),44085.0)</f>
        <v>44085</v>
      </c>
      <c r="D27" s="42" t="str">
        <f>IFERROR(__xludf.DUMMYFUNCTION("""COMPUTED_VALUE"""),"I made a few change for filtering the patch code, i also making my code clean by migrating it to modules package")</f>
        <v>I made a few change for filtering the patch code, i also making my code clean by migrating it to modules package</v>
      </c>
      <c r="E27" s="42" t="str">
        <f>IFERROR(__xludf.DUMMYFUNCTION("""COMPUTED_VALUE"""),"My laptop charger is broken and my internet in my area is down for until 15.00 o'clock, so i didn't done much.")</f>
        <v>My laptop charger is broken and my internet in my area is down for until 15.00 o'clock, so i didn't done much.</v>
      </c>
      <c r="F27" s="42" t="str">
        <f>IFERROR(__xludf.DUMMYFUNCTION("""COMPUTED_VALUE"""),"Migrating all of my code to modular package, making new database for users and another necessary database, making the flowchart and etc")</f>
        <v>Migrating all of my code to modular package, making new database for users and another necessary database, making the flowchart and etc</v>
      </c>
    </row>
    <row r="28">
      <c r="A28" s="43">
        <f>IFERROR(__xludf.DUMMYFUNCTION("""COMPUTED_VALUE"""),44085.37138964121)</f>
        <v>44085.37139</v>
      </c>
      <c r="B28" s="42" t="str">
        <f>IFERROR(__xludf.DUMMYFUNCTION("""COMPUTED_VALUE"""),"Pramesti Regita Cahyani")</f>
        <v>Pramesti Regita Cahyani</v>
      </c>
      <c r="C28" s="44">
        <f>IFERROR(__xludf.DUMMYFUNCTION("""COMPUTED_VALUE"""),44085.0)</f>
        <v>44085</v>
      </c>
      <c r="D28" s="42" t="str">
        <f>IFERROR(__xludf.DUMMYFUNCTION("""COMPUTED_VALUE"""),"1. Membuat design pattern
2. Menambahkan query sort")</f>
        <v>1. Membuat design pattern
2. Menambahkan query sort</v>
      </c>
      <c r="E28" s="42" t="str">
        <f>IFERROR(__xludf.DUMMYFUNCTION("""COMPUTED_VALUE"""),"1. Belum bisa menambahkan kolom di tabel dan upload file
2. Metode untuk sort masih panjang, belum diringkas")</f>
        <v>1. Belum bisa menambahkan kolom di tabel dan upload file
2. Metode untuk sort masih panjang, belum diringkas</v>
      </c>
      <c r="F28" s="42" t="str">
        <f>IFERROR(__xludf.DUMMYFUNCTION("""COMPUTED_VALUE"""),"1. Menambahkan kolom di tabel dan membuat path untuk mengupload file
2. Menambahkan path yang lain kedalam index.js")</f>
        <v>1. Menambahkan kolom di tabel dan membuat path untuk mengupload file
2. Menambahkan path yang lain kedalam index.js</v>
      </c>
    </row>
    <row r="29">
      <c r="A29" s="43">
        <f>IFERROR(__xludf.DUMMYFUNCTION("""COMPUTED_VALUE"""),44085.38126638889)</f>
        <v>44085.38127</v>
      </c>
      <c r="B29" s="42" t="str">
        <f>IFERROR(__xludf.DUMMYFUNCTION("""COMPUTED_VALUE"""),"Wahyu Ramadhan")</f>
        <v>Wahyu Ramadhan</v>
      </c>
      <c r="C29" s="44">
        <f>IFERROR(__xludf.DUMMYFUNCTION("""COMPUTED_VALUE"""),36597.0)</f>
        <v>36597</v>
      </c>
      <c r="D29" s="42" t="str">
        <f>IFERROR(__xludf.DUMMYFUNCTION("""COMPUTED_VALUE"""),"membuat MRC")</f>
        <v>membuat MRC</v>
      </c>
      <c r="E29" s="42" t="str">
        <f>IFERROR(__xludf.DUMMYFUNCTION("""COMPUTED_VALUE"""),"bingung alurnya, pemanggilan callback, pemosisian variabel yg dibutuhkan di model ke controller")</f>
        <v>bingung alurnya, pemanggilan callback, pemosisian variabel yg dibutuhkan di model ke controller</v>
      </c>
      <c r="F29" s="42" t="str">
        <f>IFERROR(__xludf.DUMMYFUNCTION("""COMPUTED_VALUE"""),"menyelesaikan pembuatan model dan memahami strukturnya")</f>
        <v>menyelesaikan pembuatan model dan memahami strukturnya</v>
      </c>
    </row>
    <row r="30">
      <c r="A30" s="43">
        <f>IFERROR(__xludf.DUMMYFUNCTION("""COMPUTED_VALUE"""),44085.38359722222)</f>
        <v>44085.3836</v>
      </c>
      <c r="B30" s="42" t="str">
        <f>IFERROR(__xludf.DUMMYFUNCTION("""COMPUTED_VALUE"""),"Ahmad Fatkhul Amam")</f>
        <v>Ahmad Fatkhul Amam</v>
      </c>
      <c r="C30" s="44">
        <f>IFERROR(__xludf.DUMMYFUNCTION("""COMPUTED_VALUE"""),44085.0)</f>
        <v>44085</v>
      </c>
      <c r="D30" s="42" t="str">
        <f>IFERROR(__xludf.DUMMYFUNCTION("""COMPUTED_VALUE"""),"i  understand how MVC in express js work and try to make eksport-import with MVC teknik in express js")</f>
        <v>i  understand how MVC in express js work and try to make eksport-import with MVC teknik in express js</v>
      </c>
      <c r="E30" s="42" t="str">
        <f>IFERROR(__xludf.DUMMYFUNCTION("""COMPUTED_VALUE"""),"my methode post not work to input data in the database, but in the postman show my input is work to added")</f>
        <v>my methode post not work to input data in the database, but in the postman show my input is work to added</v>
      </c>
      <c r="F30" s="42" t="str">
        <f>IFERROR(__xludf.DUMMYFUNCTION("""COMPUTED_VALUE"""),"i will make a shorting element, and input a file(image) in my backend aplication ")</f>
        <v>i will make a shorting element, and input a file(image) in my backend aplication </v>
      </c>
    </row>
    <row r="31">
      <c r="A31" s="43">
        <f>IFERROR(__xludf.DUMMYFUNCTION("""COMPUTED_VALUE"""),44085.38548181713)</f>
        <v>44085.38548</v>
      </c>
      <c r="B31" s="42" t="str">
        <f>IFERROR(__xludf.DUMMYFUNCTION("""COMPUTED_VALUE"""),"Muhammad Abdurasyid")</f>
        <v>Muhammad Abdurasyid</v>
      </c>
      <c r="C31" s="44">
        <f>IFERROR(__xludf.DUMMYFUNCTION("""COMPUTED_VALUE"""),44085.0)</f>
        <v>44085</v>
      </c>
      <c r="D31" s="42" t="str">
        <f>IFERROR(__xludf.DUMMYFUNCTION("""COMPUTED_VALUE"""),"1. Berhasil deploy tugas Bootstrap ke Netlify yang dapat diakses di https://wakkede.netlify.app/
2. Konversi tugas backend ExpressJS ke design pattern MVC (Model, Route, Controller)
3. Menambahkan fitur sorting dinamis (berdasarkan nama dan harga) utk tab"&amp;"el item/produk pada method GET path '/item'
4. Mencoba membuat struktur tabel pada database web")</f>
        <v>1. Berhasil deploy tugas Bootstrap ke Netlify yang dapat diakses di https://wakkede.netlify.app/
2. Konversi tugas backend ExpressJS ke design pattern MVC (Model, Route, Controller)
3. Menambahkan fitur sorting dinamis (berdasarkan nama dan harga) utk tabel item/produk pada method GET path '/item'
4. Mencoba membuat struktur tabel pada database web</v>
      </c>
      <c r="E31" s="42" t="str">
        <f>IFERROR(__xludf.DUMMYFUNCTION("""COMPUTED_VALUE"""),"Tidak ada desain DB dari mockup web sehingga sulit utk diterapkan secara langsung di backend tanpa adanya gambaran model/struktur database")</f>
        <v>Tidak ada desain DB dari mockup web sehingga sulit utk diterapkan secara langsung di backend tanpa adanya gambaran model/struktur database</v>
      </c>
      <c r="F31" s="42" t="str">
        <f>IFERROR(__xludf.DUMMYFUNCTION("""COMPUTED_VALUE"""),"Membuat rancangan desain database sesuai dengan kebutuhan web, khususnya modifikasi tabel item/produk, penambahan tabel kategori, histori, user, profil")</f>
        <v>Membuat rancangan desain database sesuai dengan kebutuhan web, khususnya modifikasi tabel item/produk, penambahan tabel kategori, histori, user, profil</v>
      </c>
    </row>
    <row r="32">
      <c r="A32" s="43">
        <f>IFERROR(__xludf.DUMMYFUNCTION("""COMPUTED_VALUE"""),44085.3933507176)</f>
        <v>44085.39335</v>
      </c>
      <c r="B32" s="42" t="str">
        <f>IFERROR(__xludf.DUMMYFUNCTION("""COMPUTED_VALUE"""),"Ahmad Asrofi")</f>
        <v>Ahmad Asrofi</v>
      </c>
      <c r="C32" s="44">
        <f>IFERROR(__xludf.DUMMYFUNCTION("""COMPUTED_VALUE"""),44085.0)</f>
        <v>44085</v>
      </c>
      <c r="D32" s="42" t="str">
        <f>IFERROR(__xludf.DUMMYFUNCTION("""COMPUTED_VALUE"""),"I implemented Model Route Controller design-patterns, added a SQL query ""ORDER BY"" for sorting items")</f>
        <v>I implemented Model Route Controller design-patterns, added a SQL query "ORDER BY" for sorting items</v>
      </c>
      <c r="E32" s="42" t="str">
        <f>IFERROR(__xludf.DUMMYFUNCTION("""COMPUTED_VALUE"""),"I am confused about how to apply the SQL query sequence, and still do not understand about the project given to us. yesterday I wanted to ask about the project, but I was confused because the live coding session was faster than usual")</f>
        <v>I am confused about how to apply the SQL query sequence, and still do not understand about the project given to us. yesterday I wanted to ask about the project, but I was confused because the live coding session was faster than usual</v>
      </c>
      <c r="F32" s="42" t="str">
        <f>IFERROR(__xludf.DUMMYFUNCTION("""COMPUTED_VALUE"""),"first Im going to create a database for the project, second I will build that project with the CRUD method and the last I will revise my previous HTML and Bootstrap tasks")</f>
        <v>first Im going to create a database for the project, second I will build that project with the CRUD method and the last I will revise my previous HTML and Bootstrap tasks</v>
      </c>
    </row>
    <row r="33">
      <c r="A33" s="43">
        <f>IFERROR(__xludf.DUMMYFUNCTION("""COMPUTED_VALUE"""),44085.39735118055)</f>
        <v>44085.39735</v>
      </c>
      <c r="B33" s="42" t="str">
        <f>IFERROR(__xludf.DUMMYFUNCTION("""COMPUTED_VALUE"""),"Fahmi Aziz Ismail")</f>
        <v>Fahmi Aziz Ismail</v>
      </c>
      <c r="C33" s="44">
        <f>IFERROR(__xludf.DUMMYFUNCTION("""COMPUTED_VALUE"""),44085.0)</f>
        <v>44085</v>
      </c>
      <c r="D33" s="42" t="str">
        <f>IFERROR(__xludf.DUMMYFUNCTION("""COMPUTED_VALUE"""),"saya sudah berhasil membuat design pattern")</f>
        <v>saya sudah berhasil membuat design pattern</v>
      </c>
      <c r="E33" s="42" t="str">
        <f>IFERROR(__xludf.DUMMYFUNCTION("""COMPUTED_VALUE"""),"untuk method patch masih belum muncul")</f>
        <v>untuk method patch masih belum muncul</v>
      </c>
      <c r="F33" s="42" t="str">
        <f>IFERROR(__xludf.DUMMYFUNCTION("""COMPUTED_VALUE"""),"menyelesaikan masalah patch")</f>
        <v>menyelesaikan masalah patch</v>
      </c>
    </row>
    <row r="34">
      <c r="A34" s="43">
        <f>IFERROR(__xludf.DUMMYFUNCTION("""COMPUTED_VALUE"""),44085.46661775463)</f>
        <v>44085.46662</v>
      </c>
      <c r="B34" s="42" t="str">
        <f>IFERROR(__xludf.DUMMYFUNCTION("""COMPUTED_VALUE"""),"Iqbal Athorid")</f>
        <v>Iqbal Athorid</v>
      </c>
      <c r="C34" s="44">
        <f>IFERROR(__xludf.DUMMYFUNCTION("""COMPUTED_VALUE"""),44085.0)</f>
        <v>44085</v>
      </c>
      <c r="D34" s="42" t="str">
        <f>IFERROR(__xludf.DUMMYFUNCTION("""COMPUTED_VALUE"""),",created database category, learned a lot relasional databases on youtube, looking for query for sort category. ")</f>
        <v>,created database category, learned a lot relasional databases on youtube, looking for query for sort category. </v>
      </c>
      <c r="E34" s="42"/>
      <c r="F34" s="42" t="str">
        <f>IFERROR(__xludf.DUMMYFUNCTION("""COMPUTED_VALUE"""),"creating method sort for category, create database history and method history, ")</f>
        <v>creating method sort for category, create database history and method history, </v>
      </c>
    </row>
    <row r="35">
      <c r="A35" s="43">
        <f>IFERROR(__xludf.DUMMYFUNCTION("""COMPUTED_VALUE"""),44085.484823067134)</f>
        <v>44085.48482</v>
      </c>
      <c r="B35" s="42" t="str">
        <f>IFERROR(__xludf.DUMMYFUNCTION("""COMPUTED_VALUE"""),"Furoidah Chilmi")</f>
        <v>Furoidah Chilmi</v>
      </c>
      <c r="C35" s="44">
        <f>IFERROR(__xludf.DUMMYFUNCTION("""COMPUTED_VALUE"""),44085.0)</f>
        <v>44085</v>
      </c>
      <c r="D35" s="42" t="str">
        <f>IFERROR(__xludf.DUMMYFUNCTION("""COMPUTED_VALUE"""),"1. update the task before (make method POST, GET, PUT, etc)
2. implement design pattern. move to file routes, helpers, models, controllers
3. create tempopary README.md")</f>
        <v>1. update the task before (make method POST, GET, PUT, etc)
2. implement design pattern. move to file routes, helpers, models, controllers
3. create tempopary README.md</v>
      </c>
      <c r="E35" s="42" t="str">
        <f>IFERROR(__xludf.DUMMYFUNCTION("""COMPUTED_VALUE"""),"i haven't start doing my task, task that given in date 10. actually i dont understand about the task ")</f>
        <v>i haven't start doing my task, task that given in date 10. actually i dont understand about the task </v>
      </c>
      <c r="F35" s="42" t="str">
        <f>IFERROR(__xludf.DUMMYFUNCTION("""COMPUTED_VALUE"""),"1. ask what should i do next for task week 4.")</f>
        <v>1. ask what should i do next for task week 4.</v>
      </c>
    </row>
    <row r="36">
      <c r="A36" s="43">
        <f>IFERROR(__xludf.DUMMYFUNCTION("""COMPUTED_VALUE"""),44085.529046875)</f>
        <v>44085.52905</v>
      </c>
      <c r="B36" s="42" t="str">
        <f>IFERROR(__xludf.DUMMYFUNCTION("""COMPUTED_VALUE"""),"Muhammad")</f>
        <v>Muhammad</v>
      </c>
      <c r="C36" s="44">
        <f>IFERROR(__xludf.DUMMYFUNCTION("""COMPUTED_VALUE"""),44085.0)</f>
        <v>44085</v>
      </c>
      <c r="D36" s="42" t="str">
        <f>IFERROR(__xludf.DUMMYFUNCTION("""COMPUTED_VALUE"""),"Create method PATCH to update data items by id
Add Linter to my project")</f>
        <v>Create method PATCH to update data items by id
Add Linter to my project</v>
      </c>
      <c r="E36" s="42" t="str">
        <f>IFERROR(__xludf.DUMMYFUNCTION("""COMPUTED_VALUE"""),"My problem is implementing my project to MVC")</f>
        <v>My problem is implementing my project to MVC</v>
      </c>
      <c r="F36" s="42" t="str">
        <f>IFERROR(__xludf.DUMMYFUNCTION("""COMPUTED_VALUE"""),"Move my project to MVC
create more table in database")</f>
        <v>Move my project to MVC
create more table in database</v>
      </c>
    </row>
    <row r="37">
      <c r="A37" s="43">
        <f>IFERROR(__xludf.DUMMYFUNCTION("""COMPUTED_VALUE"""),44085.561328020834)</f>
        <v>44085.56133</v>
      </c>
      <c r="B37" s="42" t="str">
        <f>IFERROR(__xludf.DUMMYFUNCTION("""COMPUTED_VALUE"""),"Timotius Simanjuntak")</f>
        <v>Timotius Simanjuntak</v>
      </c>
      <c r="C37" s="44">
        <f>IFERROR(__xludf.DUMMYFUNCTION("""COMPUTED_VALUE"""),44085.0)</f>
        <v>44085</v>
      </c>
      <c r="D37" s="42" t="str">
        <f>IFERROR(__xludf.DUMMYFUNCTION("""COMPUTED_VALUE"""),"making controller, routes, models, and conver the main code into them")</f>
        <v>making controller, routes, models, and conver the main code into them</v>
      </c>
      <c r="E37" s="42" t="str">
        <f>IFERROR(__xludf.DUMMYFUNCTION("""COMPUTED_VALUE"""),"when i run nodemon, i got this:
throw err; // Rethrow non-MySQL errors
      ^
TypeError: Cannot read property 'length' of undefined
but after i make a little changes in my code sometime it can run in postman, but sometime i must restart nodemon to get "&amp;"the output")</f>
        <v>when i run nodemon, i got this:
throw err; // Rethrow non-MySQL errors
      ^
TypeError: Cannot read property 'length' of undefined
but after i make a little changes in my code sometime it can run in postman, but sometime i must restart nodemon to get the output</v>
      </c>
      <c r="F37" s="42" t="str">
        <f>IFERROR(__xludf.DUMMYFUNCTION("""COMPUTED_VALUE"""),"be  better than yesterday")</f>
        <v>be  better than yesterday</v>
      </c>
    </row>
    <row r="38">
      <c r="A38" s="43">
        <f>IFERROR(__xludf.DUMMYFUNCTION("""COMPUTED_VALUE"""),44085.56625585648)</f>
        <v>44085.56626</v>
      </c>
      <c r="B38" s="42" t="str">
        <f>IFERROR(__xludf.DUMMYFUNCTION("""COMPUTED_VALUE"""),"Satrio Nugroho")</f>
        <v>Satrio Nugroho</v>
      </c>
      <c r="C38" s="44">
        <f>IFERROR(__xludf.DUMMYFUNCTION("""COMPUTED_VALUE"""),37530.0)</f>
        <v>37530</v>
      </c>
      <c r="D38" s="42" t="str">
        <f>IFERROR(__xludf.DUMMYFUNCTION("""COMPUTED_VALUE"""),"saya baru memahami ulang di video tentang materi backend")</f>
        <v>saya baru memahami ulang di video tentang materi backend</v>
      </c>
      <c r="E38" s="42" t="str">
        <f>IFERROR(__xludf.DUMMYFUNCTION("""COMPUTED_VALUE"""),"saya masih merasa bingung di backend crud dengan express ini teruatama penggunaan database.. ")</f>
        <v>saya masih merasa bingung di backend crud dengan express ini teruatama penggunaan database.. </v>
      </c>
      <c r="F38" s="42" t="str">
        <f>IFERROR(__xludf.DUMMYFUNCTION("""COMPUTED_VALUE"""),"saya akan mengerjakan project yang telah ditugaskan untuk membuat backend")</f>
        <v>saya akan mengerjakan project yang telah ditugaskan untuk membuat backend</v>
      </c>
    </row>
    <row r="39">
      <c r="A39" s="43">
        <f>IFERROR(__xludf.DUMMYFUNCTION("""COMPUTED_VALUE"""),44086.382507256945)</f>
        <v>44086.38251</v>
      </c>
      <c r="B39" s="42" t="str">
        <f>IFERROR(__xludf.DUMMYFUNCTION("""COMPUTED_VALUE"""),"Ahmad Asrofi")</f>
        <v>Ahmad Asrofi</v>
      </c>
      <c r="C39" s="44">
        <f>IFERROR(__xludf.DUMMYFUNCTION("""COMPUTED_VALUE"""),44085.0)</f>
        <v>44085</v>
      </c>
      <c r="D39" s="42" t="str">
        <f>IFERROR(__xludf.DUMMYFUNCTION("""COMPUTED_VALUE"""),"creating another table for database. creating http methode GET, POST, PUT, PATCH, DELETE for table category. creating postman request")</f>
        <v>creating another table for database. creating http methode GET, POST, PUT, PATCH, DELETE for table category. creating postman request</v>
      </c>
      <c r="E39" s="42" t="str">
        <f>IFERROR(__xludf.DUMMYFUNCTION("""COMPUTED_VALUE"""),"so far so good")</f>
        <v>so far so good</v>
      </c>
      <c r="F39" s="42" t="str">
        <f>IFERROR(__xludf.DUMMYFUNCTION("""COMPUTED_VALUE"""),"im going to create another table and apply http methode to that table. ")</f>
        <v>im going to create another table and apply http methode to that table. </v>
      </c>
    </row>
    <row r="40">
      <c r="A40" s="43">
        <f>IFERROR(__xludf.DUMMYFUNCTION("""COMPUTED_VALUE"""),44086.3865903588)</f>
        <v>44086.38659</v>
      </c>
      <c r="B40" s="42" t="str">
        <f>IFERROR(__xludf.DUMMYFUNCTION("""COMPUTED_VALUE"""),"Muhammad")</f>
        <v>Muhammad</v>
      </c>
      <c r="C40" s="44">
        <f>IFERROR(__xludf.DUMMYFUNCTION("""COMPUTED_VALUE"""),44086.0)</f>
        <v>44086</v>
      </c>
      <c r="D40" s="42" t="str">
        <f>IFERROR(__xludf.DUMMYFUNCTION("""COMPUTED_VALUE"""),"Move to MVC
Create more table in database
CURD product")</f>
        <v>Move to MVC
Create more table in database
CURD product</v>
      </c>
      <c r="E40" s="42" t="str">
        <f>IFERROR(__xludf.DUMMYFUNCTION("""COMPUTED_VALUE"""),"My problem is implementation future search and limit in my project")</f>
        <v>My problem is implementation future search and limit in my project</v>
      </c>
      <c r="F40" s="42" t="str">
        <f>IFERROR(__xludf.DUMMYFUNCTION("""COMPUTED_VALUE"""),"CURD for category, user
Fix future search and limit in product")</f>
        <v>CURD for category, user
Fix future search and limit in product</v>
      </c>
    </row>
    <row r="41">
      <c r="A41" s="43">
        <f>IFERROR(__xludf.DUMMYFUNCTION("""COMPUTED_VALUE"""),44086.39058467593)</f>
        <v>44086.39058</v>
      </c>
      <c r="B41" s="42" t="str">
        <f>IFERROR(__xludf.DUMMYFUNCTION("""COMPUTED_VALUE"""),"Timotius Simanjuntak")</f>
        <v>Timotius Simanjuntak</v>
      </c>
      <c r="C41" s="44">
        <f>IFERROR(__xludf.DUMMYFUNCTION("""COMPUTED_VALUE"""),44086.0)</f>
        <v>44086</v>
      </c>
      <c r="D41" s="42" t="str">
        <f>IFERROR(__xludf.DUMMYFUNCTION("""COMPUTED_VALUE"""),"fixing error code in controllers, and models")</f>
        <v>fixing error code in controllers, and models</v>
      </c>
      <c r="E41" s="42"/>
      <c r="F41" s="42" t="str">
        <f>IFERROR(__xludf.DUMMYFUNCTION("""COMPUTED_VALUE"""),"create table, using sort, create flowchart to complete the task")</f>
        <v>create table, using sort, create flowchart to complete the task</v>
      </c>
    </row>
    <row r="42">
      <c r="A42" s="43">
        <f>IFERROR(__xludf.DUMMYFUNCTION("""COMPUTED_VALUE"""),44086.398171493056)</f>
        <v>44086.39817</v>
      </c>
      <c r="B42" s="42" t="str">
        <f>IFERROR(__xludf.DUMMYFUNCTION("""COMPUTED_VALUE"""),"Wahyu Ramadhan")</f>
        <v>Wahyu Ramadhan</v>
      </c>
      <c r="C42" s="44">
        <f>IFERROR(__xludf.DUMMYFUNCTION("""COMPUTED_VALUE"""),36597.0)</f>
        <v>36597</v>
      </c>
      <c r="D42" s="42" t="str">
        <f>IFERROR(__xludf.DUMMYFUNCTION("""COMPUTED_VALUE"""),"Memecah model table item")</f>
        <v>Memecah model table item</v>
      </c>
      <c r="E42" s="42" t="str">
        <f>IFERROR(__xludf.DUMMYFUNCTION("""COMPUTED_VALUE"""),"Masih sedikit bingung dengan alur jalannya program, untuk alur MVC sudah paham cumak implementasiannya bingung")</f>
        <v>Masih sedikit bingung dengan alur jalannya program, untuk alur MVC sudah paham cumak implementasiannya bingung</v>
      </c>
      <c r="F42" s="42" t="str">
        <f>IFERROR(__xludf.DUMMYFUNCTION("""COMPUTED_VALUE"""),"Membuat filter asc dan desc dan melanjutkan membuat database category dan membuat crudnya")</f>
        <v>Membuat filter asc dan desc dan melanjutkan membuat database category dan membuat crudnya</v>
      </c>
    </row>
    <row r="43">
      <c r="A43" s="43">
        <f>IFERROR(__xludf.DUMMYFUNCTION("""COMPUTED_VALUE"""),44086.403564548615)</f>
        <v>44086.40356</v>
      </c>
      <c r="B43" s="42" t="str">
        <f>IFERROR(__xludf.DUMMYFUNCTION("""COMPUTED_VALUE"""),"Ahmad Fatkhul Amam")</f>
        <v>Ahmad Fatkhul Amam</v>
      </c>
      <c r="C43" s="44">
        <f>IFERROR(__xludf.DUMMYFUNCTION("""COMPUTED_VALUE"""),44086.0)</f>
        <v>44086</v>
      </c>
      <c r="D43" s="42" t="str">
        <f>IFERROR(__xludf.DUMMYFUNCTION("""COMPUTED_VALUE"""),"improved the .post method, improved the .get method in search and for sorting items")</f>
        <v>improved the .post method, improved the .get method in search and for sorting items</v>
      </c>
      <c r="E43" s="42" t="str">
        <f>IFERROR(__xludf.DUMMYFUNCTION("""COMPUTED_VALUE"""),"develope the sorting methode and error handling in program")</f>
        <v>develope the sorting methode and error handling in program</v>
      </c>
      <c r="F43" s="42" t="str">
        <f>IFERROR(__xludf.DUMMYFUNCTION("""COMPUTED_VALUE"""),"fix the sorting element program, fix the error handling, make database, and CRUD for aplication based on desain mockup")</f>
        <v>fix the sorting element program, fix the error handling, make database, and CRUD for aplication based on desain mockup</v>
      </c>
    </row>
    <row r="44">
      <c r="A44" s="43">
        <f>IFERROR(__xludf.DUMMYFUNCTION("""COMPUTED_VALUE"""),44086.40438957176)</f>
        <v>44086.40439</v>
      </c>
      <c r="B44" s="42" t="str">
        <f>IFERROR(__xludf.DUMMYFUNCTION("""COMPUTED_VALUE"""),"Muhamad Faris Alkodri")</f>
        <v>Muhamad Faris Alkodri</v>
      </c>
      <c r="C44" s="44">
        <f>IFERROR(__xludf.DUMMYFUNCTION("""COMPUTED_VALUE"""),44086.0)</f>
        <v>44086</v>
      </c>
      <c r="D44" s="42" t="str">
        <f>IFERROR(__xludf.DUMMYFUNCTION("""COMPUTED_VALUE"""),"I am successfully migrating my code into modular package and use a escape string for the database")</f>
        <v>I am successfully migrating my code into modular package and use a escape string for the database</v>
      </c>
      <c r="E44" s="42" t="str">
        <f>IFERROR(__xludf.DUMMYFUNCTION("""COMPUTED_VALUE"""),"The problem i encounter is i don't exactly sure if my code is safe for all of SQL query")</f>
        <v>The problem i encounter is i don't exactly sure if my code is safe for all of SQL query</v>
      </c>
      <c r="F44" s="42" t="str">
        <f>IFERROR(__xludf.DUMMYFUNCTION("""COMPUTED_VALUE"""),"I am going to creat CRUD for category and cart, starting with create database for category and chart, and then crate its CRUD on JavaScript")</f>
        <v>I am going to creat CRUD for category and cart, starting with create database for category and chart, and then crate its CRUD on JavaScript</v>
      </c>
    </row>
    <row r="45">
      <c r="A45" s="43">
        <f>IFERROR(__xludf.DUMMYFUNCTION("""COMPUTED_VALUE"""),44086.40448793981)</f>
        <v>44086.40449</v>
      </c>
      <c r="B45" s="42" t="str">
        <f>IFERROR(__xludf.DUMMYFUNCTION("""COMPUTED_VALUE"""),"Furoidah Chilmi")</f>
        <v>Furoidah Chilmi</v>
      </c>
      <c r="C45" s="44">
        <f>IFERROR(__xludf.DUMMYFUNCTION("""COMPUTED_VALUE"""),44086.0)</f>
        <v>44086</v>
      </c>
      <c r="D45" s="42" t="str">
        <f>IFERROR(__xludf.DUMMYFUNCTION("""COMPUTED_VALUE"""),"just analize what table needed
try to make new table and make the model")</f>
        <v>just analize what table needed
try to make new table and make the model</v>
      </c>
      <c r="E45" s="42" t="str">
        <f>IFERROR(__xludf.DUMMYFUNCTION("""COMPUTED_VALUE"""),"can not read my 'app.get' code in index.js")</f>
        <v>can not read my 'app.get' code in index.js</v>
      </c>
      <c r="F45" s="42" t="str">
        <f>IFERROR(__xludf.DUMMYFUNCTION("""COMPUTED_VALUE"""),"figure it out what's the problem, make sorting function, JOIN between 2 tables and add error handling in code ")</f>
        <v>figure it out what's the problem, make sorting function, JOIN between 2 tables and add error handling in code </v>
      </c>
    </row>
    <row r="46">
      <c r="A46" s="43">
        <f>IFERROR(__xludf.DUMMYFUNCTION("""COMPUTED_VALUE"""),44086.419639224536)</f>
        <v>44086.41964</v>
      </c>
      <c r="B46" s="42" t="str">
        <f>IFERROR(__xludf.DUMMYFUNCTION("""COMPUTED_VALUE"""),"Iqbal Athorid")</f>
        <v>Iqbal Athorid</v>
      </c>
      <c r="C46" s="44">
        <f>IFERROR(__xludf.DUMMYFUNCTION("""COMPUTED_VALUE"""),44086.0)</f>
        <v>44086</v>
      </c>
      <c r="D46" s="42" t="str">
        <f>IFERROR(__xludf.DUMMYFUNCTION("""COMPUTED_VALUE"""),"created post category method, createde search by category,name,time")</f>
        <v>created post category method, createde search by category,name,time</v>
      </c>
      <c r="E46" s="42" t="str">
        <f>IFERROR(__xludf.DUMMYFUNCTION("""COMPUTED_VALUE"""),"when searched by time user can't sort by price ")</f>
        <v>when searched by time user can't sort by price </v>
      </c>
      <c r="F46" s="42" t="str">
        <f>IFERROR(__xludf.DUMMYFUNCTION("""COMPUTED_VALUE"""),"fix some error in querys , created search by price")</f>
        <v>fix some error in querys , created search by price</v>
      </c>
    </row>
    <row r="47">
      <c r="A47" s="43">
        <f>IFERROR(__xludf.DUMMYFUNCTION("""COMPUTED_VALUE"""),44086.444972488425)</f>
        <v>44086.44497</v>
      </c>
      <c r="B47" s="42" t="str">
        <f>IFERROR(__xludf.DUMMYFUNCTION("""COMPUTED_VALUE"""),"Pramesti Regita Cahyani")</f>
        <v>Pramesti Regita Cahyani</v>
      </c>
      <c r="C47" s="44">
        <f>IFERROR(__xludf.DUMMYFUNCTION("""COMPUTED_VALUE"""),44086.0)</f>
        <v>44086</v>
      </c>
      <c r="D47" s="42" t="str">
        <f>IFERROR(__xludf.DUMMYFUNCTION("""COMPUTED_VALUE"""),"Membuat path /category dengan CRUD nya, menggabungkan tabel items dan category")</f>
        <v>Membuat path /category dengan CRUD nya, menggabungkan tabel items dan category</v>
      </c>
      <c r="E47" s="42" t="str">
        <f>IFERROR(__xludf.DUMMYFUNCTION("""COMPUTED_VALUE"""),"masih bingung untuk membuat tabel cart")</f>
        <v>masih bingung untuk membuat tabel cart</v>
      </c>
      <c r="F47" s="42" t="str">
        <f>IFERROR(__xludf.DUMMYFUNCTION("""COMPUTED_VALUE"""),"membuat tabel user, yang berisi data user")</f>
        <v>membuat tabel user, yang berisi data user</v>
      </c>
    </row>
    <row r="48">
      <c r="A48" s="43">
        <f>IFERROR(__xludf.DUMMYFUNCTION("""COMPUTED_VALUE"""),44087.37899085648)</f>
        <v>44087.37899</v>
      </c>
      <c r="B48" s="42" t="str">
        <f>IFERROR(__xludf.DUMMYFUNCTION("""COMPUTED_VALUE"""),"Pramesti Regita Cahyani")</f>
        <v>Pramesti Regita Cahyani</v>
      </c>
      <c r="C48" s="44">
        <f>IFERROR(__xludf.DUMMYFUNCTION("""COMPUTED_VALUE"""),44087.0)</f>
        <v>44087</v>
      </c>
      <c r="D48" s="42" t="str">
        <f>IFERROR(__xludf.DUMMYFUNCTION("""COMPUTED_VALUE"""),"Sudah membuat tabel category dan users. Di items juda sudah ditampilkan nama categorynya")</f>
        <v>Sudah membuat tabel category dan users. Di items juda sudah ditampilkan nama categorynya</v>
      </c>
      <c r="E48" s="42" t="str">
        <f>IFERROR(__xludf.DUMMYFUNCTION("""COMPUTED_VALUE"""),"Masih mulai membuat logika di tabel cart")</f>
        <v>Masih mulai membuat logika di tabel cart</v>
      </c>
      <c r="F48" s="42" t="str">
        <f>IFERROR(__xludf.DUMMYFUNCTION("""COMPUTED_VALUE"""),"Menyelesaikan tabel cart dengan methodnya")</f>
        <v>Menyelesaikan tabel cart dengan methodnya</v>
      </c>
    </row>
    <row r="49">
      <c r="A49" s="43">
        <f>IFERROR(__xludf.DUMMYFUNCTION("""COMPUTED_VALUE"""),44087.37972138889)</f>
        <v>44087.37972</v>
      </c>
      <c r="B49" s="42" t="str">
        <f>IFERROR(__xludf.DUMMYFUNCTION("""COMPUTED_VALUE"""),"Muhammad Abdurasyid")</f>
        <v>Muhammad Abdurasyid</v>
      </c>
      <c r="C49" s="44">
        <f>IFERROR(__xludf.DUMMYFUNCTION("""COMPUTED_VALUE"""),44087.0)</f>
        <v>44087</v>
      </c>
      <c r="D49" s="42" t="str">
        <f>IFERROR(__xludf.DUMMYFUNCTION("""COMPUTED_VALUE"""),"1. Menambahkan handling escape single quote character saat mengakses database MySQL dengan cara megubah 1 karakter single quote menjadi 2 karakter single qoute ('')
2. Membuat ERD dari database website e-commerce Wakkede. ERD ini masih merupakan rancangan"&amp;" desain database awal yg dapat dikembangkan lagi
3. Membuat struktur database e-commerce di MySQL berdasarkan desain awal ERD yg telah dibuat
4. Membuat materi presentasi apa itu Node.js, Express, MySQL &amp; API ")</f>
        <v>1. Menambahkan handling escape single quote character saat mengakses database MySQL dengan cara megubah 1 karakter single quote menjadi 2 karakter single qoute ('')
2. Membuat ERD dari database website e-commerce Wakkede. ERD ini masih merupakan rancangan desain database awal yg dapat dikembangkan lagi
3. Membuat struktur database e-commerce di MySQL berdasarkan desain awal ERD yg telah dibuat
4. Membuat materi presentasi apa itu Node.js, Express, MySQL &amp; API </v>
      </c>
      <c r="E49" s="42"/>
      <c r="F49" s="42" t="str">
        <f>IFERROR(__xludf.DUMMYFUNCTION("""COMPUTED_VALUE"""),"Membuat API dari tabel categories, conditions, colors, item_images &amp; modifikasi API items")</f>
        <v>Membuat API dari tabel categories, conditions, colors, item_images &amp; modifikasi API items</v>
      </c>
    </row>
    <row r="50">
      <c r="A50" s="43">
        <f>IFERROR(__xludf.DUMMYFUNCTION("""COMPUTED_VALUE"""),44087.385078368054)</f>
        <v>44087.38508</v>
      </c>
      <c r="B50" s="42" t="str">
        <f>IFERROR(__xludf.DUMMYFUNCTION("""COMPUTED_VALUE"""),"Fahmi Aziz Ismail")</f>
        <v>Fahmi Aziz Ismail</v>
      </c>
      <c r="C50" s="44">
        <f>IFERROR(__xludf.DUMMYFUNCTION("""COMPUTED_VALUE"""),44087.0)</f>
        <v>44087</v>
      </c>
      <c r="D50" s="42" t="str">
        <f>IFERROR(__xludf.DUMMYFUNCTION("""COMPUTED_VALUE"""),"membuat tabel produk, category, dan cart")</f>
        <v>membuat tabel produk, category, dan cart</v>
      </c>
      <c r="E50" s="42" t="str">
        <f>IFERROR(__xludf.DUMMYFUNCTION("""COMPUTED_VALUE"""),"merelasikan  tabel")</f>
        <v>merelasikan  tabel</v>
      </c>
      <c r="F50" s="42" t="str">
        <f>IFERROR(__xludf.DUMMYFUNCTION("""COMPUTED_VALUE"""),"merelasikan dan membuat fungsi CRUD pada ketiga tabel tersebut")</f>
        <v>merelasikan dan membuat fungsi CRUD pada ketiga tabel tersebut</v>
      </c>
    </row>
    <row r="51">
      <c r="A51" s="43">
        <f>IFERROR(__xludf.DUMMYFUNCTION("""COMPUTED_VALUE"""),44087.39852149306)</f>
        <v>44087.39852</v>
      </c>
      <c r="B51" s="42" t="str">
        <f>IFERROR(__xludf.DUMMYFUNCTION("""COMPUTED_VALUE"""),"Wahyu Ramadhan")</f>
        <v>Wahyu Ramadhan</v>
      </c>
      <c r="C51" s="44">
        <f>IFERROR(__xludf.DUMMYFUNCTION("""COMPUTED_VALUE"""),36597.0)</f>
        <v>36597</v>
      </c>
      <c r="D51" s="42" t="str">
        <f>IFERROR(__xludf.DUMMYFUNCTION("""COMPUTED_VALUE"""),"create database and CRUD category, just simple CRUD, not complete")</f>
        <v>create database and CRUD category, just simple CRUD, not complete</v>
      </c>
      <c r="E51" s="42" t="str">
        <f>IFERROR(__xludf.DUMMYFUNCTION("""COMPUTED_VALUE"""),"not for category")</f>
        <v>not for category</v>
      </c>
      <c r="F51" s="42" t="str">
        <f>IFERROR(__xludf.DUMMYFUNCTION("""COMPUTED_VALUE"""),"try to join table and want to create cart database and CRUD ")</f>
        <v>try to join table and want to create cart database and CRUD </v>
      </c>
    </row>
    <row r="52">
      <c r="A52" s="43">
        <f>IFERROR(__xludf.DUMMYFUNCTION("""COMPUTED_VALUE"""),44087.41557229166)</f>
        <v>44087.41557</v>
      </c>
      <c r="B52" s="42" t="str">
        <f>IFERROR(__xludf.DUMMYFUNCTION("""COMPUTED_VALUE"""),"Muhammad")</f>
        <v>Muhammad</v>
      </c>
      <c r="C52" s="44">
        <f>IFERROR(__xludf.DUMMYFUNCTION("""COMPUTED_VALUE"""),44087.0)</f>
        <v>44087</v>
      </c>
      <c r="D52" s="42" t="str">
        <f>IFERROR(__xludf.DUMMYFUNCTION("""COMPUTED_VALUE"""),"CURD category, user, cart
Implementation features search and sort")</f>
        <v>CURD category, user, cart
Implementation features search and sort</v>
      </c>
      <c r="E52" s="42"/>
      <c r="F52" s="42" t="str">
        <f>IFERROR(__xludf.DUMMYFUNCTION("""COMPUTED_VALUE"""),"Fix error handling and create flowchart API")</f>
        <v>Fix error handling and create flowchart API</v>
      </c>
    </row>
    <row r="53">
      <c r="A53" s="43">
        <f>IFERROR(__xludf.DUMMYFUNCTION("""COMPUTED_VALUE"""),44087.42141836806)</f>
        <v>44087.42142</v>
      </c>
      <c r="B53" s="42" t="str">
        <f>IFERROR(__xludf.DUMMYFUNCTION("""COMPUTED_VALUE"""),"Ahmad Fatkhul Amam")</f>
        <v>Ahmad Fatkhul Amam</v>
      </c>
      <c r="C53" s="44">
        <f>IFERROR(__xludf.DUMMYFUNCTION("""COMPUTED_VALUE"""),44087.0)</f>
        <v>44087</v>
      </c>
      <c r="D53" s="42" t="str">
        <f>IFERROR(__xludf.DUMMYFUNCTION("""COMPUTED_VALUE"""),"make crud in the category path")</f>
        <v>make crud in the category path</v>
      </c>
      <c r="E53" s="42" t="str">
        <f>IFERROR(__xludf.DUMMYFUNCTION("""COMPUTED_VALUE"""),"yes, in the join clause items table and category table ")</f>
        <v>yes, in the join clause items table and category table </v>
      </c>
      <c r="F53" s="42" t="str">
        <f>IFERROR(__xludf.DUMMYFUNCTION("""COMPUTED_VALUE"""),"fixing category path and make cart crud")</f>
        <v>fixing category path and make cart crud</v>
      </c>
    </row>
    <row r="54">
      <c r="A54" s="43">
        <f>IFERROR(__xludf.DUMMYFUNCTION("""COMPUTED_VALUE"""),44087.65737717593)</f>
        <v>44087.65738</v>
      </c>
      <c r="B54" s="42" t="str">
        <f>IFERROR(__xludf.DUMMYFUNCTION("""COMPUTED_VALUE"""),"Muhamad Faris Alkodri")</f>
        <v>Muhamad Faris Alkodri</v>
      </c>
      <c r="C54" s="44">
        <f>IFERROR(__xludf.DUMMYFUNCTION("""COMPUTED_VALUE"""),44087.0)</f>
        <v>44087</v>
      </c>
      <c r="D54" s="42" t="str">
        <f>IFERROR(__xludf.DUMMYFUNCTION("""COMPUTED_VALUE"""),"I've done creating categories, items and Cart database, Also with catagories and cart CRUD ")</f>
        <v>I've done creating categories, items and Cart database, Also with catagories and cart CRUD </v>
      </c>
      <c r="E54" s="42" t="str">
        <f>IFERROR(__xludf.DUMMYFUNCTION("""COMPUTED_VALUE"""),"I'm not encounter a huge problem right now")</f>
        <v>I'm not encounter a huge problem right now</v>
      </c>
      <c r="F54" s="42" t="str">
        <f>IFERROR(__xludf.DUMMYFUNCTION("""COMPUTED_VALUE"""),"I'm sorry i'm forget to writing daily stand up, now i want to create carts CRUD, also building good logics to add and delete the items in the cart, plus if i have a time i want to add multer middleware so the items can store image")</f>
        <v>I'm sorry i'm forget to writing daily stand up, now i want to create carts CRUD, also building good logics to add and delete the items in the cart, plus if i have a time i want to add multer middleware so the items can store image</v>
      </c>
    </row>
    <row r="55">
      <c r="A55" s="43">
        <f>IFERROR(__xludf.DUMMYFUNCTION("""COMPUTED_VALUE"""),44087.761465821764)</f>
        <v>44087.76147</v>
      </c>
      <c r="B55" s="42" t="str">
        <f>IFERROR(__xludf.DUMMYFUNCTION("""COMPUTED_VALUE"""),"Furoidah Chilmi")</f>
        <v>Furoidah Chilmi</v>
      </c>
      <c r="C55" s="44">
        <f>IFERROR(__xludf.DUMMYFUNCTION("""COMPUTED_VALUE"""),44087.0)</f>
        <v>44087</v>
      </c>
      <c r="D55" s="42" t="str">
        <f>IFERROR(__xludf.DUMMYFUNCTION("""COMPUTED_VALUE"""),"1. join tabel items dan category di dalam fungsi get items kompleks CHECK
2. sortBy id, name, category di dalam fungsi get items kompleks CHECK
3. show cart table use INNER JOIN with items table. problem: can i just write the cart route down after items?
"&amp;"4. POST, GET, PATCH(just qty), DELETE for cart table CHECKED.")</f>
        <v>1. join tabel items dan category di dalam fungsi get items kompleks CHECK
2. sortBy id, name, category di dalam fungsi get items kompleks CHECK
3. show cart table use INNER JOIN with items table. problem: can i just write the cart route down after items?
4. POST, GET, PATCH(just qty), DELETE for cart table CHECKED.</v>
      </c>
      <c r="E55" s="42" t="str">
        <f>IFERROR(__xludf.DUMMYFUNCTION("""COMPUTED_VALUE"""),"some problems. 
i cant call cartRoutes in index.js, so i use itemsRoute.")</f>
        <v>some problems. 
i cant call cartRoutes in index.js, so i use itemsRoute.</v>
      </c>
      <c r="F55" s="42" t="str">
        <f>IFERROR(__xludf.DUMMYFUNCTION("""COMPUTED_VALUE"""),"error handling and arrange some code")</f>
        <v>error handling and arrange some code</v>
      </c>
    </row>
    <row r="56">
      <c r="A56" s="43">
        <f>IFERROR(__xludf.DUMMYFUNCTION("""COMPUTED_VALUE"""),44088.37919770833)</f>
        <v>44088.3792</v>
      </c>
      <c r="B56" s="42" t="str">
        <f>IFERROR(__xludf.DUMMYFUNCTION("""COMPUTED_VALUE"""),"Muhammad Abdurasyid")</f>
        <v>Muhammad Abdurasyid</v>
      </c>
      <c r="C56" s="44">
        <f>IFERROR(__xludf.DUMMYFUNCTION("""COMPUTED_VALUE"""),44088.0)</f>
        <v>44088</v>
      </c>
      <c r="D56" s="42" t="str">
        <f>IFERROR(__xludf.DUMMYFUNCTION("""COMPUTED_VALUE"""),"1. Menambahkan API utk category: GET (/category), POST (/category), DELETE (/category/{id}), PUT (/category/{id}) &amp; GET (/category/{id})
2. Menambahkan API utk color: GET (/color), POST (/color), DELETE (/color/{id}), PUT (/color/{id}) 
3. Menambahkan API"&amp;" utk condition: GET (/condition), POST (/condition), DELETE (/condition/{id}), PUT (/condition/{id})
4. Menambahkan API utk seller: GET (/seller), POST (/seller), DELETE (/seller/{id}), PUT (/seller/{id}), PATCH (/seller/{id})
5. Modifikasi API item:
- Me"&amp;"ngubah default sort berdasarkan created_at secara ascending
- Menambahkan kolom stock, category_id, condition_id, color_id, seller_id ketika insert data pada method POST '/item'
- Menambahkan kolom stock, category_id, condition_id, color_id ketika update "&amp;"data pada method PUT &amp; PATCH '/item/{id}'
- Menambahkan handling agar kolom stock &amp; price hanya menerima entry bilangan positif
")</f>
        <v>1. Menambahkan API utk category: GET (/category), POST (/category), DELETE (/category/{id}), PUT (/category/{id}) &amp; GET (/category/{id})
2. Menambahkan API utk color: GET (/color), POST (/color), DELETE (/color/{id}), PUT (/color/{id}) 
3. Menambahkan API utk condition: GET (/condition), POST (/condition), DELETE (/condition/{id}), PUT (/condition/{id})
4. Menambahkan API utk seller: GET (/seller), POST (/seller), DELETE (/seller/{id}), PUT (/seller/{id}), PATCH (/seller/{id})
5. Modifikasi API item:
- Mengubah default sort berdasarkan created_at secara ascending
- Menambahkan kolom stock, category_id, condition_id, color_id, seller_id ketika insert data pada method POST '/item'
- Menambahkan kolom stock, category_id, condition_id, color_id ketika update data pada method PUT &amp; PATCH '/item/{id}'
- Menambahkan handling agar kolom stock &amp; price hanya menerima entry bilangan positif
</v>
      </c>
      <c r="E56" s="42" t="str">
        <f>IFERROR(__xludf.DUMMYFUNCTION("""COMPUTED_VALUE"""),"Belum bisa menggunakan multer utk upload image")</f>
        <v>Belum bisa menggunakan multer utk upload image</v>
      </c>
      <c r="F56" s="42" t="str">
        <f>IFERROR(__xludf.DUMMYFUNCTION("""COMPUTED_VALUE"""),"Membuat API utk tabel costumer, cart, shipping address")</f>
        <v>Membuat API utk tabel costumer, cart, shipping address</v>
      </c>
    </row>
    <row r="57">
      <c r="A57" s="43">
        <f>IFERROR(__xludf.DUMMYFUNCTION("""COMPUTED_VALUE"""),44088.38329543981)</f>
        <v>44088.3833</v>
      </c>
      <c r="B57" s="42" t="str">
        <f>IFERROR(__xludf.DUMMYFUNCTION("""COMPUTED_VALUE"""),"Pramesti Regita Cahyani")</f>
        <v>Pramesti Regita Cahyani</v>
      </c>
      <c r="C57" s="44">
        <f>IFERROR(__xludf.DUMMYFUNCTION("""COMPUTED_VALUE"""),44088.0)</f>
        <v>44088</v>
      </c>
      <c r="D57" s="42" t="str">
        <f>IFERROR(__xludf.DUMMYFUNCTION("""COMPUTED_VALUE"""),"membuat tabel cart dan menampilkan seluruhnya dan menampilkan per user_id")</f>
        <v>membuat tabel cart dan menampilkan seluruhnya dan menampilkan per user_id</v>
      </c>
      <c r="E57" s="42" t="str">
        <f>IFERROR(__xludf.DUMMYFUNCTION("""COMPUTED_VALUE"""),"belum membuat flowchart, masih bingung cara pengimplementasian ke flowchart")</f>
        <v>belum membuat flowchart, masih bingung cara pengimplementasian ke flowchart</v>
      </c>
      <c r="F57" s="42" t="str">
        <f>IFERROR(__xludf.DUMMYFUNCTION("""COMPUTED_VALUE"""),"mempresentasikan project dan mendapat feedback")</f>
        <v>mempresentasikan project dan mendapat feedback</v>
      </c>
    </row>
    <row r="58">
      <c r="A58" s="43">
        <f>IFERROR(__xludf.DUMMYFUNCTION("""COMPUTED_VALUE"""),44088.38417762732)</f>
        <v>44088.38418</v>
      </c>
      <c r="B58" s="42" t="str">
        <f>IFERROR(__xludf.DUMMYFUNCTION("""COMPUTED_VALUE"""),"Ahmad Fatkhul Amam")</f>
        <v>Ahmad Fatkhul Amam</v>
      </c>
      <c r="C58" s="44">
        <f>IFERROR(__xludf.DUMMYFUNCTION("""COMPUTED_VALUE"""),44088.0)</f>
        <v>44088</v>
      </c>
      <c r="D58" s="42" t="str">
        <f>IFERROR(__xludf.DUMMYFUNCTION("""COMPUTED_VALUE"""),"fix the e-commerce CRUD program in cart features")</f>
        <v>fix the e-commerce CRUD program in cart features</v>
      </c>
      <c r="E58" s="42" t="str">
        <f>IFERROR(__xludf.DUMMYFUNCTION("""COMPUTED_VALUE"""),"i think the cart get item with user choise the product, and i cannot implementation my logic to program")</f>
        <v>i think the cart get item with user choise the product, and i cannot implementation my logic to program</v>
      </c>
      <c r="F58" s="42" t="str">
        <f>IFERROR(__xludf.DUMMYFUNCTION("""COMPUTED_VALUE"""),"fix the e-commerce, crud program in the cart, and error handling in the all program")</f>
        <v>fix the e-commerce, crud program in the cart, and error handling in the all program</v>
      </c>
    </row>
    <row r="59">
      <c r="A59" s="43">
        <f>IFERROR(__xludf.DUMMYFUNCTION("""COMPUTED_VALUE"""),44088.39154787037)</f>
        <v>44088.39155</v>
      </c>
      <c r="B59" s="42" t="str">
        <f>IFERROR(__xludf.DUMMYFUNCTION("""COMPUTED_VALUE"""),"Timotius Simanjuntak")</f>
        <v>Timotius Simanjuntak</v>
      </c>
      <c r="C59" s="44">
        <f>IFERROR(__xludf.DUMMYFUNCTION("""COMPUTED_VALUE"""),44088.0)</f>
        <v>44088</v>
      </c>
      <c r="D59" s="42" t="str">
        <f>IFERROR(__xludf.DUMMYFUNCTION("""COMPUTED_VALUE"""),"setup database dengan mysql, membuat user table, product table, rating table, category table, menyelesaikan CRUD Product atau item, mengerjakan CRUD user, dll.")</f>
        <v>setup database dengan mysql, membuat user table, product table, rating table, category table, menyelesaikan CRUD Product atau item, mengerjakan CRUD user, dll.</v>
      </c>
      <c r="E59" s="42"/>
      <c r="F59" s="42" t="str">
        <f>IFERROR(__xludf.DUMMYFUNCTION("""COMPUTED_VALUE"""),"belajar lebih sungguh2 ")</f>
        <v>belajar lebih sungguh2 </v>
      </c>
    </row>
    <row r="60">
      <c r="A60" s="43">
        <f>IFERROR(__xludf.DUMMYFUNCTION("""COMPUTED_VALUE"""),44088.39422428241)</f>
        <v>44088.39422</v>
      </c>
      <c r="B60" s="42" t="str">
        <f>IFERROR(__xludf.DUMMYFUNCTION("""COMPUTED_VALUE"""),"Fahmi Aziz Ismail")</f>
        <v>Fahmi Aziz Ismail</v>
      </c>
      <c r="C60" s="44">
        <f>IFERROR(__xludf.DUMMYFUNCTION("""COMPUTED_VALUE"""),44088.0)</f>
        <v>44088</v>
      </c>
      <c r="D60" s="42" t="str">
        <f>IFERROR(__xludf.DUMMYFUNCTION("""COMPUTED_VALUE"""),"saya sudah menyelesaikan tabel product dan category")</f>
        <v>saya sudah menyelesaikan tabel product dan category</v>
      </c>
      <c r="E60" s="42" t="str">
        <f>IFERROR(__xludf.DUMMYFUNCTION("""COMPUTED_VALUE"""),"belum bisa menambahkan item dari table product ke table cart")</f>
        <v>belum bisa menambahkan item dari table product ke table cart</v>
      </c>
      <c r="F60" s="42" t="str">
        <f>IFERROR(__xludf.DUMMYFUNCTION("""COMPUTED_VALUE"""),"membuat fungsi tabel cart dan membuat flowchart")</f>
        <v>membuat fungsi tabel cart dan membuat flowchart</v>
      </c>
    </row>
    <row r="61">
      <c r="A61" s="43">
        <f>IFERROR(__xludf.DUMMYFUNCTION("""COMPUTED_VALUE"""),44088.39707574074)</f>
        <v>44088.39708</v>
      </c>
      <c r="B61" s="42" t="str">
        <f>IFERROR(__xludf.DUMMYFUNCTION("""COMPUTED_VALUE"""),"Muhamad Faris Alkodri")</f>
        <v>Muhamad Faris Alkodri</v>
      </c>
      <c r="C61" s="44">
        <f>IFERROR(__xludf.DUMMYFUNCTION("""COMPUTED_VALUE"""),44088.0)</f>
        <v>44088</v>
      </c>
      <c r="D61" s="42" t="str">
        <f>IFERROR(__xludf.DUMMYFUNCTION("""COMPUTED_VALUE"""),"I have already made CRUD for all database")</f>
        <v>I have already made CRUD for all database</v>
      </c>
      <c r="E61" s="42" t="str">
        <f>IFERROR(__xludf.DUMMYFUNCTION("""COMPUTED_VALUE"""),"I'm encountering much logic problem here because of there are so many logics and statements I use here")</f>
        <v>I'm encountering much logic problem here because of there are so many logics and statements I use here</v>
      </c>
      <c r="F61" s="42" t="str">
        <f>IFERROR(__xludf.DUMMYFUNCTION("""COMPUTED_VALUE"""),"I was going to add mutler middleware to my code so user can post photos")</f>
        <v>I was going to add mutler middleware to my code so user can post photos</v>
      </c>
    </row>
    <row r="62">
      <c r="A62" s="43">
        <f>IFERROR(__xludf.DUMMYFUNCTION("""COMPUTED_VALUE"""),44088.39940420139)</f>
        <v>44088.3994</v>
      </c>
      <c r="B62" s="42" t="str">
        <f>IFERROR(__xludf.DUMMYFUNCTION("""COMPUTED_VALUE"""),"Wahyu Ramadhan")</f>
        <v>Wahyu Ramadhan</v>
      </c>
      <c r="C62" s="44">
        <f>IFERROR(__xludf.DUMMYFUNCTION("""COMPUTED_VALUE"""),36597.0)</f>
        <v>36597</v>
      </c>
      <c r="D62" s="42" t="str">
        <f>IFERROR(__xludf.DUMMYFUNCTION("""COMPUTED_VALUE"""),"CRUD and JOIN table ")</f>
        <v>CRUD and JOIN table </v>
      </c>
      <c r="E62" s="42" t="str">
        <f>IFERROR(__xludf.DUMMYFUNCTION("""COMPUTED_VALUE"""),"Yes, when I join and filter")</f>
        <v>Yes, when I join and filter</v>
      </c>
      <c r="F62" s="42" t="str">
        <f>IFERROR(__xludf.DUMMYFUNCTION("""COMPUTED_VALUE"""),"Repair my CRUD")</f>
        <v>Repair my CRUD</v>
      </c>
    </row>
    <row r="63">
      <c r="A63" s="43">
        <f>IFERROR(__xludf.DUMMYFUNCTION("""COMPUTED_VALUE"""),44088.40432771991)</f>
        <v>44088.40433</v>
      </c>
      <c r="B63" s="42" t="str">
        <f>IFERROR(__xludf.DUMMYFUNCTION("""COMPUTED_VALUE"""),"Furoidah Chilmi")</f>
        <v>Furoidah Chilmi</v>
      </c>
      <c r="C63" s="44">
        <f>IFERROR(__xludf.DUMMYFUNCTION("""COMPUTED_VALUE"""),44088.0)</f>
        <v>44088</v>
      </c>
      <c r="D63" s="42" t="str">
        <f>IFERROR(__xludf.DUMMYFUNCTION("""COMPUTED_VALUE"""),"1. get/:id, category joined with items. should i always write the join code?
2. adding category column on PUT method. problem: when i use trim(), all the field must be checked. if not, it will give an error, error i cant handle yet.
3. PATCH items, due to"&amp;" trim(), name must be always checked!
4. add search method on /category. search by category name an sort asc or desc")</f>
        <v>1. get/:id, category joined with items. should i always write the join code?
2. adding category column on PUT method. problem: when i use trim(), all the field must be checked. if not, it will give an error, error i cant handle yet.
3. PATCH items, due to trim(), name must be always checked!
4. add search method on /category. search by category name an sort asc or desc</v>
      </c>
      <c r="E63" s="42"/>
      <c r="F63" s="42" t="str">
        <f>IFERROR(__xludf.DUMMYFUNCTION("""COMPUTED_VALUE"""),"1. there will be some revisions after presentation, i'll do the revision today hehe")</f>
        <v>1. there will be some revisions after presentation, i'll do the revision today hehe</v>
      </c>
    </row>
    <row r="64">
      <c r="A64" s="43">
        <f>IFERROR(__xludf.DUMMYFUNCTION("""COMPUTED_VALUE"""),44089.371186435186)</f>
        <v>44089.37119</v>
      </c>
      <c r="B64" s="42" t="str">
        <f>IFERROR(__xludf.DUMMYFUNCTION("""COMPUTED_VALUE"""),"Pramesti Regita Cahyani")</f>
        <v>Pramesti Regita Cahyani</v>
      </c>
      <c r="C64" s="44">
        <f>IFERROR(__xludf.DUMMYFUNCTION("""COMPUTED_VALUE"""),44089.0)</f>
        <v>44089</v>
      </c>
      <c r="D64" s="42" t="str">
        <f>IFERROR(__xludf.DUMMYFUNCTION("""COMPUTED_VALUE"""),"Sudah mempresentasikan project seminggu yang lalu")</f>
        <v>Sudah mempresentasikan project seminggu yang lalu</v>
      </c>
      <c r="E64" s="42" t="str">
        <f>IFERROR(__xludf.DUMMYFUNCTION("""COMPUTED_VALUE"""),"masih belum mencoba untuk upload gambar dan membuat flowchart karena kemarin ada masalah internal")</f>
        <v>masih belum mencoba untuk upload gambar dan membuat flowchart karena kemarin ada masalah internal</v>
      </c>
      <c r="F64" s="42" t="str">
        <f>IFERROR(__xludf.DUMMYFUNCTION("""COMPUTED_VALUE"""),"membuat flowchart dan mencoba merevisi tugas bootstrap")</f>
        <v>membuat flowchart dan mencoba merevisi tugas bootstrap</v>
      </c>
    </row>
    <row r="65">
      <c r="A65" s="43">
        <f>IFERROR(__xludf.DUMMYFUNCTION("""COMPUTED_VALUE"""),44089.37727193287)</f>
        <v>44089.37727</v>
      </c>
      <c r="B65" s="42" t="str">
        <f>IFERROR(__xludf.DUMMYFUNCTION("""COMPUTED_VALUE"""),"Ahmad Fatkhul Amam")</f>
        <v>Ahmad Fatkhul Amam</v>
      </c>
      <c r="C65" s="44">
        <f>IFERROR(__xludf.DUMMYFUNCTION("""COMPUTED_VALUE"""),44089.0)</f>
        <v>44089</v>
      </c>
      <c r="D65" s="42" t="str">
        <f>IFERROR(__xludf.DUMMYFUNCTION("""COMPUTED_VALUE"""),"debuging in error handling, learn about multer module and how to use")</f>
        <v>debuging in error handling, learn about multer module and how to use</v>
      </c>
      <c r="E65" s="42" t="str">
        <f>IFERROR(__xludf.DUMMYFUNCTION("""COMPUTED_VALUE"""),"I have difficulty implementing error handling")</f>
        <v>I have difficulty implementing error handling</v>
      </c>
      <c r="F65" s="42" t="str">
        <f>IFERROR(__xludf.DUMMYFUNCTION("""COMPUTED_VALUE"""),"learn and a lot of practice about error handling")</f>
        <v>learn and a lot of practice about error handling</v>
      </c>
    </row>
    <row r="66">
      <c r="A66" s="43">
        <f>IFERROR(__xludf.DUMMYFUNCTION("""COMPUTED_VALUE"""),44089.38422716435)</f>
        <v>44089.38423</v>
      </c>
      <c r="B66" s="42" t="str">
        <f>IFERROR(__xludf.DUMMYFUNCTION("""COMPUTED_VALUE"""),"Muhammad Abdurasyid")</f>
        <v>Muhammad Abdurasyid</v>
      </c>
      <c r="C66" s="44">
        <f>IFERROR(__xludf.DUMMYFUNCTION("""COMPUTED_VALUE"""),44089.0)</f>
        <v>44089</v>
      </c>
      <c r="D66" s="42" t="str">
        <f>IFERROR(__xludf.DUMMYFUNCTION("""COMPUTED_VALUE"""),"1. Menambahkan GET item berdasarkan category di path '/category/{id}'. Didalamnya juga terdapat fitur page, limit, search &amp; sort
2. Menambahkan handling agar fitur page &amp; limit hanya menerima entry bilangan positif
3. Menambahkan GET item berdasarkan sell"&amp;"er di path '/seller/{id}'. Didalamnya juga terdapat fitur page, limit, search &amp; sort
4. Menambahkan API pada tabel costumer: GET '/costumer/{id}', POST '/costumer', PATCH '/costumer/{id}', DELETE '/costumer/{id}'")</f>
        <v>1. Menambahkan GET item berdasarkan category di path '/category/{id}'. Didalamnya juga terdapat fitur page, limit, search &amp; sort
2. Menambahkan handling agar fitur page &amp; limit hanya menerima entry bilangan positif
3. Menambahkan GET item berdasarkan seller di path '/seller/{id}'. Didalamnya juga terdapat fitur page, limit, search &amp; sort
4. Menambahkan API pada tabel costumer: GET '/costumer/{id}', POST '/costumer', PATCH '/costumer/{id}', DELETE '/costumer/{id}'</v>
      </c>
      <c r="E66" s="42"/>
      <c r="F66" s="42" t="str">
        <f>IFERROR(__xludf.DUMMYFUNCTION("""COMPUTED_VALUE"""),"Membuat API untuk tabel cart, shipping address dan mencoba package multer")</f>
        <v>Membuat API untuk tabel cart, shipping address dan mencoba package multer</v>
      </c>
    </row>
    <row r="67">
      <c r="A67" s="43">
        <f>IFERROR(__xludf.DUMMYFUNCTION("""COMPUTED_VALUE"""),44089.38881290509)</f>
        <v>44089.38881</v>
      </c>
      <c r="B67" s="42" t="str">
        <f>IFERROR(__xludf.DUMMYFUNCTION("""COMPUTED_VALUE"""),"Fahmi Aziz Ismail")</f>
        <v>Fahmi Aziz Ismail</v>
      </c>
      <c r="C67" s="44">
        <f>IFERROR(__xludf.DUMMYFUNCTION("""COMPUTED_VALUE"""),44089.0)</f>
        <v>44089</v>
      </c>
      <c r="D67" s="42" t="str">
        <f>IFERROR(__xludf.DUMMYFUNCTION("""COMPUTED_VALUE"""),"revisi product dan kategory")</f>
        <v>revisi product dan kategory</v>
      </c>
      <c r="E67" s="42" t="str">
        <f>IFERROR(__xludf.DUMMYFUNCTION("""COMPUTED_VALUE"""),"cara implementasi join")</f>
        <v>cara implementasi join</v>
      </c>
      <c r="F67" s="42" t="str">
        <f>IFERROR(__xludf.DUMMYFUNCTION("""COMPUTED_VALUE"""),"melanjutkan cart dan flowchart")</f>
        <v>melanjutkan cart dan flowchart</v>
      </c>
    </row>
    <row r="68">
      <c r="A68" s="43">
        <f>IFERROR(__xludf.DUMMYFUNCTION("""COMPUTED_VALUE"""),44089.39573041667)</f>
        <v>44089.39573</v>
      </c>
      <c r="B68" s="42" t="str">
        <f>IFERROR(__xludf.DUMMYFUNCTION("""COMPUTED_VALUE"""),"Muhamad Faris Alkodri")</f>
        <v>Muhamad Faris Alkodri</v>
      </c>
      <c r="C68" s="44">
        <f>IFERROR(__xludf.DUMMYFUNCTION("""COMPUTED_VALUE"""),44089.0)</f>
        <v>44089</v>
      </c>
      <c r="D68" s="42" t="str">
        <f>IFERROR(__xludf.DUMMYFUNCTION("""COMPUTED_VALUE"""),"I'm trying to make another function to make my code more neat and organized")</f>
        <v>I'm trying to make another function to make my code more neat and organized</v>
      </c>
      <c r="E68" s="42" t="str">
        <f>IFERROR(__xludf.DUMMYFUNCTION("""COMPUTED_VALUE"""),"My problem is more of psychological because i cant keep my mood good")</f>
        <v>My problem is more of psychological because i cant keep my mood good</v>
      </c>
      <c r="F68" s="42" t="str">
        <f>IFERROR(__xludf.DUMMYFUNCTION("""COMPUTED_VALUE"""),"I want to use multer and learn basic of authentication in express")</f>
        <v>I want to use multer and learn basic of authentication in express</v>
      </c>
    </row>
    <row r="69">
      <c r="A69" s="43">
        <f>IFERROR(__xludf.DUMMYFUNCTION("""COMPUTED_VALUE"""),44089.406542094905)</f>
        <v>44089.40654</v>
      </c>
      <c r="B69" s="42" t="str">
        <f>IFERROR(__xludf.DUMMYFUNCTION("""COMPUTED_VALUE"""),"Furoidah Chilmi")</f>
        <v>Furoidah Chilmi</v>
      </c>
      <c r="C69" s="44">
        <f>IFERROR(__xludf.DUMMYFUNCTION("""COMPUTED_VALUE"""),44089.0)</f>
        <v>44089</v>
      </c>
      <c r="D69" s="42" t="str">
        <f>IFERROR(__xludf.DUMMYFUNCTION("""COMPUTED_VALUE"""),"null")</f>
        <v>null</v>
      </c>
      <c r="E69" s="42"/>
      <c r="F69" s="42" t="str">
        <f>IFERROR(__xludf.DUMMYFUNCTION("""COMPUTED_VALUE"""),"- add image on API
- add total price on cart list
- arrange the code")</f>
        <v>- add image on API
- add total price on cart list
- arrange the code</v>
      </c>
    </row>
    <row r="70">
      <c r="A70" s="43">
        <f>IFERROR(__xludf.DUMMYFUNCTION("""COMPUTED_VALUE"""),44090.299898171295)</f>
        <v>44090.2999</v>
      </c>
      <c r="B70" s="42" t="str">
        <f>IFERROR(__xludf.DUMMYFUNCTION("""COMPUTED_VALUE"""),"Satrio Nugroho")</f>
        <v>Satrio Nugroho</v>
      </c>
      <c r="C70" s="44">
        <f>IFERROR(__xludf.DUMMYFUNCTION("""COMPUTED_VALUE"""),44090.0)</f>
        <v>44090</v>
      </c>
      <c r="D70" s="42" t="str">
        <f>IFERROR(__xludf.DUMMYFUNCTION("""COMPUTED_VALUE"""),"Kemaren saya telah menyelesaikan tugas backend  ")</f>
        <v>Kemaren saya telah menyelesaikan tugas backend  </v>
      </c>
      <c r="E70" s="42" t="str">
        <f>IFERROR(__xludf.DUMMYFUNCTION("""COMPUTED_VALUE"""),"masih ada program backend yang belum sempurna ")</f>
        <v>masih ada program backend yang belum sempurna </v>
      </c>
      <c r="F70" s="42" t="str">
        <f>IFERROR(__xludf.DUMMYFUNCTION("""COMPUTED_VALUE"""),"hari ini saya akan me]anjutkan ke materi frontend react ")</f>
        <v>hari ini saya akan me]anjutkan ke materi frontend react </v>
      </c>
    </row>
    <row r="71">
      <c r="A71" s="43">
        <f>IFERROR(__xludf.DUMMYFUNCTION("""COMPUTED_VALUE"""),44090.349180543984)</f>
        <v>44090.34918</v>
      </c>
      <c r="B71" s="42" t="str">
        <f>IFERROR(__xludf.DUMMYFUNCTION("""COMPUTED_VALUE"""),"Timotius Simanjuntak")</f>
        <v>Timotius Simanjuntak</v>
      </c>
      <c r="C71" s="44">
        <f>IFERROR(__xludf.DUMMYFUNCTION("""COMPUTED_VALUE"""),44090.0)</f>
        <v>44090</v>
      </c>
      <c r="D71" s="42" t="str">
        <f>IFERROR(__xludf.DUMMYFUNCTION("""COMPUTED_VALUE"""),"learn react, state, props, lifecycle, react-strap, axios")</f>
        <v>learn react, state, props, lifecycle, react-strap, axios</v>
      </c>
      <c r="E71" s="42"/>
      <c r="F71" s="42" t="str">
        <f>IFERROR(__xludf.DUMMYFUNCTION("""COMPUTED_VALUE"""),"wanna learn more")</f>
        <v>wanna learn more</v>
      </c>
    </row>
    <row r="72">
      <c r="A72" s="43">
        <f>IFERROR(__xludf.DUMMYFUNCTION("""COMPUTED_VALUE"""),44090.37200164352)</f>
        <v>44090.372</v>
      </c>
      <c r="B72" s="42" t="str">
        <f>IFERROR(__xludf.DUMMYFUNCTION("""COMPUTED_VALUE"""),"Muhammad Abdurasyid")</f>
        <v>Muhammad Abdurasyid</v>
      </c>
      <c r="C72" s="44">
        <f>IFERROR(__xludf.DUMMYFUNCTION("""COMPUTED_VALUE"""),44090.0)</f>
        <v>44090</v>
      </c>
      <c r="D72" s="42" t="str">
        <f>IFERROR(__xludf.DUMMYFUNCTION("""COMPUTED_VALUE"""),"1. Menambahkan API pada tabel cart: POST '/cart', GET '/cart/{customer_id}', PATCH '/cart/{customer_id}/{item_id}', DELETE '/cart/{customer_id}/{item_id}'
2. Belajar dan mencoba live code dari react komponen, state &amp; props
3. Berhasil mengimplementasikan "&amp;"tampilan/page register dari mockup dengan menggunakan reactstrap")</f>
        <v>1. Menambahkan API pada tabel cart: POST '/cart', GET '/cart/{customer_id}', PATCH '/cart/{customer_id}/{item_id}', DELETE '/cart/{customer_id}/{item_id}'
2. Belajar dan mencoba live code dari react komponen, state &amp; props
3. Berhasil mengimplementasikan tampilan/page register dari mockup dengan menggunakan reactstrap</v>
      </c>
      <c r="E72" s="42" t="str">
        <f>IFERROR(__xludf.DUMMYFUNCTION("""COMPUTED_VALUE"""),"Perlu memahami dokumentasi komponen apa saja yg tersedia di reactstrap. Jika tidak tersedia dalam bentuk komponen, maka bisa menggunakan class bootstrap yg ada dgn cara ditulis ke dalam property className")</f>
        <v>Perlu memahami dokumentasi komponen apa saja yg tersedia di reactstrap. Jika tidak tersedia dalam bentuk komponen, maka bisa menggunakan class bootstrap yg ada dgn cara ditulis ke dalam property className</v>
      </c>
      <c r="F72" s="42" t="str">
        <f>IFERROR(__xludf.DUMMYFUNCTION("""COMPUTED_VALUE"""),"Belajar react melalui tugas yg diberikan")</f>
        <v>Belajar react melalui tugas yg diberikan</v>
      </c>
    </row>
    <row r="73">
      <c r="A73" s="43">
        <f>IFERROR(__xludf.DUMMYFUNCTION("""COMPUTED_VALUE"""),44090.37517534722)</f>
        <v>44090.37518</v>
      </c>
      <c r="B73" s="42" t="str">
        <f>IFERROR(__xludf.DUMMYFUNCTION("""COMPUTED_VALUE"""),"Pramesti Regita Cahyani")</f>
        <v>Pramesti Regita Cahyani</v>
      </c>
      <c r="C73" s="44">
        <f>IFERROR(__xludf.DUMMYFUNCTION("""COMPUTED_VALUE"""),44090.0)</f>
        <v>44090</v>
      </c>
      <c r="D73" s="42" t="str">
        <f>IFERROR(__xludf.DUMMYFUNCTION("""COMPUTED_VALUE"""),"Membuat flowchart dan mencoba mengimpementasikan reactstrap")</f>
        <v>Membuat flowchart dan mencoba mengimpementasikan reactstrap</v>
      </c>
      <c r="E73" s="42" t="str">
        <f>IFERROR(__xludf.DUMMYFUNCTION("""COMPUTED_VALUE"""),"Belum menemukan problem")</f>
        <v>Belum menemukan problem</v>
      </c>
      <c r="F73" s="42" t="str">
        <f>IFERROR(__xludf.DUMMYFUNCTION("""COMPUTED_VALUE"""),"Mempelajari reactstrap lebih lanjut dan jika ada waktu akan merevisi tugas sebelumnya")</f>
        <v>Mempelajari reactstrap lebih lanjut dan jika ada waktu akan merevisi tugas sebelumnya</v>
      </c>
    </row>
    <row r="74">
      <c r="A74" s="43">
        <f>IFERROR(__xludf.DUMMYFUNCTION("""COMPUTED_VALUE"""),44090.37961438658)</f>
        <v>44090.37961</v>
      </c>
      <c r="B74" s="42" t="str">
        <f>IFERROR(__xludf.DUMMYFUNCTION("""COMPUTED_VALUE"""),"Ahmad Fatkhul Amam")</f>
        <v>Ahmad Fatkhul Amam</v>
      </c>
      <c r="C74" s="44">
        <f>IFERROR(__xludf.DUMMYFUNCTION("""COMPUTED_VALUE"""),44090.0)</f>
        <v>44090</v>
      </c>
      <c r="D74" s="42" t="str">
        <f>IFERROR(__xludf.DUMMYFUNCTION("""COMPUTED_VALUE"""),"understand the flow of the react program")</f>
        <v>understand the flow of the react program</v>
      </c>
      <c r="E74" s="42" t="str">
        <f>IFERROR(__xludf.DUMMYFUNCTION("""COMPUTED_VALUE"""),"I'm still a little confused about a program to be created and run in React, it might take a lot of practice")</f>
        <v>I'm still a little confused about a program to be created and run in React, it might take a lot of practice</v>
      </c>
      <c r="F74" s="42" t="str">
        <f>IFERROR(__xludf.DUMMYFUNCTION("""COMPUTED_VALUE"""),"i will learn more about react program(how the program run) and reactstrap to make a frontand")</f>
        <v>i will learn more about react program(how the program run) and reactstrap to make a frontand</v>
      </c>
    </row>
    <row r="75">
      <c r="A75" s="43">
        <f>IFERROR(__xludf.DUMMYFUNCTION("""COMPUTED_VALUE"""),44090.38034369213)</f>
        <v>44090.38034</v>
      </c>
      <c r="B75" s="42" t="str">
        <f>IFERROR(__xludf.DUMMYFUNCTION("""COMPUTED_VALUE"""),"Fahmi Aziz Ismail")</f>
        <v>Fahmi Aziz Ismail</v>
      </c>
      <c r="C75" s="44">
        <f>IFERROR(__xludf.DUMMYFUNCTION("""COMPUTED_VALUE"""),44090.0)</f>
        <v>44090</v>
      </c>
      <c r="D75" s="42" t="str">
        <f>IFERROR(__xludf.DUMMYFUNCTION("""COMPUTED_VALUE"""),"revisi tugas : menambahkan fungsi CRUD untuk table cart dan membuat flowchart")</f>
        <v>revisi tugas : menambahkan fungsi CRUD untuk table cart dan membuat flowchart</v>
      </c>
      <c r="E75" s="42" t="str">
        <f>IFERROR(__xludf.DUMMYFUNCTION("""COMPUTED_VALUE"""),"implementasi inner join dan Error handling")</f>
        <v>implementasi inner join dan Error handling</v>
      </c>
      <c r="F75" s="42" t="str">
        <f>IFERROR(__xludf.DUMMYFUNCTION("""COMPUTED_VALUE"""),"memahami react")</f>
        <v>memahami react</v>
      </c>
    </row>
    <row r="76">
      <c r="A76" s="43">
        <f>IFERROR(__xludf.DUMMYFUNCTION("""COMPUTED_VALUE"""),44090.39136703704)</f>
        <v>44090.39137</v>
      </c>
      <c r="B76" s="42" t="str">
        <f>IFERROR(__xludf.DUMMYFUNCTION("""COMPUTED_VALUE"""),"Muhamad Faris Alkodri")</f>
        <v>Muhamad Faris Alkodri</v>
      </c>
      <c r="C76" s="44">
        <f>IFERROR(__xludf.DUMMYFUNCTION("""COMPUTED_VALUE"""),44090.0)</f>
        <v>44090</v>
      </c>
      <c r="D76" s="42" t="str">
        <f>IFERROR(__xludf.DUMMYFUNCTION("""COMPUTED_VALUE"""),"I was separating the get page and search features on express-beginer, applying multer but still find some error, abd installing reactstrap and react router dom")</f>
        <v>I was separating the get page and search features on express-beginer, applying multer but still find some error, abd installing reactstrap and react router dom</v>
      </c>
      <c r="E76" s="42" t="str">
        <f>IFERROR(__xludf.DUMMYFUNCTION("""COMPUTED_VALUE"""),"For multer i dont know where to put it, am i should put it on other files with separate CRUD or should i including on items' CRUD, and after all i dont know how to applying that
also when i was installing the reactstrap and react router dom i encountered "&amp;"an error 'Maximum call stack size exceeded'")</f>
        <v>For multer i dont know where to put it, am i should put it on other files with separate CRUD or should i including on items' CRUD, and after all i dont know how to applying that
also when i was installing the reactstrap and react router dom i encountered an error 'Maximum call stack size exceeded'</v>
      </c>
      <c r="F76" s="42" t="str">
        <f>IFERROR(__xludf.DUMMYFUNCTION("""COMPUTED_VALUE"""),"Was going to apply multer and ayth on express-beginer and also installing reactstrap and react router-dom")</f>
        <v>Was going to apply multer and ayth on express-beginer and also installing reactstrap and react router-dom</v>
      </c>
    </row>
    <row r="77">
      <c r="A77" s="43">
        <f>IFERROR(__xludf.DUMMYFUNCTION("""COMPUTED_VALUE"""),44090.39840002314)</f>
        <v>44090.3984</v>
      </c>
      <c r="B77" s="42" t="str">
        <f>IFERROR(__xludf.DUMMYFUNCTION("""COMPUTED_VALUE"""),"Ahmad Asrofi")</f>
        <v>Ahmad Asrofi</v>
      </c>
      <c r="C77" s="44">
        <f>IFERROR(__xludf.DUMMYFUNCTION("""COMPUTED_VALUE"""),44090.0)</f>
        <v>44090</v>
      </c>
      <c r="D77" s="42" t="str">
        <f>IFERROR(__xludf.DUMMYFUNCTION("""COMPUTED_VALUE"""),"doing my task for making flowcart from Category. i watched the recording for yesterday's class again, so that i can understand more what React is and how to implement it. exploring about reactstrap and implementing how to install reactstrap, some trial fo"&amp;"r making a button, text color, link, form, input group and more")</f>
        <v>doing my task for making flowcart from Category. i watched the recording for yesterday's class again, so that i can understand more what React is and how to implement it. exploring about reactstrap and implementing how to install reactstrap, some trial for making a button, text color, link, form, input group and more</v>
      </c>
      <c r="E77" s="42" t="str">
        <f>IFERROR(__xludf.DUMMYFUNCTION("""COMPUTED_VALUE"""),"i dont know yet how to make a API Flowchart, so i make Flowchart from program that i build.")</f>
        <v>i dont know yet how to make a API Flowchart, so i make Flowchart from program that i build.</v>
      </c>
      <c r="F77" s="42" t="str">
        <f>IFERROR(__xludf.DUMMYFUNCTION("""COMPUTED_VALUE"""),"I will make another flowchart, explore about react-router, trial some example from react-router's site like URL parameters, query parameters and more")</f>
        <v>I will make another flowchart, explore about react-router, trial some example from react-router's site like URL parameters, query parameters and more</v>
      </c>
    </row>
    <row r="78">
      <c r="A78" s="43">
        <f>IFERROR(__xludf.DUMMYFUNCTION("""COMPUTED_VALUE"""),44090.40363508102)</f>
        <v>44090.40364</v>
      </c>
      <c r="B78" s="42" t="str">
        <f>IFERROR(__xludf.DUMMYFUNCTION("""COMPUTED_VALUE"""),"Muhammad")</f>
        <v>Muhammad</v>
      </c>
      <c r="C78" s="44">
        <f>IFERROR(__xludf.DUMMYFUNCTION("""COMPUTED_VALUE"""),44090.0)</f>
        <v>44090</v>
      </c>
      <c r="D78" s="42" t="str">
        <f>IFERROR(__xludf.DUMMYFUNCTION("""COMPUTED_VALUE"""),"learn basic react app, components, props and state")</f>
        <v>learn basic react app, components, props and state</v>
      </c>
      <c r="E78" s="42" t="str">
        <f>IFERROR(__xludf.DUMMYFUNCTION("""COMPUTED_VALUE"""),"struktur project react app")</f>
        <v>struktur project react app</v>
      </c>
      <c r="F78" s="42" t="str">
        <f>IFERROR(__xludf.DUMMYFUNCTION("""COMPUTED_VALUE"""),"learn reactstrap")</f>
        <v>learn reactstrap</v>
      </c>
    </row>
    <row r="79">
      <c r="A79" s="43">
        <f>IFERROR(__xludf.DUMMYFUNCTION("""COMPUTED_VALUE"""),44090.476905)</f>
        <v>44090.47691</v>
      </c>
      <c r="B79" s="42" t="str">
        <f>IFERROR(__xludf.DUMMYFUNCTION("""COMPUTED_VALUE"""),"Furoidah Chilmi")</f>
        <v>Furoidah Chilmi</v>
      </c>
      <c r="C79" s="44">
        <f>IFERROR(__xludf.DUMMYFUNCTION("""COMPUTED_VALUE"""),44090.0)</f>
        <v>44090</v>
      </c>
      <c r="D79" s="42" t="str">
        <f>IFERROR(__xludf.DUMMYFUNCTION("""COMPUTED_VALUE"""),"1. add SUM function for total price 
2. arrange code. separate route for cart and category. ")</f>
        <v>1. add SUM function for total price 
2. arrange code. separate route for cart and category. </v>
      </c>
      <c r="E79" s="42"/>
      <c r="F79" s="42" t="str">
        <f>IFERROR(__xludf.DUMMYFUNCTION("""COMPUTED_VALUE"""),"1. learn react beginner from file record today
2. do the task for tomorrow")</f>
        <v>1. learn react beginner from file record today
2. do the task for tomorrow</v>
      </c>
    </row>
    <row r="80">
      <c r="A80" s="43">
        <f>IFERROR(__xludf.DUMMYFUNCTION("""COMPUTED_VALUE"""),44091.34627597222)</f>
        <v>44091.34628</v>
      </c>
      <c r="B80" s="42" t="str">
        <f>IFERROR(__xludf.DUMMYFUNCTION("""COMPUTED_VALUE"""),"Rezha Maulana Jaya")</f>
        <v>Rezha Maulana Jaya</v>
      </c>
      <c r="C80" s="44">
        <f>IFERROR(__xludf.DUMMYFUNCTION("""COMPUTED_VALUE"""),44090.0)</f>
        <v>44090</v>
      </c>
      <c r="D80" s="42" t="str">
        <f>IFERROR(__xludf.DUMMYFUNCTION("""COMPUTED_VALUE"""),"tampilan ,get data , routerdom ")</f>
        <v>tampilan ,get data , routerdom </v>
      </c>
      <c r="E80" s="42" t="str">
        <f>IFERROR(__xludf.DUMMYFUNCTION("""COMPUTED_VALUE"""),"CRUD")</f>
        <v>CRUD</v>
      </c>
      <c r="F80" s="42" t="str">
        <f>IFERROR(__xludf.DUMMYFUNCTION("""COMPUTED_VALUE"""),"fixing CRUD")</f>
        <v>fixing CRUD</v>
      </c>
    </row>
    <row r="81">
      <c r="A81" s="43">
        <f>IFERROR(__xludf.DUMMYFUNCTION("""COMPUTED_VALUE"""),44091.36428913195)</f>
        <v>44091.36429</v>
      </c>
      <c r="B81" s="42" t="str">
        <f>IFERROR(__xludf.DUMMYFUNCTION("""COMPUTED_VALUE"""),"Timotius Simanjuntak")</f>
        <v>Timotius Simanjuntak</v>
      </c>
      <c r="C81" s="44">
        <f>IFERROR(__xludf.DUMMYFUNCTION("""COMPUTED_VALUE"""),44091.0)</f>
        <v>44091</v>
      </c>
      <c r="D81" s="42" t="str">
        <f>IFERROR(__xludf.DUMMYFUNCTION("""COMPUTED_VALUE"""),"using API from express backend with axios, and show to front with react")</f>
        <v>using API from express backend with axios, and show to front with react</v>
      </c>
      <c r="E81" s="42" t="str">
        <f>IFERROR(__xludf.DUMMYFUNCTION("""COMPUTED_VALUE"""),"i stil strugle to update data with axios, and deleted data")</f>
        <v>i stil strugle to update data with axios, and deleted data</v>
      </c>
      <c r="F81" s="42" t="str">
        <f>IFERROR(__xludf.DUMMYFUNCTION("""COMPUTED_VALUE"""),"want to learn how to update and delete data with axios")</f>
        <v>want to learn how to update and delete data with axios</v>
      </c>
    </row>
    <row r="82">
      <c r="A82" s="43">
        <f>IFERROR(__xludf.DUMMYFUNCTION("""COMPUTED_VALUE"""),44091.37017274306)</f>
        <v>44091.37017</v>
      </c>
      <c r="B82" s="42" t="str">
        <f>IFERROR(__xludf.DUMMYFUNCTION("""COMPUTED_VALUE"""),"Muhammad Abdurasyid")</f>
        <v>Muhammad Abdurasyid</v>
      </c>
      <c r="C82" s="44">
        <f>IFERROR(__xludf.DUMMYFUNCTION("""COMPUTED_VALUE"""),44091.0)</f>
        <v>44091</v>
      </c>
      <c r="D82" s="42" t="str">
        <f>IFERROR(__xludf.DUMMYFUNCTION("""COMPUTED_VALUE"""),"1. Membuat tampilan CRUD utk tabel item/product dengan menggunakan reactstrap
2. Menghubungkan frontend dari CRUD item/product dengan backend yg sudah dibuat di bagian:
- menambahkan item/product baru (method POST '/item')
- menampilkan kategori dan warna"&amp;" sebagai select input (method GET '/category' &amp; '/color')")</f>
        <v>1. Membuat tampilan CRUD utk tabel item/product dengan menggunakan reactstrap
2. Menghubungkan frontend dari CRUD item/product dengan backend yg sudah dibuat di bagian:
- menambahkan item/product baru (method POST '/item')
- menampilkan kategori dan warna sebagai select input (method GET '/category' &amp; '/color')</v>
      </c>
      <c r="E82" s="42" t="str">
        <f>IFERROR(__xludf.DUMMYFUNCTION("""COMPUTED_VALUE"""),"1. Saya awalnya sedikit kesulitan utk menghubungkan frontend dgn backend melalui API yg sudah dibuat karena terdapat error berkaitan dgn CORS. Setelah bertanya dgn teman lainnya, saya sudah menemukan solusinya, yakni install package CORS di aplikasi backe"&amp;"nd
2. Penggunaan form di react sedikit berbeda dengan yg saya pahami di HTML
3. Cukup lama utk memahami penggunaan method POST di axios, saya memerlukan modul querystring utk mengirim data dalam format x-www-form-urlencoded")</f>
        <v>1. Saya awalnya sedikit kesulitan utk menghubungkan frontend dgn backend melalui API yg sudah dibuat karena terdapat error berkaitan dgn CORS. Setelah bertanya dgn teman lainnya, saya sudah menemukan solusinya, yakni install package CORS di aplikasi backend
2. Penggunaan form di react sedikit berbeda dengan yg saya pahami di HTML
3. Cukup lama utk memahami penggunaan method POST di axios, saya memerlukan modul querystring utk mengirim data dalam format x-www-form-urlencoded</v>
      </c>
      <c r="F82" s="42" t="str">
        <f>IFERROR(__xludf.DUMMYFUNCTION("""COMPUTED_VALUE"""),"Melanjutkan tugas kemarin yakni menghubungkan frontend &amp; backend di bagian get, update dan delete item/product")</f>
        <v>Melanjutkan tugas kemarin yakni menghubungkan frontend &amp; backend di bagian get, update dan delete item/product</v>
      </c>
    </row>
    <row r="83">
      <c r="A83" s="43">
        <f>IFERROR(__xludf.DUMMYFUNCTION("""COMPUTED_VALUE"""),44091.37656614583)</f>
        <v>44091.37657</v>
      </c>
      <c r="B83" s="42" t="str">
        <f>IFERROR(__xludf.DUMMYFUNCTION("""COMPUTED_VALUE"""),"Muhammad")</f>
        <v>Muhammad</v>
      </c>
      <c r="C83" s="44">
        <f>IFERROR(__xludf.DUMMYFUNCTION("""COMPUTED_VALUE"""),44091.0)</f>
        <v>44091</v>
      </c>
      <c r="D83" s="42" t="str">
        <f>IFERROR(__xludf.DUMMYFUNCTION("""COMPUTED_VALUE"""),"Get data product with axios")</f>
        <v>Get data product with axios</v>
      </c>
      <c r="E83" s="42" t="str">
        <f>IFERROR(__xludf.DUMMYFUNCTION("""COMPUTED_VALUE"""),"My problem is insert, update, delete, select query params, search data from axios and react-router-dom")</f>
        <v>My problem is insert, update, delete, select query params, search data from axios and react-router-dom</v>
      </c>
      <c r="F83" s="42" t="str">
        <f>IFERROR(__xludf.DUMMYFUNCTION("""COMPUTED_VALUE"""),"Implementation insert, update, delete data product")</f>
        <v>Implementation insert, update, delete data product</v>
      </c>
    </row>
    <row r="84">
      <c r="A84" s="43">
        <f>IFERROR(__xludf.DUMMYFUNCTION("""COMPUTED_VALUE"""),44091.3790725463)</f>
        <v>44091.37907</v>
      </c>
      <c r="B84" s="42" t="str">
        <f>IFERROR(__xludf.DUMMYFUNCTION("""COMPUTED_VALUE"""),"Ahmad Fatkhul Amam")</f>
        <v>Ahmad Fatkhul Amam</v>
      </c>
      <c r="C84" s="44">
        <f>IFERROR(__xludf.DUMMYFUNCTION("""COMPUTED_VALUE"""),44091.0)</f>
        <v>44091</v>
      </c>
      <c r="D84" s="42" t="str">
        <f>IFERROR(__xludf.DUMMYFUNCTION("""COMPUTED_VALUE"""),"understand route of react program and make react js CRUD page on get")</f>
        <v>understand route of react program and make react js CRUD page on get</v>
      </c>
      <c r="E84" s="42" t="str">
        <f>IFERROR(__xludf.DUMMYFUNCTION("""COMPUTED_VALUE"""),"i cannot conecting the app with the localhost API and cannot get API")</f>
        <v>i cannot conecting the app with the localhost API and cannot get API</v>
      </c>
      <c r="F84" s="42" t="str">
        <f>IFERROR(__xludf.DUMMYFUNCTION("""COMPUTED_VALUE"""),"make react CRUD frontend, get API and show on react page ")</f>
        <v>make react CRUD frontend, get API and show on react page </v>
      </c>
    </row>
    <row r="85">
      <c r="A85" s="43">
        <f>IFERROR(__xludf.DUMMYFUNCTION("""COMPUTED_VALUE"""),44091.37983878472)</f>
        <v>44091.37984</v>
      </c>
      <c r="B85" s="42" t="str">
        <f>IFERROR(__xludf.DUMMYFUNCTION("""COMPUTED_VALUE"""),"Satrio Nugroho")</f>
        <v>Satrio Nugroho</v>
      </c>
      <c r="C85" s="44">
        <f>IFERROR(__xludf.DUMMYFUNCTION("""COMPUTED_VALUE"""),43725.0)</f>
        <v>43725</v>
      </c>
      <c r="D85" s="42" t="str">
        <f>IFERROR(__xludf.DUMMYFUNCTION("""COMPUTED_VALUE"""),"kemaren saya mencoba coba dari materi react  dan saya mencoba melakukan get data dari data backend saya sendiri data lolcalhost... saya belum memprogres yang tugas .. jadi saya baru mencoba memahami dari implementasi react js  ")</f>
        <v>kemaren saya mencoba coba dari materi react  dan saya mencoba melakukan get data dari data backend saya sendiri data lolcalhost... saya belum memprogres yang tugas .. jadi saya baru mencoba memahami dari implementasi react js  </v>
      </c>
      <c r="E85" s="42" t="str">
        <f>IFERROR(__xludf.DUMMYFUNCTION("""COMPUTED_VALUE"""),"pas coba buat nampilin get data dari localhost belum bisa muncul.. sama untuk materi react belum terlalu jelas. jadi belum terlalu paham")</f>
        <v>pas coba buat nampilin get data dari localhost belum bisa muncul.. sama untuk materi react belum terlalu jelas. jadi belum terlalu paham</v>
      </c>
      <c r="F85" s="42" t="str">
        <f>IFERROR(__xludf.DUMMYFUNCTION("""COMPUTED_VALUE"""),"saya mungkin akan melanjutkan project saya lagi dengan memahami dari materi materi yang telah diberikan ")</f>
        <v>saya mungkin akan melanjutkan project saya lagi dengan memahami dari materi materi yang telah diberikan </v>
      </c>
    </row>
    <row r="86">
      <c r="A86" s="43">
        <f>IFERROR(__xludf.DUMMYFUNCTION("""COMPUTED_VALUE"""),44091.38253307871)</f>
        <v>44091.38253</v>
      </c>
      <c r="B86" s="42" t="str">
        <f>IFERROR(__xludf.DUMMYFUNCTION("""COMPUTED_VALUE"""),"Pramesti Regita Cahyani")</f>
        <v>Pramesti Regita Cahyani</v>
      </c>
      <c r="C86" s="44">
        <f>IFERROR(__xludf.DUMMYFUNCTION("""COMPUTED_VALUE"""),44091.0)</f>
        <v>44091</v>
      </c>
      <c r="D86" s="42" t="str">
        <f>IFERROR(__xludf.DUMMYFUNCTION("""COMPUTED_VALUE"""),"Membuat router dan navbar untuk halaman admin, mencoba mendapatkan data dari database")</f>
        <v>Membuat router dan navbar untuk halaman admin, mencoba mendapatkan data dari database</v>
      </c>
      <c r="E86" s="42" t="str">
        <f>IFERROR(__xludf.DUMMYFUNCTION("""COMPUTED_VALUE"""),"Masih belum bisa mendapatkan data dari database. Selain itu, backendnya tidak bisa dijalankan, padahal dulu sudah bisa. Untuk get data sudah mencoba pakai cors tapi tetap gagal.")</f>
        <v>Masih belum bisa mendapatkan data dari database. Selain itu, backendnya tidak bisa dijalankan, padahal dulu sudah bisa. Untuk get data sudah mencoba pakai cors tapi tetap gagal.</v>
      </c>
      <c r="F86" s="42" t="str">
        <f>IFERROR(__xludf.DUMMYFUNCTION("""COMPUTED_VALUE"""),"Menggambil data dari database dan menyelesaikan error backend")</f>
        <v>Menggambil data dari database dan menyelesaikan error backend</v>
      </c>
    </row>
    <row r="87">
      <c r="A87" s="43">
        <f>IFERROR(__xludf.DUMMYFUNCTION("""COMPUTED_VALUE"""),44091.38430200232)</f>
        <v>44091.3843</v>
      </c>
      <c r="B87" s="42" t="str">
        <f>IFERROR(__xludf.DUMMYFUNCTION("""COMPUTED_VALUE"""),"Ahmad Asrofi")</f>
        <v>Ahmad Asrofi</v>
      </c>
      <c r="C87" s="44">
        <f>IFERROR(__xludf.DUMMYFUNCTION("""COMPUTED_VALUE"""),44091.0)</f>
        <v>44091</v>
      </c>
      <c r="D87" s="42" t="str">
        <f>IFERROR(__xludf.DUMMYFUNCTION("""COMPUTED_VALUE"""),"i tried to implement some component react, reactstrap, react-router and axios methode get, post, put and delete")</f>
        <v>i tried to implement some component react, reactstrap, react-router and axios methode get, post, put and delete</v>
      </c>
      <c r="E87" s="42" t="str">
        <f>IFERROR(__xludf.DUMMYFUNCTION("""COMPUTED_VALUE"""),"i didn't understand yet what react, reactstrap, react-router and axios are, so i find out and look for other references so that i can undersand more and comfortable to implement them. and What is CORS? i tried to implement axios methode get and run my rea"&amp;"ct app for localhost:3000, and the other side i run my backend app for localhost:8080. and in the console it said about CORS. so i asked my classmate for that trouble, they say just install cors in your backend app. i did what they say and my both app, th"&amp;"ey run normally and in the console there is no word of cors anymore")</f>
        <v>i didn't understand yet what react, reactstrap, react-router and axios are, so i find out and look for other references so that i can undersand more and comfortable to implement them. and What is CORS? i tried to implement axios methode get and run my react app for localhost:3000, and the other side i run my backend app for localhost:8080. and in the console it said about CORS. so i asked my classmate for that trouble, they say just install cors in your backend app. i did what they say and my both app, they run normally and in the console there is no word of cors anymore</v>
      </c>
      <c r="F87" s="42" t="str">
        <f>IFERROR(__xludf.DUMMYFUNCTION("""COMPUTED_VALUE"""),"i will make a get post put delete axios methode for my react task. and if it done, i wil make another flowcart for my task before and more")</f>
        <v>i will make a get post put delete axios methode for my react task. and if it done, i wil make another flowcart for my task before and more</v>
      </c>
    </row>
    <row r="88">
      <c r="A88" s="43">
        <f>IFERROR(__xludf.DUMMYFUNCTION("""COMPUTED_VALUE"""),44091.38482284722)</f>
        <v>44091.38482</v>
      </c>
      <c r="B88" s="42" t="str">
        <f>IFERROR(__xludf.DUMMYFUNCTION("""COMPUTED_VALUE"""),"Furoidah Chilmi")</f>
        <v>Furoidah Chilmi</v>
      </c>
      <c r="C88" s="44">
        <f>IFERROR(__xludf.DUMMYFUNCTION("""COMPUTED_VALUE"""),44091.0)</f>
        <v>44091</v>
      </c>
      <c r="D88" s="42" t="str">
        <f>IFERROR(__xludf.DUMMYFUNCTION("""COMPUTED_VALUE"""),"1. follow and understand live coding using recording video 
2. ecommerce-frontend repo
3. make 'add product' page and show list product using GET")</f>
        <v>1. follow and understand live coding using recording video 
2. ecommerce-frontend repo
3. make 'add product' page and show list product using GET</v>
      </c>
      <c r="E88" s="42" t="str">
        <f>IFERROR(__xludf.DUMMYFUNCTION("""COMPUTED_VALUE"""),"maybe I need more time to understand, this week")</f>
        <v>maybe I need more time to understand, this week</v>
      </c>
      <c r="F88" s="42" t="str">
        <f>IFERROR(__xludf.DUMMYFUNCTION("""COMPUTED_VALUE"""),"1. make all crud and show to frontend ")</f>
        <v>1. make all crud and show to frontend </v>
      </c>
    </row>
    <row r="89">
      <c r="A89" s="43">
        <f>IFERROR(__xludf.DUMMYFUNCTION("""COMPUTED_VALUE"""),44091.388018530095)</f>
        <v>44091.38802</v>
      </c>
      <c r="B89" s="42" t="str">
        <f>IFERROR(__xludf.DUMMYFUNCTION("""COMPUTED_VALUE"""),"Iqbal Athorid")</f>
        <v>Iqbal Athorid</v>
      </c>
      <c r="C89" s="44">
        <f>IFERROR(__xludf.DUMMYFUNCTION("""COMPUTED_VALUE"""),44091.0)</f>
        <v>44091</v>
      </c>
      <c r="D89" s="42" t="str">
        <f>IFERROR(__xludf.DUMMYFUNCTION("""COMPUTED_VALUE"""),"created React router, created Ui using reactstrap,created view,delete,create from API")</f>
        <v>created React router, created Ui using reactstrap,created view,delete,create from API</v>
      </c>
      <c r="E89" s="42" t="str">
        <f>IFERROR(__xludf.DUMMYFUNCTION("""COMPUTED_VALUE"""),"passing data from button to Component,")</f>
        <v>passing data from button to Component,</v>
      </c>
      <c r="F89" s="42" t="str">
        <f>IFERROR(__xludf.DUMMYFUNCTION("""COMPUTED_VALUE"""),"change lifecycle class using hook, upgrade UI")</f>
        <v>change lifecycle class using hook, upgrade UI</v>
      </c>
    </row>
    <row r="90">
      <c r="A90" s="43">
        <f>IFERROR(__xludf.DUMMYFUNCTION("""COMPUTED_VALUE"""),44091.39443840278)</f>
        <v>44091.39444</v>
      </c>
      <c r="B90" s="42" t="str">
        <f>IFERROR(__xludf.DUMMYFUNCTION("""COMPUTED_VALUE"""),"Muhamad Faris Alkodri")</f>
        <v>Muhamad Faris Alkodri</v>
      </c>
      <c r="C90" s="44">
        <f>IFERROR(__xludf.DUMMYFUNCTION("""COMPUTED_VALUE"""),44091.0)</f>
        <v>44091</v>
      </c>
      <c r="D90" s="42" t="str">
        <f>IFERROR(__xludf.DUMMYFUNCTION("""COMPUTED_VALUE"""),"I was building my knowledge about reactjs, i have create the base CRUD for items database, i want to have more information and methods of Reactjs. But saddly i could make it at time to route my code in MVC style")</f>
        <v>I was building my knowledge about reactjs, i have create the base CRUD for items database, i want to have more information and methods of Reactjs. But saddly i could make it at time to route my code in MVC style</v>
      </c>
      <c r="E90" s="42" t="str">
        <f>IFERROR(__xludf.DUMMYFUNCTION("""COMPUTED_VALUE"""),"My problem is understanding the attributes and how to submit and giving form a value while also the user can change the value of the form itself")</f>
        <v>My problem is understanding the attributes and how to submit and giving form a value while also the user can change the value of the form itself</v>
      </c>
      <c r="F90" s="42" t="str">
        <f>IFERROR(__xludf.DUMMYFUNCTION("""COMPUTED_VALUE"""),"I want to add more features foe my backend and i want to perfecting my CRUD frontend for items")</f>
        <v>I want to add more features foe my backend and i want to perfecting my CRUD frontend for items</v>
      </c>
    </row>
    <row r="91">
      <c r="A91" s="43">
        <f>IFERROR(__xludf.DUMMYFUNCTION("""COMPUTED_VALUE"""),44091.4010436574)</f>
        <v>44091.40104</v>
      </c>
      <c r="B91" s="42" t="str">
        <f>IFERROR(__xludf.DUMMYFUNCTION("""COMPUTED_VALUE"""),"Fahmi Aziz Ismail")</f>
        <v>Fahmi Aziz Ismail</v>
      </c>
      <c r="C91" s="44">
        <f>IFERROR(__xludf.DUMMYFUNCTION("""COMPUTED_VALUE"""),44091.0)</f>
        <v>44091</v>
      </c>
      <c r="D91" s="42" t="str">
        <f>IFERROR(__xludf.DUMMYFUNCTION("""COMPUTED_VALUE"""),"sudah mencoba menggunakan axios")</f>
        <v>sudah mencoba menggunakan axios</v>
      </c>
      <c r="E91" s="42" t="str">
        <f>IFERROR(__xludf.DUMMYFUNCTION("""COMPUTED_VALUE"""),"belum isa mendapatkan data di localhost dengan axios")</f>
        <v>belum isa mendapatkan data di localhost dengan axios</v>
      </c>
      <c r="F91" s="42" t="str">
        <f>IFERROR(__xludf.DUMMYFUNCTION("""COMPUTED_VALUE"""),"mengerti cara penggunaan axios untuk localhost")</f>
        <v>mengerti cara penggunaan axios untuk localhost</v>
      </c>
    </row>
    <row r="92">
      <c r="A92" s="43">
        <f>IFERROR(__xludf.DUMMYFUNCTION("""COMPUTED_VALUE"""),44091.404759895835)</f>
        <v>44091.40476</v>
      </c>
      <c r="B92" s="42" t="str">
        <f>IFERROR(__xludf.DUMMYFUNCTION("""COMPUTED_VALUE"""),"Wahyu Ramadhan")</f>
        <v>Wahyu Ramadhan</v>
      </c>
      <c r="C92" s="44">
        <f>IFERROR(__xludf.DUMMYFUNCTION("""COMPUTED_VALUE"""),36597.0)</f>
        <v>36597</v>
      </c>
      <c r="D92" s="42" t="str">
        <f>IFERROR(__xludf.DUMMYFUNCTION("""COMPUTED_VALUE"""),"get data from table items with axios")</f>
        <v>get data from table items with axios</v>
      </c>
      <c r="E92" s="42" t="str">
        <f>IFERROR(__xludf.DUMMYFUNCTION("""COMPUTED_VALUE"""),"yes, error with cors")</f>
        <v>yes, error with cors</v>
      </c>
      <c r="F92" s="42" t="str">
        <f>IFERROR(__xludf.DUMMYFUNCTION("""COMPUTED_VALUE"""),"want to create data use axios, then update and delete")</f>
        <v>want to create data use axios, then update and delete</v>
      </c>
    </row>
    <row r="93">
      <c r="A93" s="43">
        <f>IFERROR(__xludf.DUMMYFUNCTION("""COMPUTED_VALUE"""),44092.37327215278)</f>
        <v>44092.37327</v>
      </c>
      <c r="B93" s="42" t="str">
        <f>IFERROR(__xludf.DUMMYFUNCTION("""COMPUTED_VALUE"""),"Pramesti Regita Cahyani")</f>
        <v>Pramesti Regita Cahyani</v>
      </c>
      <c r="C93" s="44">
        <f>IFERROR(__xludf.DUMMYFUNCTION("""COMPUTED_VALUE"""),44092.0)</f>
        <v>44092</v>
      </c>
      <c r="D93" s="42" t="str">
        <f>IFERROR(__xludf.DUMMYFUNCTION("""COMPUTED_VALUE"""),"Membuat program untuk menampilkan, mengedit, dan menghapus items")</f>
        <v>Membuat program untuk menampilkan, mengedit, dan menghapus items</v>
      </c>
      <c r="E93" s="42" t="str">
        <f>IFERROR(__xludf.DUMMYFUNCTION("""COMPUTED_VALUE"""),"Belum bisa menghapus items, padahal saat di console querynya sudah benar, tapi result nya undefined, sampai sekarang masih belum bisa untuk deletenya")</f>
        <v>Belum bisa menghapus items, padahal saat di console querynya sudah benar, tapi result nya undefined, sampai sekarang masih belum bisa untuk deletenya</v>
      </c>
      <c r="F93" s="42" t="str">
        <f>IFERROR(__xludf.DUMMYFUNCTION("""COMPUTED_VALUE"""),"Merevisi program untuk delete, dan membuat CRUD untuk path yang lain")</f>
        <v>Merevisi program untuk delete, dan membuat CRUD untuk path yang lain</v>
      </c>
    </row>
    <row r="94">
      <c r="A94" s="43">
        <f>IFERROR(__xludf.DUMMYFUNCTION("""COMPUTED_VALUE"""),44092.373638819445)</f>
        <v>44092.37364</v>
      </c>
      <c r="B94" s="42" t="str">
        <f>IFERROR(__xludf.DUMMYFUNCTION("""COMPUTED_VALUE"""),"Rezha Maulana Jaya")</f>
        <v>Rezha Maulana Jaya</v>
      </c>
      <c r="C94" s="44">
        <f>IFERROR(__xludf.DUMMYFUNCTION("""COMPUTED_VALUE"""),44092.0)</f>
        <v>44092</v>
      </c>
      <c r="D94" s="42" t="str">
        <f>IFERROR(__xludf.DUMMYFUNCTION("""COMPUTED_VALUE"""),"fixing delete function")</f>
        <v>fixing delete function</v>
      </c>
      <c r="E94" s="42" t="str">
        <f>IFERROR(__xludf.DUMMYFUNCTION("""COMPUTED_VALUE"""),"delete function
")</f>
        <v>delete function
</v>
      </c>
      <c r="F94" s="42" t="str">
        <f>IFERROR(__xludf.DUMMYFUNCTION("""COMPUTED_VALUE"""),"fixing all task")</f>
        <v>fixing all task</v>
      </c>
    </row>
    <row r="95">
      <c r="A95" s="43">
        <f>IFERROR(__xludf.DUMMYFUNCTION("""COMPUTED_VALUE"""),44092.37935307871)</f>
        <v>44092.37935</v>
      </c>
      <c r="B95" s="42" t="str">
        <f>IFERROR(__xludf.DUMMYFUNCTION("""COMPUTED_VALUE"""),"Wahyu Ramadhan")</f>
        <v>Wahyu Ramadhan</v>
      </c>
      <c r="C95" s="44">
        <f>IFERROR(__xludf.DUMMYFUNCTION("""COMPUTED_VALUE"""),36597.0)</f>
        <v>36597</v>
      </c>
      <c r="D95" s="42" t="str">
        <f>IFERROR(__xludf.DUMMYFUNCTION("""COMPUTED_VALUE"""),"CRUD Items")</f>
        <v>CRUD Items</v>
      </c>
      <c r="E95" s="42" t="str">
        <f>IFERROR(__xludf.DUMMYFUNCTION("""COMPUTED_VALUE"""),"(Delete can't automatic refresh, confused how to display the name of the id from JOIN) a little confused about the flow of the program but already a little more understanding than the previous one")</f>
        <v>(Delete can't automatic refresh, confused how to display the name of the id from JOIN) a little confused about the flow of the program but already a little more understanding than the previous one</v>
      </c>
      <c r="F95" s="42" t="str">
        <f>IFERROR(__xludf.DUMMYFUNCTION("""COMPUTED_VALUE"""),"CRUD category")</f>
        <v>CRUD category</v>
      </c>
    </row>
    <row r="96">
      <c r="A96" s="43">
        <f>IFERROR(__xludf.DUMMYFUNCTION("""COMPUTED_VALUE"""),44092.38105902778)</f>
        <v>44092.38106</v>
      </c>
      <c r="B96" s="42" t="str">
        <f>IFERROR(__xludf.DUMMYFUNCTION("""COMPUTED_VALUE"""),"Muhammad Abdurasyid")</f>
        <v>Muhammad Abdurasyid</v>
      </c>
      <c r="C96" s="44">
        <f>IFERROR(__xludf.DUMMYFUNCTION("""COMPUTED_VALUE"""),44092.0)</f>
        <v>44092</v>
      </c>
      <c r="D96" s="42" t="str">
        <f>IFERROR(__xludf.DUMMYFUNCTION("""COMPUTED_VALUE"""),"1. Menghubungkan frontend ke backend di bagian seller/admin control panel: 
- method GET '/seller/{id}' utk menampilkan list produk yg dijual seller'
- method PATCH '/item/{id}' utk update data produk yg dijual seller
- method DELETE '/item/{id}' utk hapu"&amp;"s data produk yg dijual seller
2. Membuat tampilan home dengan menggunakan reactstrap, serta menghubungkannya ke backend di bagian: 
- method GET '/item' sort by created_at desc utk menampilkan list produk terbaru
- method GET '/item' sort by price asc ut"&amp;"k menampilkan list produk termurah")</f>
        <v>1. Menghubungkan frontend ke backend di bagian seller/admin control panel: 
- method GET '/seller/{id}' utk menampilkan list produk yg dijual seller'
- method PATCH '/item/{id}' utk update data produk yg dijual seller
- method DELETE '/item/{id}' utk hapus data produk yg dijual seller
2. Membuat tampilan home dengan menggunakan reactstrap, serta menghubungkannya ke backend di bagian: 
- method GET '/item' sort by created_at desc utk menampilkan list produk terbaru
- method GET '/item' sort by price asc utk menampilkan list produk termurah</v>
      </c>
      <c r="E96" s="42"/>
      <c r="F96" s="42" t="str">
        <f>IFERROR(__xludf.DUMMYFUNCTION("""COMPUTED_VALUE"""),"Membuat tampilan detail product &amp; my bag (cart) menggunakan reactstrap, serta get data dari backend pada tampilan detail")</f>
        <v>Membuat tampilan detail product &amp; my bag (cart) menggunakan reactstrap, serta get data dari backend pada tampilan detail</v>
      </c>
    </row>
    <row r="97">
      <c r="A97" s="43">
        <f>IFERROR(__xludf.DUMMYFUNCTION("""COMPUTED_VALUE"""),44092.381876099535)</f>
        <v>44092.38188</v>
      </c>
      <c r="B97" s="42" t="str">
        <f>IFERROR(__xludf.DUMMYFUNCTION("""COMPUTED_VALUE"""),"Fahmi Aziz Ismail")</f>
        <v>Fahmi Aziz Ismail</v>
      </c>
      <c r="C97" s="44">
        <f>IFERROR(__xludf.DUMMYFUNCTION("""COMPUTED_VALUE"""),44092.0)</f>
        <v>44092</v>
      </c>
      <c r="D97" s="42" t="str">
        <f>IFERROR(__xludf.DUMMYFUNCTION("""COMPUTED_VALUE"""),"sudah membuat fungsi CRUD untuk halaman produk")</f>
        <v>sudah membuat fungsi CRUD untuk halaman produk</v>
      </c>
      <c r="E97" s="42" t="str">
        <f>IFERROR(__xludf.DUMMYFUNCTION("""COMPUTED_VALUE"""),"ketika konfirmasi delete keluar ketika ditekan yes item tidak terhapus tapi jika tanpa konfirmasi item bisa dihapus.( id dari item yg akan dihapus tidak bisa masuk ke fungsi delete)")</f>
        <v>ketika konfirmasi delete keluar ketika ditekan yes item tidak terhapus tapi jika tanpa konfirmasi item bisa dihapus.( id dari item yg akan dihapus tidak bisa masuk ke fungsi delete)</v>
      </c>
      <c r="F97" s="42" t="str">
        <f>IFERROR(__xludf.DUMMYFUNCTION("""COMPUTED_VALUE"""),"membuat halaman category dan cart")</f>
        <v>membuat halaman category dan cart</v>
      </c>
    </row>
    <row r="98">
      <c r="A98" s="43">
        <f>IFERROR(__xludf.DUMMYFUNCTION("""COMPUTED_VALUE"""),44092.384302569444)</f>
        <v>44092.3843</v>
      </c>
      <c r="B98" s="42" t="str">
        <f>IFERROR(__xludf.DUMMYFUNCTION("""COMPUTED_VALUE"""),"Ahmad Fatkhul Amam")</f>
        <v>Ahmad Fatkhul Amam</v>
      </c>
      <c r="C98" s="44">
        <f>IFERROR(__xludf.DUMMYFUNCTION("""COMPUTED_VALUE"""),44092.0)</f>
        <v>44092</v>
      </c>
      <c r="D98" s="42" t="str">
        <f>IFERROR(__xludf.DUMMYFUNCTION("""COMPUTED_VALUE"""),"make and styling CRUD for product, study about event on javascript, life cycle  and state component on react,")</f>
        <v>make and styling CRUD for product, study about event on javascript, life cycle  and state component on react,</v>
      </c>
      <c r="E98" s="42" t="str">
        <f>IFERROR(__xludf.DUMMYFUNCTION("""COMPUTED_VALUE"""),"implementation a event, life cycle, state component, responsiveness in the desain")</f>
        <v>implementation a event, life cycle, state component, responsiveness in the desain</v>
      </c>
      <c r="F98" s="42" t="str">
        <f>IFERROR(__xludf.DUMMYFUNCTION("""COMPUTED_VALUE"""),"implementation anf try more of what I have learned(event, life cycle, state component) and make frontend for other page on the mockup desain")</f>
        <v>implementation anf try more of what I have learned(event, life cycle, state component) and make frontend for other page on the mockup desain</v>
      </c>
    </row>
    <row r="99">
      <c r="A99" s="43">
        <f>IFERROR(__xludf.DUMMYFUNCTION("""COMPUTED_VALUE"""),44092.384792337965)</f>
        <v>44092.38479</v>
      </c>
      <c r="B99" s="42" t="str">
        <f>IFERROR(__xludf.DUMMYFUNCTION("""COMPUTED_VALUE"""),"Iqbal Athorid")</f>
        <v>Iqbal Athorid</v>
      </c>
      <c r="C99" s="44">
        <f>IFERROR(__xludf.DUMMYFUNCTION("""COMPUTED_VALUE"""),44092.0)</f>
        <v>44092</v>
      </c>
      <c r="D99" s="42" t="str">
        <f>IFERROR(__xludf.DUMMYFUNCTION("""COMPUTED_VALUE"""),"create Card,Navbar,Jumbotron")</f>
        <v>create Card,Navbar,Jumbotron</v>
      </c>
      <c r="E99" s="42" t="str">
        <f>IFERROR(__xludf.DUMMYFUNCTION("""COMPUTED_VALUE"""),"set display, customize components")</f>
        <v>set display, customize components</v>
      </c>
      <c r="F99" s="42" t="str">
        <f>IFERROR(__xludf.DUMMYFUNCTION("""COMPUTED_VALUE"""),"create another UI")</f>
        <v>create another UI</v>
      </c>
    </row>
    <row r="100">
      <c r="A100" s="43">
        <f>IFERROR(__xludf.DUMMYFUNCTION("""COMPUTED_VALUE"""),44092.38658521991)</f>
        <v>44092.38659</v>
      </c>
      <c r="B100" s="42" t="str">
        <f>IFERROR(__xludf.DUMMYFUNCTION("""COMPUTED_VALUE"""),"Timotius Simanjuntak")</f>
        <v>Timotius Simanjuntak</v>
      </c>
      <c r="C100" s="44">
        <f>IFERROR(__xludf.DUMMYFUNCTION("""COMPUTED_VALUE"""),44092.0)</f>
        <v>44092</v>
      </c>
      <c r="D100" s="42" t="str">
        <f>IFERROR(__xludf.DUMMYFUNCTION("""COMPUTED_VALUE"""),"implementasi method post, delete, dan implementasi tampilan ui halaman login ecommerce")</f>
        <v>implementasi method post, delete, dan implementasi tampilan ui halaman login ecommerce</v>
      </c>
      <c r="E100" s="42" t="str">
        <f>IFERROR(__xludf.DUMMYFUNCTION("""COMPUTED_VALUE"""),"masih binggung untuk penggunaan this.state, karena sewaktu saya mau buat modal untuk add item, itu bentrok sama yang dari edit, jadi saat saya klik tombol edit eh malah modal dan form yang di add item jadi keisi sendiri padahal beda, jadi saya bedakan, da"&amp;"n menggunakan dua modal yang berbeda dan dua form yang berbeda agar tidak mengisi satu sama lain")</f>
        <v>masih binggung untuk penggunaan this.state, karena sewaktu saya mau buat modal untuk add item, itu bentrok sama yang dari edit, jadi saat saya klik tombol edit eh malah modal dan form yang di add item jadi keisi sendiri padahal beda, jadi saya bedakan, dan menggunakan dua modal yang berbeda dan dua form yang berbeda agar tidak mengisi satu sama lain</v>
      </c>
      <c r="F100" s="42" t="str">
        <f>IFERROR(__xludf.DUMMYFUNCTION("""COMPUTED_VALUE"""),"menyelesaikan yang belum selesai")</f>
        <v>menyelesaikan yang belum selesai</v>
      </c>
    </row>
    <row r="101">
      <c r="A101" s="43">
        <f>IFERROR(__xludf.DUMMYFUNCTION("""COMPUTED_VALUE"""),44092.3872925926)</f>
        <v>44092.38729</v>
      </c>
      <c r="B101" s="42" t="str">
        <f>IFERROR(__xludf.DUMMYFUNCTION("""COMPUTED_VALUE"""),"Muhamad Faris Alkodri")</f>
        <v>Muhamad Faris Alkodri</v>
      </c>
      <c r="C101" s="44">
        <f>IFERROR(__xludf.DUMMYFUNCTION("""COMPUTED_VALUE"""),44092.0)</f>
        <v>44092</v>
      </c>
      <c r="D101" s="42" t="str">
        <f>IFERROR(__xludf.DUMMYFUNCTION("""COMPUTED_VALUE"""),"I have already implemented pagination from react-js-pagination, i also separate a few components in a different class peoperty but i encountered some problems ")</f>
        <v>I have already implemented pagination from react-js-pagination, i also separate a few components in a different class peoperty but i encountered some problems </v>
      </c>
      <c r="E101" s="42" t="str">
        <f>IFERROR(__xludf.DUMMYFUNCTION("""COMPUTED_VALUE"""),"The problem arose when i started to call those properties i've made before, especially the function that has handleUpdates on change")</f>
        <v>The problem arose when i started to call those properties i've made before, especially the function that has handleUpdates on change</v>
      </c>
      <c r="F101" s="42" t="str">
        <f>IFERROR(__xludf.DUMMYFUNCTION("""COMPUTED_VALUE"""),"I want to finding the solution of its issues, and start to working on home, in reactjs")</f>
        <v>I want to finding the solution of its issues, and start to working on home, in reactjs</v>
      </c>
    </row>
    <row r="102">
      <c r="A102" s="43">
        <f>IFERROR(__xludf.DUMMYFUNCTION("""COMPUTED_VALUE"""),44092.39641133102)</f>
        <v>44092.39641</v>
      </c>
      <c r="B102" s="42" t="str">
        <f>IFERROR(__xludf.DUMMYFUNCTION("""COMPUTED_VALUE"""),"Muhammad")</f>
        <v>Muhammad</v>
      </c>
      <c r="C102" s="44">
        <f>IFERROR(__xludf.DUMMYFUNCTION("""COMPUTED_VALUE"""),44092.0)</f>
        <v>44092</v>
      </c>
      <c r="D102" s="42" t="str">
        <f>IFERROR(__xludf.DUMMYFUNCTION("""COMPUTED_VALUE"""),"Get all data from backend")</f>
        <v>Get all data from backend</v>
      </c>
      <c r="E102" s="42" t="str">
        <f>IFERROR(__xludf.DUMMYFUNCTION("""COMPUTED_VALUE"""),"My problem is when i set data from another class i see error and when i try design pattern in my react project i see error")</f>
        <v>My problem is when i set data from another class i see error and when i try design pattern in my react project i see error</v>
      </c>
      <c r="F102" s="42" t="str">
        <f>IFERROR(__xludf.DUMMYFUNCTION("""COMPUTED_VALUE"""),"Create handle click for update data and handle click for delete data")</f>
        <v>Create handle click for update data and handle click for delete data</v>
      </c>
    </row>
    <row r="103">
      <c r="A103" s="43">
        <f>IFERROR(__xludf.DUMMYFUNCTION("""COMPUTED_VALUE"""),44092.40123372685)</f>
        <v>44092.40123</v>
      </c>
      <c r="B103" s="42" t="str">
        <f>IFERROR(__xludf.DUMMYFUNCTION("""COMPUTED_VALUE"""),"Satrio Nugroho")</f>
        <v>Satrio Nugroho</v>
      </c>
      <c r="C103" s="44">
        <f>IFERROR(__xludf.DUMMYFUNCTION("""COMPUTED_VALUE"""),44092.0)</f>
        <v>44092</v>
      </c>
      <c r="D103" s="42" t="str">
        <f>IFERROR(__xludf.DUMMYFUNCTION("""COMPUTED_VALUE"""),"kemaren saya coba mengerjakan untuk crud tampilan di react dan menyelesaikan project yang masih belum maksimal.. ")</f>
        <v>kemaren saya coba mengerjakan untuk crud tampilan di react dan menyelesaikan project yang masih belum maksimal.. </v>
      </c>
      <c r="E103" s="42" t="str">
        <f>IFERROR(__xludf.DUMMYFUNCTION("""COMPUTED_VALUE"""),"agak ngambang dalam penerapan crud di react ini.. terutama megambil data dari backend")</f>
        <v>agak ngambang dalam penerapan crud di react ini.. terutama megambil data dari backend</v>
      </c>
      <c r="F103" s="42" t="str">
        <f>IFERROR(__xludf.DUMMYFUNCTION("""COMPUTED_VALUE"""),"untuk hari ini saya akan mengikuti materi hari ini dan selanjutnya saya akan menyelesaikan tugas project saya ")</f>
        <v>untuk hari ini saya akan mengikuti materi hari ini dan selanjutnya saya akan menyelesaikan tugas project saya </v>
      </c>
    </row>
    <row r="104">
      <c r="A104" s="43">
        <f>IFERROR(__xludf.DUMMYFUNCTION("""COMPUTED_VALUE"""),44092.40284285879)</f>
        <v>44092.40284</v>
      </c>
      <c r="B104" s="42" t="str">
        <f>IFERROR(__xludf.DUMMYFUNCTION("""COMPUTED_VALUE"""),"Ahmad Asrofi")</f>
        <v>Ahmad Asrofi</v>
      </c>
      <c r="C104" s="44">
        <f>IFERROR(__xludf.DUMMYFUNCTION("""COMPUTED_VALUE"""),44092.0)</f>
        <v>44092</v>
      </c>
      <c r="D104" s="42" t="str">
        <f>IFERROR(__xludf.DUMMYFUNCTION("""COMPUTED_VALUE"""),"I make a page for admin that can change items using CRUD methode, and make a home page for showing items")</f>
        <v>I make a page for admin that can change items using CRUD methode, and make a home page for showing items</v>
      </c>
      <c r="E104" s="42" t="str">
        <f>IFERROR(__xludf.DUMMYFUNCTION("""COMPUTED_VALUE"""),"i just understand how to implement axios methode, get post delete put, and how to implement react component so i havent finish another page")</f>
        <v>i just understand how to implement axios methode, get post delete put, and how to implement react component so i havent finish another page</v>
      </c>
      <c r="F104" s="42" t="str">
        <f>IFERROR(__xludf.DUMMYFUNCTION("""COMPUTED_VALUE"""),"i will make another page like home cart and more and apply react router ")</f>
        <v>i will make another page like home cart and more and apply react router </v>
      </c>
    </row>
    <row r="105">
      <c r="A105" s="43">
        <f>IFERROR(__xludf.DUMMYFUNCTION("""COMPUTED_VALUE"""),44092.40676375)</f>
        <v>44092.40676</v>
      </c>
      <c r="B105" s="42" t="str">
        <f>IFERROR(__xludf.DUMMYFUNCTION("""COMPUTED_VALUE"""),"Furoidah Chilmi")</f>
        <v>Furoidah Chilmi</v>
      </c>
      <c r="C105" s="44">
        <f>IFERROR(__xludf.DUMMYFUNCTION("""COMPUTED_VALUE"""),44092.0)</f>
        <v>44092</v>
      </c>
      <c r="D105" s="42" t="str">
        <f>IFERROR(__xludf.DUMMYFUNCTION("""COMPUTED_VALUE"""),"1. move to another page using id
2. delete data")</f>
        <v>1. move to another page using id
2. delete data</v>
      </c>
      <c r="E105" s="42" t="str">
        <f>IFERROR(__xludf.DUMMYFUNCTION("""COMPUTED_VALUE"""),"cannot post item")</f>
        <v>cannot post item</v>
      </c>
      <c r="F105" s="42" t="str">
        <f>IFERROR(__xludf.DUMMYFUNCTION("""COMPUTED_VALUE"""),"make post and patch item")</f>
        <v>make post and patch item</v>
      </c>
    </row>
    <row r="106">
      <c r="A106" s="43">
        <f>IFERROR(__xludf.DUMMYFUNCTION("""COMPUTED_VALUE"""),44093.38058028935)</f>
        <v>44093.38058</v>
      </c>
      <c r="B106" s="42" t="str">
        <f>IFERROR(__xludf.DUMMYFUNCTION("""COMPUTED_VALUE"""),"Ahmad Fatkhul Amam")</f>
        <v>Ahmad Fatkhul Amam</v>
      </c>
      <c r="C106" s="44">
        <f>IFERROR(__xludf.DUMMYFUNCTION("""COMPUTED_VALUE"""),44093.0)</f>
        <v>44093</v>
      </c>
      <c r="D106" s="42" t="str">
        <f>IFERROR(__xludf.DUMMYFUNCTION("""COMPUTED_VALUE"""),"make page crud(post) for admin to input or edit product")</f>
        <v>make page crud(post) for admin to input or edit product</v>
      </c>
      <c r="E106" s="42" t="str">
        <f>IFERROR(__xludf.DUMMYFUNCTION("""COMPUTED_VALUE"""),"my edit program is not running yet")</f>
        <v>my edit program is not running yet</v>
      </c>
      <c r="F106" s="42" t="str">
        <f>IFERROR(__xludf.DUMMYFUNCTION("""COMPUTED_VALUE"""),"debuging crud admin program and home page with react")</f>
        <v>debuging crud admin program and home page with react</v>
      </c>
    </row>
    <row r="107">
      <c r="A107" s="43">
        <f>IFERROR(__xludf.DUMMYFUNCTION("""COMPUTED_VALUE"""),44093.405567037036)</f>
        <v>44093.40557</v>
      </c>
      <c r="B107" s="42" t="str">
        <f>IFERROR(__xludf.DUMMYFUNCTION("""COMPUTED_VALUE"""),"Iqbal Athorid")</f>
        <v>Iqbal Athorid</v>
      </c>
      <c r="C107" s="44">
        <f>IFERROR(__xludf.DUMMYFUNCTION("""COMPUTED_VALUE"""),44093.0)</f>
        <v>44093</v>
      </c>
      <c r="D107" s="42" t="str">
        <f>IFERROR(__xludf.DUMMYFUNCTION("""COMPUTED_VALUE"""),"created CRUD using react hook")</f>
        <v>created CRUD using react hook</v>
      </c>
      <c r="E107" s="42"/>
      <c r="F107" s="42" t="str">
        <f>IFERROR(__xludf.DUMMYFUNCTION("""COMPUTED_VALUE"""),"create login,register and home UI")</f>
        <v>create login,register and home UI</v>
      </c>
    </row>
    <row r="108">
      <c r="A108" s="43">
        <f>IFERROR(__xludf.DUMMYFUNCTION("""COMPUTED_VALUE"""),44093.42220825232)</f>
        <v>44093.42221</v>
      </c>
      <c r="B108" s="42" t="str">
        <f>IFERROR(__xludf.DUMMYFUNCTION("""COMPUTED_VALUE"""),"Muhamad Faris Alkodri")</f>
        <v>Muhamad Faris Alkodri</v>
      </c>
      <c r="C108" s="44">
        <f>IFERROR(__xludf.DUMMYFUNCTION("""COMPUTED_VALUE"""),44093.0)</f>
        <v>44093</v>
      </c>
      <c r="D108" s="42" t="str">
        <f>IFERROR(__xludf.DUMMYFUNCTION("""COMPUTED_VALUE"""),"I have separate the modals to individual components in separate files. I also adding get all categories to improving ux in selecting categories when create or edit item")</f>
        <v>I have separate the modals to individual components in separate files. I also adding get all categories to improving ux in selecting categories when create or edit item</v>
      </c>
      <c r="E108" s="42" t="str">
        <f>IFERROR(__xludf.DUMMYFUNCTION("""COMPUTED_VALUE"""),"When i want to separate update modal in different file, i encountered a problem of error 'element type is invalid expected a string or a class...' I have search through all stackoverview and googles but they said it there are lots of problem that can caus"&amp;"ed those error and to know what's that is to see my own console.log. When I saw the console.log I saw that there is error on the line which i call modalUpdate inside render() in the item.js (my parent component for item CRUD) at first i thought it was bec"&amp;"ause of my bad logic on adding or creating items, but it because I had a typo, instead of React.Fragment, i wrote React.Framgent. And after I fixed those typo everything goes incredibly well")</f>
        <v>When i want to separate update modal in different file, i encountered a problem of error 'element type is invalid expected a string or a class...' I have search through all stackoverview and googles but they said it there are lots of problem that can caused those error and to know what's that is to see my own console.log. When I saw the console.log I saw that there is error on the line which i call modalUpdate inside render() in the item.js (my parent component for item CRUD) at first i thought it was because of my bad logic on adding or creating items, but it because I had a typo, instead of React.Fragment, i wrote React.Framgent. And after I fixed those typo everything goes incredibly well</v>
      </c>
      <c r="F108" s="42" t="str">
        <f>IFERROR(__xludf.DUMMYFUNCTION("""COMPUTED_VALUE"""),"I want to applying pagination in my code with reactstrap's pagination starting with creating new class components that contain reactstrap's pagination, and then creating a function based on my logics when clicking page number, helped by pageInfo propertie"&amp;"s of the data that being sent by backend,
I also want to applying sort and search in my code right after i have finished paginating my item's CRUD front end. Applying sort and search with creating new component that contain page with search results then "&amp;"applying my logic on search and sort")</f>
        <v>I want to applying pagination in my code with reactstrap's pagination starting with creating new class components that contain reactstrap's pagination, and then creating a function based on my logics when clicking page number, helped by pageInfo properties of the data that being sent by backend,
I also want to applying sort and search in my code right after i have finished paginating my item's CRUD front end. Applying sort and search with creating new component that contain page with search results then applying my logic on search and sort</v>
      </c>
    </row>
    <row r="109">
      <c r="A109" s="43">
        <f>IFERROR(__xludf.DUMMYFUNCTION("""COMPUTED_VALUE"""),44094.38952256944)</f>
        <v>44094.38952</v>
      </c>
      <c r="B109" s="42" t="str">
        <f>IFERROR(__xludf.DUMMYFUNCTION("""COMPUTED_VALUE"""),"Fahmi Aziz Ismail")</f>
        <v>Fahmi Aziz Ismail</v>
      </c>
      <c r="C109" s="44">
        <f>IFERROR(__xludf.DUMMYFUNCTION("""COMPUTED_VALUE"""),44094.0)</f>
        <v>44094</v>
      </c>
      <c r="D109" s="42" t="str">
        <f>IFERROR(__xludf.DUMMYFUNCTION("""COMPUTED_VALUE"""),"membuat fungsi next dan prev di page admin product")</f>
        <v>membuat fungsi next dan prev di page admin product</v>
      </c>
      <c r="E109" s="42" t="str">
        <f>IFERROR(__xludf.DUMMYFUNCTION("""COMPUTED_VALUE"""),"ketika prev diklik dan nilainya null  fungsi next tidak bisa jalan")</f>
        <v>ketika prev diklik dan nilainya null  fungsi next tidak bisa jalan</v>
      </c>
      <c r="F109" s="42" t="str">
        <f>IFERROR(__xludf.DUMMYFUNCTION("""COMPUTED_VALUE"""),"membuat page home dan menambahkan fungsi sort dan search di  page admin product")</f>
        <v>membuat page home dan menambahkan fungsi sort dan search di  page admin product</v>
      </c>
    </row>
    <row r="110">
      <c r="A110" s="43">
        <f>IFERROR(__xludf.DUMMYFUNCTION("""COMPUTED_VALUE"""),44094.99891541667)</f>
        <v>44094.99892</v>
      </c>
      <c r="B110" s="42" t="str">
        <f>IFERROR(__xludf.DUMMYFUNCTION("""COMPUTED_VALUE"""),"Furoidah Chilmi")</f>
        <v>Furoidah Chilmi</v>
      </c>
      <c r="C110" s="44">
        <f>IFERROR(__xludf.DUMMYFUNCTION("""COMPUTED_VALUE"""),44093.0)</f>
        <v>44093</v>
      </c>
      <c r="D110" s="42" t="str">
        <f>IFERROR(__xludf.DUMMYFUNCTION("""COMPUTED_VALUE"""),"1. post checked
2. show data in edit")</f>
        <v>1. post checked
2. show data in edit</v>
      </c>
      <c r="E110" s="42"/>
      <c r="F110" s="42" t="str">
        <f>IFERROR(__xludf.DUMMYFUNCTION("""COMPUTED_VALUE"""),"continue patch, ")</f>
        <v>continue patch, </v>
      </c>
    </row>
    <row r="111">
      <c r="A111" s="43">
        <f>IFERROR(__xludf.DUMMYFUNCTION("""COMPUTED_VALUE"""),44095.00013655092)</f>
        <v>44095.00014</v>
      </c>
      <c r="B111" s="42" t="str">
        <f>IFERROR(__xludf.DUMMYFUNCTION("""COMPUTED_VALUE"""),"Furoidah Chilmi")</f>
        <v>Furoidah Chilmi</v>
      </c>
      <c r="C111" s="44">
        <f>IFERROR(__xludf.DUMMYFUNCTION("""COMPUTED_VALUE"""),44094.0)</f>
        <v>44094</v>
      </c>
      <c r="D111" s="42" t="str">
        <f>IFERROR(__xludf.DUMMYFUNCTION("""COMPUTED_VALUE"""),"1. PATCH in edit page check
2. make radio button and work! (sort newest, oldest, price)")</f>
        <v>1. PATCH in edit page check
2. make radio button and work! (sort newest, oldest, price)</v>
      </c>
      <c r="E111" s="42" t="str">
        <f>IFERROR(__xludf.DUMMYFUNCTION("""COMPUTED_VALUE"""),"1. cant reload page directly, should click twice for reload
2. radio button's not effective yet")</f>
        <v>1. cant reload page directly, should click twice for reload
2. radio button's not effective yet</v>
      </c>
      <c r="F111" s="42" t="str">
        <f>IFERROR(__xludf.DUMMYFUNCTION("""COMPUTED_VALUE"""),"just continue")</f>
        <v>just continue</v>
      </c>
    </row>
    <row r="112">
      <c r="A112" s="43">
        <f>IFERROR(__xludf.DUMMYFUNCTION("""COMPUTED_VALUE"""),44095.37762917824)</f>
        <v>44095.37763</v>
      </c>
      <c r="B112" s="42" t="str">
        <f>IFERROR(__xludf.DUMMYFUNCTION("""COMPUTED_VALUE"""),"Pramesti Regita Cahyani")</f>
        <v>Pramesti Regita Cahyani</v>
      </c>
      <c r="C112" s="44">
        <f>IFERROR(__xludf.DUMMYFUNCTION("""COMPUTED_VALUE"""),44095.0)</f>
        <v>44095</v>
      </c>
      <c r="D112" s="42" t="str">
        <f>IFERROR(__xludf.DUMMYFUNCTION("""COMPUTED_VALUE"""),"sudah membuat page login, register, dan home menggunakan react-strap, untuk halaman admin sudah ada fungsi CRUD untuk tabel items, users, dan category")</f>
        <v>sudah membuat page login, register, dan home menggunakan react-strap, untuk halaman admin sudah ada fungsi CRUD untuk tabel items, users, dan category</v>
      </c>
      <c r="E112" s="42" t="str">
        <f>IFERROR(__xludf.DUMMYFUNCTION("""COMPUTED_VALUE"""),"belum bisa mengubah page untuk data tabel items yg selanjutnya, begitu juga untuk tabel yang lainnya")</f>
        <v>belum bisa mengubah page untuk data tabel items yg selanjutnya, begitu juga untuk tabel yang lainnya</v>
      </c>
      <c r="F112" s="42" t="str">
        <f>IFERROR(__xludf.DUMMYFUNCTION("""COMPUTED_VALUE"""),"mempresentasikan proyek yang sudah saya kerjakan di minggu kemarin")</f>
        <v>mempresentasikan proyek yang sudah saya kerjakan di minggu kemarin</v>
      </c>
    </row>
    <row r="113">
      <c r="A113" s="43">
        <f>IFERROR(__xludf.DUMMYFUNCTION("""COMPUTED_VALUE"""),44095.38065335648)</f>
        <v>44095.38065</v>
      </c>
      <c r="B113" s="42" t="str">
        <f>IFERROR(__xludf.DUMMYFUNCTION("""COMPUTED_VALUE"""),"Fahmi Aziz Ismail")</f>
        <v>Fahmi Aziz Ismail</v>
      </c>
      <c r="C113" s="44">
        <f>IFERROR(__xludf.DUMMYFUNCTION("""COMPUTED_VALUE"""),44095.0)</f>
        <v>44095</v>
      </c>
      <c r="D113" s="42" t="str">
        <f>IFERROR(__xludf.DUMMYFUNCTION("""COMPUTED_VALUE"""),"membuat page home dengan data dari backend")</f>
        <v>membuat page home dengan data dari backend</v>
      </c>
      <c r="E113" s="42" t="str">
        <f>IFERROR(__xludf.DUMMYFUNCTION("""COMPUTED_VALUE"""),"Carousel masih belum berjalan, fungsi search masih error")</f>
        <v>Carousel masih belum berjalan, fungsi search masih error</v>
      </c>
      <c r="F113" s="42" t="str">
        <f>IFERROR(__xludf.DUMMYFUNCTION("""COMPUTED_VALUE"""),"memperbaiki fungsi search, membuat fungsi sort")</f>
        <v>memperbaiki fungsi search, membuat fungsi sort</v>
      </c>
    </row>
    <row r="114">
      <c r="A114" s="43">
        <f>IFERROR(__xludf.DUMMYFUNCTION("""COMPUTED_VALUE"""),44095.38160153935)</f>
        <v>44095.3816</v>
      </c>
      <c r="B114" s="42" t="str">
        <f>IFERROR(__xludf.DUMMYFUNCTION("""COMPUTED_VALUE"""),"Muhammad Abdurasyid")</f>
        <v>Muhammad Abdurasyid</v>
      </c>
      <c r="C114" s="44">
        <f>IFERROR(__xludf.DUMMYFUNCTION("""COMPUTED_VALUE"""),44095.0)</f>
        <v>44095</v>
      </c>
      <c r="D114" s="42" t="str">
        <f>IFERROR(__xludf.DUMMYFUNCTION("""COMPUTED_VALUE"""),"1. Membuat tampilan register dan login dengan menggunakan reactstrap
2. Merubah program backend di bagian controller seller agar mengembalikan response 200 dan data dgn objek kosong apabila query yg dicari tidak ditemukan
3. Menambahkan fungsi advanced di"&amp;" tabel CRUD produk:
a. sort by: 
- new -&gt; berdasarkan produk yg baru ditambahkan
- old -&gt; berdasarkan produk lama
- name -&gt; dapat mengurutkan nama secara asc ataupun desc
- price -&gt; dapat mengurutkan harga secara asc ataupun desc
- stock -&gt; dapat mengurut"&amp;"kan stok secara asc ataupun desc
b. pagination -&gt; utk dapat berpindah ke halaman berikut atau sebelumnya
c. limit -&gt; utk menampilkan jumlah produk sesuai dgn pilihan user
d. search -&gt; mencari produk berdasarkan nama")</f>
        <v>1. Membuat tampilan register dan login dengan menggunakan reactstrap
2. Merubah program backend di bagian controller seller agar mengembalikan response 200 dan data dgn objek kosong apabila query yg dicari tidak ditemukan
3. Menambahkan fungsi advanced di tabel CRUD produk:
a. sort by: 
- new -&gt; berdasarkan produk yg baru ditambahkan
- old -&gt; berdasarkan produk lama
- name -&gt; dapat mengurutkan nama secara asc ataupun desc
- price -&gt; dapat mengurutkan harga secara asc ataupun desc
- stock -&gt; dapat mengurutkan stok secara asc ataupun desc
b. pagination -&gt; utk dapat berpindah ke halaman berikut atau sebelumnya
c. limit -&gt; utk menampilkan jumlah produk sesuai dgn pilihan user
d. search -&gt; mencari produk berdasarkan nama</v>
      </c>
      <c r="E114" s="42" t="str">
        <f>IFERROR(__xludf.DUMMYFUNCTION("""COMPUTED_VALUE"""),"Saya mengalami sakit/demam tinggi dari Jumat-Minggu, hingga saya tidak mampu mengerjakan project/tugas secara maksimal di hari tsb")</f>
        <v>Saya mengalami sakit/demam tinggi dari Jumat-Minggu, hingga saya tidak mampu mengerjakan project/tugas secara maksimal di hari tsb</v>
      </c>
      <c r="F114" s="42" t="str">
        <f>IFERROR(__xludf.DUMMYFUNCTION("""COMPUTED_VALUE"""),"1. Membuat carousel promo dan category utk halaman home
2. Menambahkan pagination utk new product &amp; popular product di home")</f>
        <v>1. Membuat carousel promo dan category utk halaman home
2. Menambahkan pagination utk new product &amp; popular product di home</v>
      </c>
    </row>
    <row r="115">
      <c r="A115" s="43">
        <f>IFERROR(__xludf.DUMMYFUNCTION("""COMPUTED_VALUE"""),44095.38188936343)</f>
        <v>44095.38189</v>
      </c>
      <c r="B115" s="42" t="str">
        <f>IFERROR(__xludf.DUMMYFUNCTION("""COMPUTED_VALUE"""),"Wahyu Ramadhan")</f>
        <v>Wahyu Ramadhan</v>
      </c>
      <c r="C115" s="44">
        <f>IFERROR(__xludf.DUMMYFUNCTION("""COMPUTED_VALUE"""),36597.0)</f>
        <v>36597</v>
      </c>
      <c r="D115" s="42" t="str">
        <f>IFERROR(__xludf.DUMMYFUNCTION("""COMPUTED_VALUE"""),"create home page")</f>
        <v>create home page</v>
      </c>
      <c r="E115" s="42" t="str">
        <f>IFERROR(__xludf.DUMMYFUNCTION("""COMPUTED_VALUE"""),"yes, error 500 in my backend so I can't update data. And a little confused with reactjs")</f>
        <v>yes, error 500 in my backend so I can't update data. And a little confused with reactjs</v>
      </c>
      <c r="F115" s="42" t="str">
        <f>IFERROR(__xludf.DUMMYFUNCTION("""COMPUTED_VALUE"""),"want to create search function")</f>
        <v>want to create search function</v>
      </c>
    </row>
    <row r="116">
      <c r="A116" s="43">
        <f>IFERROR(__xludf.DUMMYFUNCTION("""COMPUTED_VALUE"""),44095.39166530092)</f>
        <v>44095.39167</v>
      </c>
      <c r="B116" s="42" t="str">
        <f>IFERROR(__xludf.DUMMYFUNCTION("""COMPUTED_VALUE"""),"Iqbal Athorid")</f>
        <v>Iqbal Athorid</v>
      </c>
      <c r="C116" s="44">
        <f>IFERROR(__xludf.DUMMYFUNCTION("""COMPUTED_VALUE"""),44095.0)</f>
        <v>44095</v>
      </c>
      <c r="D116" s="42" t="str">
        <f>IFERROR(__xludf.DUMMYFUNCTION("""COMPUTED_VALUE"""),"created pagination,search, Login Register Home")</f>
        <v>created pagination,search, Login Register Home</v>
      </c>
      <c r="E116" s="42" t="str">
        <f>IFERROR(__xludf.DUMMYFUNCTION("""COMPUTED_VALUE"""),"Set a query params")</f>
        <v>Set a query params</v>
      </c>
      <c r="F116" s="42" t="str">
        <f>IFERROR(__xludf.DUMMYFUNCTION("""COMPUTED_VALUE"""),"presentation")</f>
        <v>presentation</v>
      </c>
    </row>
    <row r="117">
      <c r="A117" s="43">
        <f>IFERROR(__xludf.DUMMYFUNCTION("""COMPUTED_VALUE"""),44095.39985800926)</f>
        <v>44095.39986</v>
      </c>
      <c r="B117" s="42" t="str">
        <f>IFERROR(__xludf.DUMMYFUNCTION("""COMPUTED_VALUE"""),"Muhamad Faris Alkodri")</f>
        <v>Muhamad Faris Alkodri</v>
      </c>
      <c r="C117" s="44">
        <f>IFERROR(__xludf.DUMMYFUNCTION("""COMPUTED_VALUE"""),44095.0)</f>
        <v>44095</v>
      </c>
      <c r="D117" s="42" t="str">
        <f>IFERROR(__xludf.DUMMYFUNCTION("""COMPUTED_VALUE"""),"I was creating pagination, sort, search and etc, but i dont have enough time to finish my home page on mockup")</f>
        <v>I was creating pagination, sort, search and etc, but i dont have enough time to finish my home page on mockup</v>
      </c>
      <c r="E117" s="42" t="str">
        <f>IFERROR(__xludf.DUMMYFUNCTION("""COMPUTED_VALUE"""),"I have a problem in using axios, because i send object in the params inside the axios function but the link seems doesnt read my object so it very bugging me because i can use my feature like sort, filter and search because of that")</f>
        <v>I have a problem in using axios, because i send object in the params inside the axios function but the link seems doesnt read my object so it very bugging me because i can use my feature like sort, filter and search because of that</v>
      </c>
      <c r="F117" s="42" t="str">
        <f>IFERROR(__xludf.DUMMYFUNCTION("""COMPUTED_VALUE"""),"I want to find out how exactly best way to create string literals from an object so i can pass it to the link in the axios")</f>
        <v>I want to find out how exactly best way to create string literals from an object so i can pass it to the link in the axios</v>
      </c>
    </row>
    <row r="118">
      <c r="A118" s="43">
        <f>IFERROR(__xludf.DUMMYFUNCTION("""COMPUTED_VALUE"""),44095.42989064815)</f>
        <v>44095.42989</v>
      </c>
      <c r="B118" s="42" t="str">
        <f>IFERROR(__xludf.DUMMYFUNCTION("""COMPUTED_VALUE"""),"Furoidah Chilmi")</f>
        <v>Furoidah Chilmi</v>
      </c>
      <c r="C118" s="44">
        <f>IFERROR(__xludf.DUMMYFUNCTION("""COMPUTED_VALUE"""),44095.0)</f>
        <v>44095</v>
      </c>
      <c r="D118" s="42" t="str">
        <f>IFERROR(__xludf.DUMMYFUNCTION("""COMPUTED_VALUE"""),"1. change /category to /items
2. change how radio button worked
3. can read props.loc.search, but cant reload automatically if button clicked
4. make home page")</f>
        <v>1. change /category to /items
2. change how radio button worked
3. can read props.loc.search, but cant reload automatically if button clicked
4. make home page</v>
      </c>
      <c r="E118" s="42" t="str">
        <f>IFERROR(__xludf.DUMMYFUNCTION("""COMPUTED_VALUE"""),"how to reload automatically when url changed?")</f>
        <v>how to reload automatically when url changed?</v>
      </c>
      <c r="F118" s="42" t="str">
        <f>IFERROR(__xludf.DUMMYFUNCTION("""COMPUTED_VALUE"""),"just continue!!!")</f>
        <v>just continue!!!</v>
      </c>
    </row>
    <row r="119">
      <c r="A119" s="43">
        <f>IFERROR(__xludf.DUMMYFUNCTION("""COMPUTED_VALUE"""),44096.38292068287)</f>
        <v>44096.38292</v>
      </c>
      <c r="B119" s="42" t="str">
        <f>IFERROR(__xludf.DUMMYFUNCTION("""COMPUTED_VALUE"""),"Muhamad Faris Alkodri")</f>
        <v>Muhamad Faris Alkodri</v>
      </c>
      <c r="C119" s="44">
        <f>IFERROR(__xludf.DUMMYFUNCTION("""COMPUTED_VALUE"""),44096.0)</f>
        <v>44096</v>
      </c>
      <c r="D119" s="42" t="str">
        <f>IFERROR(__xludf.DUMMYFUNCTION("""COMPUTED_VALUE"""),"I'm not doing much i'm just searching about another package that can stringified  the object i am inserted to")</f>
        <v>I'm not doing much i'm just searching about another package that can stringified  the object i am inserted to</v>
      </c>
      <c r="E119" s="42" t="str">
        <f>IFERROR(__xludf.DUMMYFUNCTION("""COMPUTED_VALUE"""),"I dont have any problems yesterday, but more of psychological")</f>
        <v>I dont have any problems yesterday, but more of psychological</v>
      </c>
      <c r="F119" s="42" t="str">
        <f>IFERROR(__xludf.DUMMYFUNCTION("""COMPUTED_VALUE"""),"I want to use history push in my code to every query that user's entered and i want to check if the stringifying package work for my code")</f>
        <v>I want to use history push in my code to every query that user's entered and i want to check if the stringifying package work for my code</v>
      </c>
    </row>
    <row r="120">
      <c r="A120" s="43">
        <f>IFERROR(__xludf.DUMMYFUNCTION("""COMPUTED_VALUE"""),44096.38755471064)</f>
        <v>44096.38755</v>
      </c>
      <c r="B120" s="42" t="str">
        <f>IFERROR(__xludf.DUMMYFUNCTION("""COMPUTED_VALUE"""),"Muhammad Abdurasyid")</f>
        <v>Muhammad Abdurasyid</v>
      </c>
      <c r="C120" s="44">
        <f>IFERROR(__xludf.DUMMYFUNCTION("""COMPUTED_VALUE"""),44096.0)</f>
        <v>44096</v>
      </c>
      <c r="D120" s="42" t="str">
        <f>IFERROR(__xludf.DUMMYFUNCTION("""COMPUTED_VALUE"""),"Revisi tugas reactstrap: 
1. Menambahkan query parameter utk fungsi search, page, limit, dan sort di table CRUD produk
2. Menambahkan modal sebagai alert ketika seller telah sukses menambah produk baru
3. Menambahkan numbering di tabel utk memudahkan sell"&amp;"er melihat nomor urut produk
4. Menambahkan informasi banyaknya jumlah produk dalam tabel yg diletakkan setelah select box limit
5. Menambahkan informasi banyaknya jumlah halaman max yg diletakkan setelah informasi sekarang halaman ke berapa")</f>
        <v>Revisi tugas reactstrap: 
1. Menambahkan query parameter utk fungsi search, page, limit, dan sort di table CRUD produk
2. Menambahkan modal sebagai alert ketika seller telah sukses menambah produk baru
3. Menambahkan numbering di tabel utk memudahkan seller melihat nomor urut produk
4. Menambahkan informasi banyaknya jumlah produk dalam tabel yg diletakkan setelah select box limit
5. Menambahkan informasi banyaknya jumlah halaman max yg diletakkan setelah informasi sekarang halaman ke berapa</v>
      </c>
      <c r="E120" s="42"/>
      <c r="F120" s="42" t="str">
        <f>IFERROR(__xludf.DUMMYFUNCTION("""COMPUTED_VALUE"""),"1. Revisi pagination agar user bisa input/jump ke halaman tertentu
2. Membuat carousel promo &amp; category")</f>
        <v>1. Revisi pagination agar user bisa input/jump ke halaman tertentu
2. Membuat carousel promo &amp; category</v>
      </c>
    </row>
    <row r="121">
      <c r="A121" s="43">
        <f>IFERROR(__xludf.DUMMYFUNCTION("""COMPUTED_VALUE"""),44097.3810725)</f>
        <v>44097.38107</v>
      </c>
      <c r="B121" s="42" t="str">
        <f>IFERROR(__xludf.DUMMYFUNCTION("""COMPUTED_VALUE"""),"Ahmad Fatkhul Amam")</f>
        <v>Ahmad Fatkhul Amam</v>
      </c>
      <c r="C121" s="44">
        <f>IFERROR(__xludf.DUMMYFUNCTION("""COMPUTED_VALUE"""),44097.0)</f>
        <v>44097</v>
      </c>
      <c r="D121" s="42" t="str">
        <f>IFERROR(__xludf.DUMMYFUNCTION("""COMPUTED_VALUE"""),"make search product feature in ecommerce frontend")</f>
        <v>make search product feature in ecommerce frontend</v>
      </c>
      <c r="E121" s="42" t="str">
        <f>IFERROR(__xludf.DUMMYFUNCTION("""COMPUTED_VALUE"""),"how to send data in search input box to url with click the search button")</f>
        <v>how to send data in search input box to url with click the search button</v>
      </c>
      <c r="F121" s="42" t="str">
        <f>IFERROR(__xludf.DUMMYFUNCTION("""COMPUTED_VALUE"""),"debuging the search feature")</f>
        <v>debuging the search feature</v>
      </c>
    </row>
    <row r="122">
      <c r="A122" s="43">
        <f>IFERROR(__xludf.DUMMYFUNCTION("""COMPUTED_VALUE"""),44097.383102673615)</f>
        <v>44097.3831</v>
      </c>
      <c r="B122" s="42" t="str">
        <f>IFERROR(__xludf.DUMMYFUNCTION("""COMPUTED_VALUE"""),"Muhammad Abdurasyid")</f>
        <v>Muhammad Abdurasyid</v>
      </c>
      <c r="C122" s="44">
        <f>IFERROR(__xludf.DUMMYFUNCTION("""COMPUTED_VALUE"""),44097.0)</f>
        <v>44097</v>
      </c>
      <c r="D122" s="42" t="str">
        <f>IFERROR(__xludf.DUMMYFUNCTION("""COMPUTED_VALUE"""),"1. Revisi tugas reactstrap di bagian pagination tabel CRUD produk, revisi berupa modifikasi pagination agar seller bisa berpindah ke halaman tertentu melalui input text yg tersedia
2. Menambahkan file .env utk menampung alamat/URL backend
3. Mencoba membu"&amp;"at carousel dgn menggunakan package react-slick &amp; slick-carousel, tapi masih belum selesai")</f>
        <v>1. Revisi tugas reactstrap di bagian pagination tabel CRUD produk, revisi berupa modifikasi pagination agar seller bisa berpindah ke halaman tertentu melalui input text yg tersedia
2. Menambahkan file .env utk menampung alamat/URL backend
3. Mencoba membuat carousel dgn menggunakan package react-slick &amp; slick-carousel, tapi masih belum selesai</v>
      </c>
      <c r="E122" s="42" t="str">
        <f>IFERROR(__xludf.DUMMYFUNCTION("""COMPUTED_VALUE"""),"XAMPP MySQL saya sempat bermasalah/error dgn warning 'mysql shutdown unexpectedly', tapi sudah teratasi setelah membaca beberapa referensi di internet")</f>
        <v>XAMPP MySQL saya sempat bermasalah/error dgn warning 'mysql shutdown unexpectedly', tapi sudah teratasi setelah membaca beberapa referensi di internet</v>
      </c>
      <c r="F122" s="42" t="str">
        <f>IFERROR(__xludf.DUMMYFUNCTION("""COMPUTED_VALUE"""),"Belajar backend melalui tugas yg diberikan, jika ada waktu luang melanjutkan slicing mockup halaman detail")</f>
        <v>Belajar backend melalui tugas yg diberikan, jika ada waktu luang melanjutkan slicing mockup halaman detail</v>
      </c>
    </row>
    <row r="123">
      <c r="A123" s="43">
        <f>IFERROR(__xludf.DUMMYFUNCTION("""COMPUTED_VALUE"""),44097.389471863426)</f>
        <v>44097.38947</v>
      </c>
      <c r="B123" s="42" t="str">
        <f>IFERROR(__xludf.DUMMYFUNCTION("""COMPUTED_VALUE"""),"Rezha Maulana Jaya")</f>
        <v>Rezha Maulana Jaya</v>
      </c>
      <c r="C123" s="44">
        <f>IFERROR(__xludf.DUMMYFUNCTION("""COMPUTED_VALUE"""),44097.0)</f>
        <v>44097</v>
      </c>
      <c r="D123" s="42" t="str">
        <f>IFERROR(__xludf.DUMMYFUNCTION("""COMPUTED_VALUE"""),"update backend  add join in query database for category name to show in frontend
")</f>
        <v>update backend  add join in query database for category name to show in frontend
</v>
      </c>
      <c r="E123" s="42" t="str">
        <f>IFERROR(__xludf.DUMMYFUNCTION("""COMPUTED_VALUE"""),"mutler, add image")</f>
        <v>mutler, add image</v>
      </c>
      <c r="F123" s="42" t="str">
        <f>IFERROR(__xludf.DUMMYFUNCTION("""COMPUTED_VALUE"""),"fixing  miss in progress")</f>
        <v>fixing  miss in progress</v>
      </c>
    </row>
    <row r="124">
      <c r="A124" s="43">
        <f>IFERROR(__xludf.DUMMYFUNCTION("""COMPUTED_VALUE"""),44097.39134126157)</f>
        <v>44097.39134</v>
      </c>
      <c r="B124" s="42" t="str">
        <f>IFERROR(__xludf.DUMMYFUNCTION("""COMPUTED_VALUE"""),"Fahmi Aziz Ismail")</f>
        <v>Fahmi Aziz Ismail</v>
      </c>
      <c r="C124" s="44">
        <f>IFERROR(__xludf.DUMMYFUNCTION("""COMPUTED_VALUE"""),44097.0)</f>
        <v>44097</v>
      </c>
      <c r="D124" s="42" t="str">
        <f>IFERROR(__xludf.DUMMYFUNCTION("""COMPUTED_VALUE"""),"membuat halaman login dan register dan mempernbaiki fungsi prev dan next")</f>
        <v>membuat halaman login dan register dan mempernbaiki fungsi prev dan next</v>
      </c>
      <c r="E124" s="42" t="str">
        <f>IFERROR(__xludf.DUMMYFUNCTION("""COMPUTED_VALUE"""),"fungsi switch form belum berjalan")</f>
        <v>fungsi switch form belum berjalan</v>
      </c>
      <c r="F124" s="42" t="str">
        <f>IFERROR(__xludf.DUMMYFUNCTION("""COMPUTED_VALUE"""),"membuat fungsi sort dan search , dan membuat halaman cart dan detail")</f>
        <v>membuat fungsi sort dan search , dan membuat halaman cart dan detail</v>
      </c>
    </row>
    <row r="125">
      <c r="A125" s="43">
        <f>IFERROR(__xludf.DUMMYFUNCTION("""COMPUTED_VALUE"""),44098.37891326389)</f>
        <v>44098.37891</v>
      </c>
      <c r="B125" s="42" t="str">
        <f>IFERROR(__xludf.DUMMYFUNCTION("""COMPUTED_VALUE"""),"Rezha Maulana Jaya")</f>
        <v>Rezha Maulana Jaya</v>
      </c>
      <c r="C125" s="44">
        <f>IFERROR(__xludf.DUMMYFUNCTION("""COMPUTED_VALUE"""),44098.0)</f>
        <v>44098</v>
      </c>
      <c r="D125" s="42" t="str">
        <f>IFERROR(__xludf.DUMMYFUNCTION("""COMPUTED_VALUE"""),"move response status to folder helpers/response.js")</f>
        <v>move response status to folder helpers/response.js</v>
      </c>
      <c r="E125" s="42" t="str">
        <f>IFERROR(__xludf.DUMMYFUNCTION("""COMPUTED_VALUE"""),"implementation upload file jpg and compress if condition  same .jpg  ,")</f>
        <v>implementation upload file jpg and compress if condition  same .jpg  ,</v>
      </c>
      <c r="F125" s="42" t="str">
        <f>IFERROR(__xludf.DUMMYFUNCTION("""COMPUTED_VALUE"""),"fixing progress
")</f>
        <v>fixing progress
</v>
      </c>
    </row>
    <row r="126">
      <c r="A126" s="43">
        <f>IFERROR(__xludf.DUMMYFUNCTION("""COMPUTED_VALUE"""),44098.380868252316)</f>
        <v>44098.38087</v>
      </c>
      <c r="B126" s="42" t="str">
        <f>IFERROR(__xludf.DUMMYFUNCTION("""COMPUTED_VALUE"""),"Ahmad Fatkhul Amam")</f>
        <v>Ahmad Fatkhul Amam</v>
      </c>
      <c r="C126" s="44">
        <f>IFERROR(__xludf.DUMMYFUNCTION("""COMPUTED_VALUE"""),44098.0)</f>
        <v>44098</v>
      </c>
      <c r="D126" s="42" t="str">
        <f>IFERROR(__xludf.DUMMYFUNCTION("""COMPUTED_VALUE"""),"make uploads file using multer middleware, the file just image extension(jpg,jpeg,png) and give the max size of image just 500kb")</f>
        <v>make uploads file using multer middleware, the file just image extension(jpg,jpeg,png) and give the max size of image just 500kb</v>
      </c>
      <c r="E126" s="42" t="str">
        <f>IFERROR(__xludf.DUMMYFUNCTION("""COMPUTED_VALUE"""),"the link of the image not appear in the api after be validate")</f>
        <v>the link of the image not appear in the api after be validate</v>
      </c>
      <c r="F126" s="42" t="str">
        <f>IFERROR(__xludf.DUMMYFUNCTION("""COMPUTED_VALUE"""),"make otentifikasi and otorisasi user")</f>
        <v>make otentifikasi and otorisasi user</v>
      </c>
    </row>
    <row r="127">
      <c r="A127" s="43">
        <f>IFERROR(__xludf.DUMMYFUNCTION("""COMPUTED_VALUE"""),44098.3812253125)</f>
        <v>44098.38123</v>
      </c>
      <c r="B127" s="42" t="str">
        <f>IFERROR(__xludf.DUMMYFUNCTION("""COMPUTED_VALUE"""),"Pramesti Regita Cahyani")</f>
        <v>Pramesti Regita Cahyani</v>
      </c>
      <c r="C127" s="44">
        <f>IFERROR(__xludf.DUMMYFUNCTION("""COMPUTED_VALUE"""),44098.0)</f>
        <v>44098</v>
      </c>
      <c r="D127" s="42" t="str">
        <f>IFERROR(__xludf.DUMMYFUNCTION("""COMPUTED_VALUE"""),"Membuat helper multer untuk upload profile picture user dan membuat autentikasi")</f>
        <v>Membuat helper multer untuk upload profile picture user dan membuat autentikasi</v>
      </c>
      <c r="E127" s="42" t="str">
        <f>IFERROR(__xludf.DUMMYFUNCTION("""COMPUTED_VALUE"""),"Belum bisa memberi aturan/batasan untuk gambar, sudah cari di internet tapi belum bisa melanjutkan ke step selanjutnya malah mengeluarkan isi message yang diberikan di validasi dan user juga gagal dibuat hanya fotonya yang terupload, mungkin karena return"&amp;" nya bukan next")</f>
        <v>Belum bisa memberi aturan/batasan untuk gambar, sudah cari di internet tapi belum bisa melanjutkan ke step selanjutnya malah mengeluarkan isi message yang diberikan di validasi dan user juga gagal dibuat hanya fotonya yang terupload, mungkin karena return nya bukan next</v>
      </c>
      <c r="F127" s="42" t="str">
        <f>IFERROR(__xludf.DUMMYFUNCTION("""COMPUTED_VALUE"""),"Memperbaiki return multer dan validasi file nya serta melanjutkan untuk autentikasi user dengan role")</f>
        <v>Memperbaiki return multer dan validasi file nya serta melanjutkan untuk autentikasi user dengan role</v>
      </c>
    </row>
    <row r="128">
      <c r="A128" s="43">
        <f>IFERROR(__xludf.DUMMYFUNCTION("""COMPUTED_VALUE"""),44098.38191671296)</f>
        <v>44098.38192</v>
      </c>
      <c r="B128" s="42" t="str">
        <f>IFERROR(__xludf.DUMMYFUNCTION("""COMPUTED_VALUE"""),"Fahmi Aziz Ismail")</f>
        <v>Fahmi Aziz Ismail</v>
      </c>
      <c r="C128" s="44">
        <f>IFERROR(__xludf.DUMMYFUNCTION("""COMPUTED_VALUE"""),44098.0)</f>
        <v>44098</v>
      </c>
      <c r="D128" s="42" t="str">
        <f>IFERROR(__xludf.DUMMYFUNCTION("""COMPUTED_VALUE"""),"membuat fungsi multer untuk page product")</f>
        <v>membuat fungsi multer untuk page product</v>
      </c>
      <c r="E128" s="42" t="str">
        <f>IFERROR(__xludf.DUMMYFUNCTION("""COMPUTED_VALUE"""),"storage folder harus ditulis rinci, belum bisa membuat limit ukuran untuk file yg akan diupload, belum bisa membuat pembatasan tipe file yang akan diupload ")</f>
        <v>storage folder harus ditulis rinci, belum bisa membuat limit ukuran untuk file yg akan diupload, belum bisa membuat pembatasan tipe file yang akan diupload </v>
      </c>
      <c r="F128" s="42" t="str">
        <f>IFERROR(__xludf.DUMMYFUNCTION("""COMPUTED_VALUE"""),"memperbaiki penulisan storage folder, membuat fungsi limit, membuat fungsi pembatasan tipe file")</f>
        <v>memperbaiki penulisan storage folder, membuat fungsi limit, membuat fungsi pembatasan tipe file</v>
      </c>
    </row>
    <row r="129">
      <c r="A129" s="43">
        <f>IFERROR(__xludf.DUMMYFUNCTION("""COMPUTED_VALUE"""),44098.38838766204)</f>
        <v>44098.38839</v>
      </c>
      <c r="B129" s="42" t="str">
        <f>IFERROR(__xludf.DUMMYFUNCTION("""COMPUTED_VALUE"""),"Wahyu Ramadhan")</f>
        <v>Wahyu Ramadhan</v>
      </c>
      <c r="C129" s="44">
        <f>IFERROR(__xludf.DUMMYFUNCTION("""COMPUTED_VALUE"""),36597.0)</f>
        <v>36597</v>
      </c>
      <c r="D129" s="42" t="str">
        <f>IFERROR(__xludf.DUMMYFUNCTION("""COMPUTED_VALUE"""),"create multer in page category")</f>
        <v>create multer in page category</v>
      </c>
      <c r="E129" s="42" t="str">
        <f>IFERROR(__xludf.DUMMYFUNCTION("""COMPUTED_VALUE"""),"just a little confused in flow")</f>
        <v>just a little confused in flow</v>
      </c>
      <c r="F129" s="42" t="str">
        <f>IFERROR(__xludf.DUMMYFUNCTION("""COMPUTED_VALUE"""),"want to create jwt and pagination in page category")</f>
        <v>want to create jwt and pagination in page category</v>
      </c>
    </row>
    <row r="130">
      <c r="A130" s="43">
        <f>IFERROR(__xludf.DUMMYFUNCTION("""COMPUTED_VALUE"""),44098.39420895833)</f>
        <v>44098.39421</v>
      </c>
      <c r="B130" s="42" t="str">
        <f>IFERROR(__xludf.DUMMYFUNCTION("""COMPUTED_VALUE"""),"Muhammad Abdurasyid")</f>
        <v>Muhammad Abdurasyid</v>
      </c>
      <c r="C130" s="44">
        <f>IFERROR(__xludf.DUMMYFUNCTION("""COMPUTED_VALUE"""),44098.0)</f>
        <v>44098</v>
      </c>
      <c r="D130" s="42" t="str">
        <f>IFERROR(__xludf.DUMMYFUNCTION("""COMPUTED_VALUE"""),"1. Menambahkan package multer utk upload gambar kategori
2. Memberikan option pada multer berupa limit ukuran file 500 KB dan batasan agar file yg diperbolehkan upload hanya gambar dgn ektensi .png, .jpg dan .jpeg
3. Menambahkan error handling ketika uplo"&amp;"ad file dgn ukuran file lebih dari 500 KB atau file bukan gambar
4. Menambahkan env
5. Membuat response helper yg baru digunakan di controller category")</f>
        <v>1. Menambahkan package multer utk upload gambar kategori
2. Memberikan option pada multer berupa limit ukuran file 500 KB dan batasan agar file yg diperbolehkan upload hanya gambar dgn ektensi .png, .jpg dan .jpeg
3. Menambahkan error handling ketika upload file dgn ukuran file lebih dari 500 KB atau file bukan gambar
4. Menambahkan env
5. Membuat response helper yg baru digunakan di controller category</v>
      </c>
      <c r="E130" s="42"/>
      <c r="F130" s="42" t="str">
        <f>IFERROR(__xludf.DUMMYFUNCTION("""COMPUTED_VALUE"""),"1. Menggunakan response helper utk controller lainnya
2. Menggunakan multer utk upload gambar produk")</f>
        <v>1. Menggunakan response helper utk controller lainnya
2. Menggunakan multer utk upload gambar produk</v>
      </c>
    </row>
    <row r="131">
      <c r="A131" s="43">
        <f>IFERROR(__xludf.DUMMYFUNCTION("""COMPUTED_VALUE"""),44098.39969302084)</f>
        <v>44098.39969</v>
      </c>
      <c r="B131" s="42" t="str">
        <f>IFERROR(__xludf.DUMMYFUNCTION("""COMPUTED_VALUE"""),"Iqbal Athorid")</f>
        <v>Iqbal Athorid</v>
      </c>
      <c r="C131" s="44">
        <f>IFERROR(__xludf.DUMMYFUNCTION("""COMPUTED_VALUE"""),44098.0)</f>
        <v>44098</v>
      </c>
      <c r="D131" s="42" t="str">
        <f>IFERROR(__xludf.DUMMYFUNCTION("""COMPUTED_VALUE"""),"setting multer upload image, changed model on items using promise,changed fungtion model on controller to async/await function, chaged query searchItems to join table category and images querys")</f>
        <v>setting multer upload image, changed model on items using promise,changed fungtion model on controller to async/await function, chaged query searchItems to join table category and images querys</v>
      </c>
      <c r="E131" s="42" t="str">
        <f>IFERROR(__xludf.DUMMYFUNCTION("""COMPUTED_VALUE"""),"get error message in multer")</f>
        <v>get error message in multer</v>
      </c>
      <c r="F131" s="42" t="str">
        <f>IFERROR(__xludf.DUMMYFUNCTION("""COMPUTED_VALUE"""),"changed all model using async/await, created standart response, fix some response querys using join, create autorization and authentication using JWT,fixed some bugs on controller")</f>
        <v>changed all model using async/await, created standart response, fix some response querys using join, create autorization and authentication using JWT,fixed some bugs on controller</v>
      </c>
    </row>
    <row r="132">
      <c r="A132" s="43">
        <f>IFERROR(__xludf.DUMMYFUNCTION("""COMPUTED_VALUE"""),44098.40332395834)</f>
        <v>44098.40332</v>
      </c>
      <c r="B132" s="42" t="str">
        <f>IFERROR(__xludf.DUMMYFUNCTION("""COMPUTED_VALUE"""),"Muhamad Faris Alkodri")</f>
        <v>Muhamad Faris Alkodri</v>
      </c>
      <c r="C132" s="44">
        <f>IFERROR(__xludf.DUMMYFUNCTION("""COMPUTED_VALUE"""),44098.0)</f>
        <v>44098</v>
      </c>
      <c r="D132" s="42" t="str">
        <f>IFERROR(__xludf.DUMMYFUNCTION("""COMPUTED_VALUE"""),"I have implemented file type filter and file size filter on multer, the file type that i allowed to be uploaded are jpeg, jpg and png by its extended, I also checking the mimetype of the files to prevent the unwanted files that renamed with the extended f"&amp;"iles that i have allowed. I also creating new user table in my database that has 8 columns: id, name, username, email, password, avatar, crated at, and updated at")</f>
        <v>I have implemented file type filter and file size filter on multer, the file type that i allowed to be uploaded are jpeg, jpg and png by its extended, I also checking the mimetype of the files to prevent the unwanted files that renamed with the extended files that i have allowed. I also creating new user table in my database that has 8 columns: id, name, username, email, password, avatar, crated at, and updated at</v>
      </c>
      <c r="E132" s="42" t="str">
        <f>IFERROR(__xludf.DUMMYFUNCTION("""COMPUTED_VALUE"""),"I have a problem to pass my error in multer i dont know the proper way to pass the errors from middleware to the controller function")</f>
        <v>I have a problem to pass my error in multer i dont know the proper way to pass the errors from middleware to the controller function</v>
      </c>
      <c r="F132" s="42" t="str">
        <f>IFERROR(__xludf.DUMMYFUNCTION("""COMPUTED_VALUE"""),"I want to create the controllers and routes of my users table CRUD, and also try to make my code cleaner by separate the code that can be modular")</f>
        <v>I want to create the controllers and routes of my users table CRUD, and also try to make my code cleaner by separate the code that can be modular</v>
      </c>
    </row>
    <row r="133">
      <c r="A133" s="43">
        <f>IFERROR(__xludf.DUMMYFUNCTION("""COMPUTED_VALUE"""),44098.405288090275)</f>
        <v>44098.40529</v>
      </c>
      <c r="B133" s="42" t="str">
        <f>IFERROR(__xludf.DUMMYFUNCTION("""COMPUTED_VALUE"""),"Timotius Simanjuntak")</f>
        <v>Timotius Simanjuntak</v>
      </c>
      <c r="C133" s="44">
        <f>IFERROR(__xludf.DUMMYFUNCTION("""COMPUTED_VALUE"""),44098.0)</f>
        <v>44098</v>
      </c>
      <c r="D133" s="42" t="str">
        <f>IFERROR(__xludf.DUMMYFUNCTION("""COMPUTED_VALUE"""),"menggunakan multer dll")</f>
        <v>menggunakan multer dll</v>
      </c>
      <c r="E133" s="42"/>
      <c r="F133" s="42" t="str">
        <f>IFERROR(__xludf.DUMMYFUNCTION("""COMPUTED_VALUE"""),"mendalami multer dan yang lain2")</f>
        <v>mendalami multer dan yang lain2</v>
      </c>
    </row>
    <row r="134">
      <c r="A134" s="43">
        <f>IFERROR(__xludf.DUMMYFUNCTION("""COMPUTED_VALUE"""),44098.40536518519)</f>
        <v>44098.40537</v>
      </c>
      <c r="B134" s="42" t="str">
        <f>IFERROR(__xludf.DUMMYFUNCTION("""COMPUTED_VALUE"""),"Satrio Nugroho")</f>
        <v>Satrio Nugroho</v>
      </c>
      <c r="C134" s="44">
        <f>IFERROR(__xludf.DUMMYFUNCTION("""COMPUTED_VALUE"""),44098.0)</f>
        <v>44098</v>
      </c>
      <c r="D134" s="42" t="str">
        <f>IFERROR(__xludf.DUMMYFUNCTION("""COMPUTED_VALUE"""),"saya telah mengimplementasikan penggunaan upload image.. tapi belum disertai aturan aturan ")</f>
        <v>saya telah mengimplementasikan penggunaan upload image.. tapi belum disertai aturan aturan </v>
      </c>
      <c r="E134" s="42"/>
      <c r="F134" s="42" t="str">
        <f>IFERROR(__xludf.DUMMYFUNCTION("""COMPUTED_VALUE"""),"hari ini saya akan melanjutkan materi dan akan melanjutkan mengerjakan project saya ")</f>
        <v>hari ini saya akan melanjutkan materi dan akan melanjutkan mengerjakan project saya </v>
      </c>
    </row>
    <row r="135">
      <c r="A135" s="43">
        <f>IFERROR(__xludf.DUMMYFUNCTION("""COMPUTED_VALUE"""),44098.40763297454)</f>
        <v>44098.40763</v>
      </c>
      <c r="B135" s="42" t="str">
        <f>IFERROR(__xludf.DUMMYFUNCTION("""COMPUTED_VALUE"""),"Muhammad")</f>
        <v>Muhammad</v>
      </c>
      <c r="C135" s="44">
        <f>IFERROR(__xludf.DUMMYFUNCTION("""COMPUTED_VALUE"""),44098.0)</f>
        <v>44098</v>
      </c>
      <c r="D135" s="42" t="str">
        <f>IFERROR(__xludf.DUMMYFUNCTION("""COMPUTED_VALUE"""),"Add multer for upload image in project express-backend to database ecommerce table product and set options for validate file only image and size only 500kb")</f>
        <v>Add multer for upload image in project express-backend to database ecommerce table product and set options for validate file only image and size only 500kb</v>
      </c>
      <c r="E135" s="42" t="str">
        <f>IFERROR(__xludf.DUMMYFUNCTION("""COMPUTED_VALUE"""),"Problem in error handling implementation")</f>
        <v>Problem in error handling implementation</v>
      </c>
      <c r="F135" s="42" t="str">
        <f>IFERROR(__xludf.DUMMYFUNCTION("""COMPUTED_VALUE"""),"Implementation JWT")</f>
        <v>Implementation JWT</v>
      </c>
    </row>
    <row r="136">
      <c r="A136" s="43">
        <f>IFERROR(__xludf.DUMMYFUNCTION("""COMPUTED_VALUE"""),44098.409488634265)</f>
        <v>44098.40949</v>
      </c>
      <c r="B136" s="42" t="str">
        <f>IFERROR(__xludf.DUMMYFUNCTION("""COMPUTED_VALUE"""),"Ahmad Asrofi")</f>
        <v>Ahmad Asrofi</v>
      </c>
      <c r="C136" s="44">
        <f>IFERROR(__xludf.DUMMYFUNCTION("""COMPUTED_VALUE"""),44098.0)</f>
        <v>44098</v>
      </c>
      <c r="D136" s="42" t="str">
        <f>IFERROR(__xludf.DUMMYFUNCTION("""COMPUTED_VALUE"""),"implement how to upload a picture using multure and send it to database by call the req.file.path and then split it and rewove the zero index and then concat with URL")</f>
        <v>implement how to upload a picture using multure and send it to database by call the req.file.path and then split it and rewove the zero index and then concat with URL</v>
      </c>
      <c r="E136" s="42" t="str">
        <f>IFERROR(__xludf.DUMMYFUNCTION("""COMPUTED_VALUE"""),"That's all I could do yesterday, because my laptop had a problem")</f>
        <v>That's all I could do yesterday, because my laptop had a problem</v>
      </c>
      <c r="F136" s="42" t="str">
        <f>IFERROR(__xludf.DUMMYFUNCTION("""COMPUTED_VALUE"""),"i will implement multure to upload multiple picture and set a limit size and more")</f>
        <v>i will implement multure to upload multiple picture and set a limit size and more</v>
      </c>
    </row>
    <row r="137">
      <c r="A137" s="43">
        <f>IFERROR(__xludf.DUMMYFUNCTION("""COMPUTED_VALUE"""),44099.366031666665)</f>
        <v>44099.36603</v>
      </c>
      <c r="B137" s="42" t="str">
        <f>IFERROR(__xludf.DUMMYFUNCTION("""COMPUTED_VALUE"""),"Pramesti Regita Cahyani")</f>
        <v>Pramesti Regita Cahyani</v>
      </c>
      <c r="C137" s="44">
        <f>IFERROR(__xludf.DUMMYFUNCTION("""COMPUTED_VALUE"""),44099.0)</f>
        <v>44099</v>
      </c>
      <c r="D137" s="42" t="str">
        <f>IFERROR(__xludf.DUMMYFUNCTION("""COMPUTED_VALUE"""),"sudah membuat helper untuk pagination, search, sort, dan model serta hash password, membuat tabel database baru sesuai kebutuhan mockup")</f>
        <v>sudah membuat helper untuk pagination, search, sort, dan model serta hash password, membuat tabel database baru sesuai kebutuhan mockup</v>
      </c>
      <c r="E137" s="42" t="str">
        <f>IFERROR(__xludf.DUMMYFUNCTION("""COMPUTED_VALUE"""),"belum sempat mengerjakan yang lain karena sakit, tapi untuk upload masih belum diberi aturan")</f>
        <v>belum sempat mengerjakan yang lain karena sakit, tapi untuk upload masih belum diberi aturan</v>
      </c>
      <c r="F137" s="42" t="str">
        <f>IFERROR(__xludf.DUMMYFUNCTION("""COMPUTED_VALUE"""),"membuat aturan untuk upload dan membuat authentifikasi, dan membuat route dan CRUD nya untuk path yang lain")</f>
        <v>membuat aturan untuk upload dan membuat authentifikasi, dan membuat route dan CRUD nya untuk path yang lain</v>
      </c>
    </row>
    <row r="138">
      <c r="A138" s="43">
        <f>IFERROR(__xludf.DUMMYFUNCTION("""COMPUTED_VALUE"""),44099.37636173611)</f>
        <v>44099.37636</v>
      </c>
      <c r="B138" s="42" t="str">
        <f>IFERROR(__xludf.DUMMYFUNCTION("""COMPUTED_VALUE"""),"Ahmad Fatkhul Amam")</f>
        <v>Ahmad Fatkhul Amam</v>
      </c>
      <c r="C138" s="44">
        <f>IFERROR(__xludf.DUMMYFUNCTION("""COMPUTED_VALUE"""),44099.0)</f>
        <v>44099</v>
      </c>
      <c r="D138" s="42" t="str">
        <f>IFERROR(__xludf.DUMMYFUNCTION("""COMPUTED_VALUE"""),"fixing upload image with multer middleware, make environment file(.env), try to make authentication and authorization for login user")</f>
        <v>fixing upload image with multer middleware, make environment file(.env), try to make authentication and authorization for login user</v>
      </c>
      <c r="E138" s="42" t="str">
        <f>IFERROR(__xludf.DUMMYFUNCTION("""COMPUTED_VALUE"""),"make model for authentication and authorization email")</f>
        <v>make model for authentication and authorization email</v>
      </c>
      <c r="F138" s="42" t="str">
        <f>IFERROR(__xludf.DUMMYFUNCTION("""COMPUTED_VALUE"""),"continue to make authentication and authorization(especially email verification), and make other backend project(upload image for user, the page can be reach only logged in users)")</f>
        <v>continue to make authentication and authorization(especially email verification), and make other backend project(upload image for user, the page can be reach only logged in users)</v>
      </c>
    </row>
    <row r="139">
      <c r="A139" s="43">
        <f>IFERROR(__xludf.DUMMYFUNCTION("""COMPUTED_VALUE"""),44099.379943078704)</f>
        <v>44099.37994</v>
      </c>
      <c r="B139" s="42" t="str">
        <f>IFERROR(__xludf.DUMMYFUNCTION("""COMPUTED_VALUE"""),"Muhammad Abdurasyid")</f>
        <v>Muhammad Abdurasyid</v>
      </c>
      <c r="C139" s="44">
        <f>IFERROR(__xludf.DUMMYFUNCTION("""COMPUTED_VALUE"""),44099.0)</f>
        <v>44099</v>
      </c>
      <c r="D139" s="42" t="str">
        <f>IFERROR(__xludf.DUMMYFUNCTION("""COMPUTED_VALUE"""),"1. Menggunakan helper response di controller costumer, seller, item, condition, color, cart
2. Hashing password dgn bcryptjs")</f>
        <v>1. Menggunakan helper response di controller costumer, seller, item, condition, color, cart
2. Hashing password dgn bcryptjs</v>
      </c>
      <c r="E139" s="42"/>
      <c r="F139" s="42" t="str">
        <f>IFERROR(__xludf.DUMMYFUNCTION("""COMPUTED_VALUE"""),"1. Modifikasi database dgn penambahan tabel role &amp; user dan sedikit modifikasi tabel seller &amp; customer
2. Menambahkan auth utk role seller &amp; costumer")</f>
        <v>1. Modifikasi database dgn penambahan tabel role &amp; user dan sedikit modifikasi tabel seller &amp; customer
2. Menambahkan auth utk role seller &amp; costumer</v>
      </c>
    </row>
    <row r="140">
      <c r="A140" s="43">
        <f>IFERROR(__xludf.DUMMYFUNCTION("""COMPUTED_VALUE"""),44099.3861834375)</f>
        <v>44099.38618</v>
      </c>
      <c r="B140" s="42" t="str">
        <f>IFERROR(__xludf.DUMMYFUNCTION("""COMPUTED_VALUE"""),"Ahmad Asrofi")</f>
        <v>Ahmad Asrofi</v>
      </c>
      <c r="C140" s="44">
        <f>IFERROR(__xludf.DUMMYFUNCTION("""COMPUTED_VALUE"""),44099.0)</f>
        <v>44099</v>
      </c>
      <c r="D140" s="42" t="str">
        <f>IFERROR(__xludf.DUMMYFUNCTION("""COMPUTED_VALUE"""),"create route for role and user, adding package joi, jsonwebtoken and dcryptjs, validate user create, hash password using dcrypt, create table roles, users, items_colors, items_image, condition. create helper model using promise, response, both for standar"&amp;"dization. create folder for auth middleware. implementing jwt, create public route and user route for implementing CRUD")</f>
        <v>create route for role and user, adding package joi, jsonwebtoken and dcryptjs, validate user create, hash password using dcrypt, create table roles, users, items_colors, items_image, condition. create helper model using promise, response, both for standardization. create folder for auth middleware. implementing jwt, create public route and user route for implementing CRUD</v>
      </c>
      <c r="E140" s="42"/>
      <c r="F140" s="42" t="str">
        <f>IFERROR(__xludf.DUMMYFUNCTION("""COMPUTED_VALUE"""),"i will add url image to database, create another public route and user route, tidy up the codes")</f>
        <v>i will add url image to database, create another public route and user route, tidy up the codes</v>
      </c>
    </row>
    <row r="141">
      <c r="A141" s="43">
        <f>IFERROR(__xludf.DUMMYFUNCTION("""COMPUTED_VALUE"""),44099.3864478125)</f>
        <v>44099.38645</v>
      </c>
      <c r="B141" s="42" t="str">
        <f>IFERROR(__xludf.DUMMYFUNCTION("""COMPUTED_VALUE"""),"Muhamad Faris Alkodri")</f>
        <v>Muhamad Faris Alkodri</v>
      </c>
      <c r="C141" s="44">
        <f>IFERROR(__xludf.DUMMYFUNCTION("""COMPUTED_VALUE"""),44099.0)</f>
        <v>44099</v>
      </c>
      <c r="D141" s="42" t="str">
        <f>IFERROR(__xludf.DUMMYFUNCTION("""COMPUTED_VALUE"""),"I have successfully implemented the hash passwords and jwt in my user login and my user's route. I also implemented async/await to every users models to the database, also create the helpers to communicate with database so i dont write the same code every"&amp;"time i want to add new queries")</f>
        <v>I have successfully implemented the hash passwords and jwt in my user login and my user's route. I also implemented async/await to every users models to the database, also create the helpers to communicate with database so i dont write the same code everytime i want to add new queries</v>
      </c>
      <c r="E141" s="42" t="str">
        <f>IFERROR(__xludf.DUMMYFUNCTION("""COMPUTED_VALUE"""),"I had a problem that says cannot set headers after they are sent to the client, turns out it because i wrote 2 next() in my middleware i also had an error when i want to exploit the payload so i can grant access a certain user based on his roles or id")</f>
        <v>I had a problem that says cannot set headers after they are sent to the client, turns out it because i wrote 2 next() in my middleware i also had an error when i want to exploit the payload so i can grant access a certain user based on his roles or id</v>
      </c>
      <c r="F141" s="42" t="str">
        <f>IFERROR(__xludf.DUMMYFUNCTION("""COMPUTED_VALUE"""),"I want to exploit the payload by decode the token in the auth middleware, and then pass the payload to req.payload and by that the data that i have thrown on token can be use in req.payload in every peoperty of users controllers. I also want to change my "&amp;"multer to async/so i can easily handling the error")</f>
        <v>I want to exploit the payload by decode the token in the auth middleware, and then pass the payload to req.payload and by that the data that i have thrown on token can be use in req.payload in every peoperty of users controllers. I also want to change my multer to async/so i can easily handling the error</v>
      </c>
    </row>
    <row r="142">
      <c r="A142" s="43">
        <f>IFERROR(__xludf.DUMMYFUNCTION("""COMPUTED_VALUE"""),44099.3878866088)</f>
        <v>44099.38789</v>
      </c>
      <c r="B142" s="42" t="str">
        <f>IFERROR(__xludf.DUMMYFUNCTION("""COMPUTED_VALUE"""),"Rezha Maulana Jaya")</f>
        <v>Rezha Maulana Jaya</v>
      </c>
      <c r="C142" s="44">
        <f>IFERROR(__xludf.DUMMYFUNCTION("""COMPUTED_VALUE"""),44099.0)</f>
        <v>44099</v>
      </c>
      <c r="D142" s="42" t="str">
        <f>IFERROR(__xludf.DUMMYFUNCTION("""COMPUTED_VALUE"""),"mengerjakan upload foto sudah berhasil path masuk data base,dan jwt ")</f>
        <v>mengerjakan upload foto sudah berhasil path masuk data base,dan jwt </v>
      </c>
      <c r="E142" s="42" t="str">
        <f>IFERROR(__xludf.DUMMYFUNCTION("""COMPUTED_VALUE"""),"jwt dan query ")</f>
        <v>jwt dan query </v>
      </c>
      <c r="F142" s="42" t="str">
        <f>IFERROR(__xludf.DUMMYFUNCTION("""COMPUTED_VALUE"""),"beresin tugas buat hari senin")</f>
        <v>beresin tugas buat hari senin</v>
      </c>
    </row>
    <row r="143">
      <c r="A143" s="43">
        <f>IFERROR(__xludf.DUMMYFUNCTION("""COMPUTED_VALUE"""),44099.38837043982)</f>
        <v>44099.38837</v>
      </c>
      <c r="B143" s="42" t="str">
        <f>IFERROR(__xludf.DUMMYFUNCTION("""COMPUTED_VALUE"""),"Furoidah Chilmi")</f>
        <v>Furoidah Chilmi</v>
      </c>
      <c r="C143" s="44">
        <f>IFERROR(__xludf.DUMMYFUNCTION("""COMPUTED_VALUE"""),44099.0)</f>
        <v>44099</v>
      </c>
      <c r="D143" s="42" t="str">
        <f>IFERROR(__xludf.DUMMYFUNCTION("""COMPUTED_VALUE"""),"- create items with image using POST in 'items_picture' table
- update image in items using PUT. with checking items id contains pic or not
- update items using PATCH with error handling, update picture also or not.
- show all items with picture using GET"&amp;"
- show items id with picture using GET
- CRUD for table users
- auth 
- env for auth and users 
- hashing password for post and patch users")</f>
        <v>- create items with image using POST in 'items_picture' table
- update image in items using PUT. with checking items id contains pic or not
- update items using PATCH with error handling, update picture also or not.
- show all items with picture using GET
- show items id with picture using GET
- CRUD for table users
- auth 
- env for auth and users 
- hashing password for post and patch users</v>
      </c>
      <c r="E143" s="42"/>
      <c r="F143" s="42" t="str">
        <f>IFERROR(__xludf.DUMMYFUNCTION("""COMPUTED_VALUE"""),"- auth for c-u-d table items
- make routes
- env for every routes
- image for users ")</f>
        <v>- auth for c-u-d table items
- make routes
- env for every routes
- image for users </v>
      </c>
    </row>
    <row r="144">
      <c r="A144" s="43">
        <f>IFERROR(__xludf.DUMMYFUNCTION("""COMPUTED_VALUE"""),44099.39175199074)</f>
        <v>44099.39175</v>
      </c>
      <c r="B144" s="42" t="str">
        <f>IFERROR(__xludf.DUMMYFUNCTION("""COMPUTED_VALUE"""),"Muhammad")</f>
        <v>Muhammad</v>
      </c>
      <c r="C144" s="44">
        <f>IFERROR(__xludf.DUMMYFUNCTION("""COMPUTED_VALUE"""),44099.0)</f>
        <v>44099</v>
      </c>
      <c r="D144" s="42" t="str">
        <f>IFERROR(__xludf.DUMMYFUNCTION("""COMPUTED_VALUE"""),"Implementation jsonwebtoken for access shopping cart with login customer. 
Update table in database ecommerce. 
Deprecate code that needs to be cleaned up. ")</f>
        <v>Implementation jsonwebtoken for access shopping cart with login customer. 
Update table in database ecommerce. 
Deprecate code that needs to be cleaned up. </v>
      </c>
      <c r="E144" s="42" t="str">
        <f>IFERROR(__xludf.DUMMYFUNCTION("""COMPUTED_VALUE"""),"What if a public user wants to access or read data from table required token? ")</f>
        <v>What if a public user wants to access or read data from table required token? </v>
      </c>
      <c r="F144" s="42" t="str">
        <f>IFERROR(__xludf.DUMMYFUNCTION("""COMPUTED_VALUE"""),"Hash password for user signup. 
Cleaned up code")</f>
        <v>Hash password for user signup. 
Cleaned up code</v>
      </c>
    </row>
    <row r="145">
      <c r="A145" s="43">
        <f>IFERROR(__xludf.DUMMYFUNCTION("""COMPUTED_VALUE"""),44099.394255844905)</f>
        <v>44099.39426</v>
      </c>
      <c r="B145" s="42" t="str">
        <f>IFERROR(__xludf.DUMMYFUNCTION("""COMPUTED_VALUE"""),"Fahmi Aziz Ismail")</f>
        <v>Fahmi Aziz Ismail</v>
      </c>
      <c r="C145" s="44">
        <f>IFERROR(__xludf.DUMMYFUNCTION("""COMPUTED_VALUE"""),44099.0)</f>
        <v>44099</v>
      </c>
      <c r="D145" s="42" t="str">
        <f>IFERROR(__xludf.DUMMYFUNCTION("""COMPUTED_VALUE"""),"membuat authorization dengan jwt, implementasi hashed password saat create user")</f>
        <v>membuat authorization dengan jwt, implementasi hashed password saat create user</v>
      </c>
      <c r="E145" s="42" t="str">
        <f>IFERROR(__xludf.DUMMYFUNCTION("""COMPUTED_VALUE"""),"handling error authorization blum berjalan (jika password atau email salah belum terhandling)")</f>
        <v>handling error authorization blum berjalan (jika password atau email salah belum terhandling)</v>
      </c>
      <c r="F145" s="42" t="str">
        <f>IFERROR(__xludf.DUMMYFUNCTION("""COMPUTED_VALUE"""),"mengoptimalkan fungsi multer, authorization, dan hashed password. Membuat rute-rute untuk halaman yang lain ")</f>
        <v>mengoptimalkan fungsi multer, authorization, dan hashed password. Membuat rute-rute untuk halaman yang lain </v>
      </c>
    </row>
    <row r="146">
      <c r="A146" s="43">
        <f>IFERROR(__xludf.DUMMYFUNCTION("""COMPUTED_VALUE"""),44099.39701479167)</f>
        <v>44099.39701</v>
      </c>
      <c r="B146" s="42" t="str">
        <f>IFERROR(__xludf.DUMMYFUNCTION("""COMPUTED_VALUE"""),"Iqbal Athorid")</f>
        <v>Iqbal Athorid</v>
      </c>
      <c r="C146" s="44">
        <f>IFERROR(__xludf.DUMMYFUNCTION("""COMPUTED_VALUE"""),44099.0)</f>
        <v>44099</v>
      </c>
      <c r="D146" s="42" t="str">
        <f>IFERROR(__xludf.DUMMYFUNCTION("""COMPUTED_VALUE"""),"created authentication and authorization using jwt,created public route newItems, fixed login flow, fixed query on searchItems,changed query on login and register using Promise,")</f>
        <v>created authentication and authorization using jwt,created public route newItems, fixed login flow, fixed query on searchItems,changed query on login and register using Promise,</v>
      </c>
      <c r="E146" s="42" t="str">
        <f>IFERROR(__xludf.DUMMYFUNCTION("""COMPUTED_VALUE"""),"still confused about prepare statement")</f>
        <v>still confused about prepare statement</v>
      </c>
      <c r="F146" s="42" t="str">
        <f>IFERROR(__xludf.DUMMYFUNCTION("""COMPUTED_VALUE"""),"create new tabel on database, create another public routes, add image upload 
features in another endpoint, added new table on database to program")</f>
        <v>create new tabel on database, create another public routes, add image upload 
features in another endpoint, added new table on database to program</v>
      </c>
    </row>
    <row r="147">
      <c r="A147" s="43">
        <f>IFERROR(__xludf.DUMMYFUNCTION("""COMPUTED_VALUE"""),44099.39778613426)</f>
        <v>44099.39779</v>
      </c>
      <c r="B147" s="42" t="str">
        <f>IFERROR(__xludf.DUMMYFUNCTION("""COMPUTED_VALUE"""),"Wahyu Ramadhan")</f>
        <v>Wahyu Ramadhan</v>
      </c>
      <c r="C147" s="44">
        <f>IFERROR(__xludf.DUMMYFUNCTION("""COMPUTED_VALUE"""),36597.0)</f>
        <v>36597</v>
      </c>
      <c r="D147" s="42" t="str">
        <f>IFERROR(__xludf.DUMMYFUNCTION("""COMPUTED_VALUE"""),"create login register with hash, and create jwt")</f>
        <v>create login register with hash, and create jwt</v>
      </c>
      <c r="E147" s="42" t="str">
        <f>IFERROR(__xludf.DUMMYFUNCTION("""COMPUTED_VALUE"""),"confused with jwt, but I understand a little about the plot. And confused how to create helper")</f>
        <v>confused with jwt, but I understand a little about the plot. And confused how to create helper</v>
      </c>
      <c r="F147" s="42" t="str">
        <f>IFERROR(__xludf.DUMMYFUNCTION("""COMPUTED_VALUE"""),"wanna create pagination, search and sort. And learn to create helpers in my code so that writing is not repeated")</f>
        <v>wanna create pagination, search and sort. And learn to create helpers in my code so that writing is not repeated</v>
      </c>
    </row>
    <row r="148">
      <c r="A148" s="43">
        <f>IFERROR(__xludf.DUMMYFUNCTION("""COMPUTED_VALUE"""),44099.481352546296)</f>
        <v>44099.48135</v>
      </c>
      <c r="B148" s="42" t="str">
        <f>IFERROR(__xludf.DUMMYFUNCTION("""COMPUTED_VALUE"""),"Satrio Nugroho")</f>
        <v>Satrio Nugroho</v>
      </c>
      <c r="C148" s="44">
        <f>IFERROR(__xludf.DUMMYFUNCTION("""COMPUTED_VALUE"""),44099.0)</f>
        <v>44099</v>
      </c>
      <c r="D148" s="42" t="str">
        <f>IFERROR(__xludf.DUMMYFUNCTION("""COMPUTED_VALUE"""),"kemaren saya mengerjakan untuk autentkasi dan memcahkan bagian bagian dari response")</f>
        <v>kemaren saya mengerjakan untuk autentkasi dan memcahkan bagian bagian dari response</v>
      </c>
      <c r="E148" s="42" t="str">
        <f>IFERROR(__xludf.DUMMYFUNCTION("""COMPUTED_VALUE"""),"agak kesulitan peng implementasian ")</f>
        <v>agak kesulitan peng implementasian </v>
      </c>
      <c r="F148" s="42" t="str">
        <f>IFERROR(__xludf.DUMMYFUNCTION("""COMPUTED_VALUE"""),"hari inin saya akan melanjutkan dan menyelsaikan tugasnya untuk hari ini")</f>
        <v>hari inin saya akan melanjutkan dan menyelsaikan tugasnya untuk hari ini</v>
      </c>
    </row>
    <row r="149">
      <c r="A149" s="43">
        <f>IFERROR(__xludf.DUMMYFUNCTION("""COMPUTED_VALUE"""),44099.50491373843)</f>
        <v>44099.50491</v>
      </c>
      <c r="B149" s="42" t="str">
        <f>IFERROR(__xludf.DUMMYFUNCTION("""COMPUTED_VALUE"""),"Timotius Simanjuntak")</f>
        <v>Timotius Simanjuntak</v>
      </c>
      <c r="C149" s="44">
        <f>IFERROR(__xludf.DUMMYFUNCTION("""COMPUTED_VALUE"""),44099.0)</f>
        <v>44099</v>
      </c>
      <c r="D149" s="42" t="str">
        <f>IFERROR(__xludf.DUMMYFUNCTION("""COMPUTED_VALUE"""),"creating validation for user login using bcrypt to encrypt password and then comparing when login, and use jsonwebtoken")</f>
        <v>creating validation for user login using bcrypt to encrypt password and then comparing when login, and use jsonwebtoken</v>
      </c>
      <c r="E149" s="42"/>
      <c r="F149" s="42" t="str">
        <f>IFERROR(__xludf.DUMMYFUNCTION("""COMPUTED_VALUE"""),"creating joi schema")</f>
        <v>creating joi schema</v>
      </c>
    </row>
    <row r="150">
      <c r="A150" s="43">
        <f>IFERROR(__xludf.DUMMYFUNCTION("""COMPUTED_VALUE"""),44100.41160612268)</f>
        <v>44100.41161</v>
      </c>
      <c r="B150" s="42" t="str">
        <f>IFERROR(__xludf.DUMMYFUNCTION("""COMPUTED_VALUE"""),"Pramesti Regita Cahyani")</f>
        <v>Pramesti Regita Cahyani</v>
      </c>
      <c r="C150" s="44">
        <f>IFERROR(__xludf.DUMMYFUNCTION("""COMPUTED_VALUE"""),44100.0)</f>
        <v>44100</v>
      </c>
      <c r="D150" s="42" t="str">
        <f>IFERROR(__xludf.DUMMYFUNCTION("""COMPUTED_VALUE"""),"Membuat path untuk login dan register")</f>
        <v>Membuat path untuk login dan register</v>
      </c>
      <c r="E150" s="42" t="str">
        <f>IFERROR(__xludf.DUMMYFUNCTION("""COMPUTED_VALUE"""),"kadang lama dalam error handling")</f>
        <v>kadang lama dalam error handling</v>
      </c>
      <c r="F150" s="42" t="str">
        <f>IFERROR(__xludf.DUMMYFUNCTION("""COMPUTED_VALUE"""),"membuat path home, dan CRUD untuk items")</f>
        <v>membuat path home, dan CRUD untuk items</v>
      </c>
    </row>
    <row r="151">
      <c r="A151" s="43">
        <f>IFERROR(__xludf.DUMMYFUNCTION("""COMPUTED_VALUE"""),44100.45389385417)</f>
        <v>44100.45389</v>
      </c>
      <c r="B151" s="42" t="str">
        <f>IFERROR(__xludf.DUMMYFUNCTION("""COMPUTED_VALUE"""),"Muhamad Faris Alkodri")</f>
        <v>Muhamad Faris Alkodri</v>
      </c>
      <c r="C151" s="44">
        <f>IFERROR(__xludf.DUMMYFUNCTION("""COMPUTED_VALUE"""),44100.0)</f>
        <v>44100</v>
      </c>
      <c r="D151" s="42" t="str">
        <f>IFERROR(__xludf.DUMMYFUNCTION("""COMPUTED_VALUE"""),"I've been adding some features to allow super admin to be able changing, delete, and view all the users. I also going to implement auth process in the item and categories. I also going to learn about firebase from google to implement it in my project")</f>
        <v>I've been adding some features to allow super admin to be able changing, delete, and view all the users. I also going to implement auth process in the item and categories. I also going to learn about firebase from google to implement it in my project</v>
      </c>
      <c r="E151" s="42" t="str">
        <f>IFERROR(__xludf.DUMMYFUNCTION("""COMPUTED_VALUE"""),"I dont have any problem yet, but some question popped up in my head. For the patch method should I delete the blank form just in the front end or also in back end?")</f>
        <v>I dont have any problem yet, but some question popped up in my head. For the patch method should I delete the blank form just in the front end or also in back end?</v>
      </c>
      <c r="F151" s="42" t="str">
        <f>IFERROR(__xludf.DUMMYFUNCTION("""COMPUTED_VALUE"""),"I want to change the items models to be async functions, and also change the controllers, I also want to change the cart, and category too. After that I want to add models and controllers for the adding the images and item_stock")</f>
        <v>I want to change the items models to be async functions, and also change the controllers, I also want to change the cart, and category too. After that I want to add models and controllers for the adding the images and item_stock</v>
      </c>
    </row>
    <row r="152">
      <c r="A152" s="43">
        <f>IFERROR(__xludf.DUMMYFUNCTION("""COMPUTED_VALUE"""),44101.399533206015)</f>
        <v>44101.39953</v>
      </c>
      <c r="B152" s="42" t="str">
        <f>IFERROR(__xludf.DUMMYFUNCTION("""COMPUTED_VALUE"""),"Fahmi Aziz Ismail")</f>
        <v>Fahmi Aziz Ismail</v>
      </c>
      <c r="C152" s="44">
        <f>IFERROR(__xludf.DUMMYFUNCTION("""COMPUTED_VALUE"""),44101.0)</f>
        <v>44101</v>
      </c>
      <c r="D152" s="42" t="str">
        <f>IFERROR(__xludf.DUMMYFUNCTION("""COMPUTED_VALUE"""),"membuat rute home, merelasikan tabel")</f>
        <v>membuat rute home, merelasikan tabel</v>
      </c>
      <c r="E152" s="42" t="str">
        <f>IFERROR(__xludf.DUMMYFUNCTION("""COMPUTED_VALUE"""),"melimit ukuran file yang akan diupload ,  memfilter file yang akan diupload")</f>
        <v>melimit ukuran file yang akan diupload ,  memfilter file yang akan diupload</v>
      </c>
      <c r="F152" s="42" t="str">
        <f>IFERROR(__xludf.DUMMYFUNCTION("""COMPUTED_VALUE"""),"membuat rute register dan login")</f>
        <v>membuat rute register dan login</v>
      </c>
    </row>
    <row r="153">
      <c r="A153" s="43">
        <f>IFERROR(__xludf.DUMMYFUNCTION("""COMPUTED_VALUE"""),44101.41483886574)</f>
        <v>44101.41484</v>
      </c>
      <c r="B153" s="42" t="str">
        <f>IFERROR(__xludf.DUMMYFUNCTION("""COMPUTED_VALUE"""),"Muhamad Faris Alkodri")</f>
        <v>Muhamad Faris Alkodri</v>
      </c>
      <c r="C153" s="44">
        <f>IFERROR(__xludf.DUMMYFUNCTION("""COMPUTED_VALUE"""),44101.0)</f>
        <v>44101</v>
      </c>
      <c r="D153" s="42" t="str">
        <f>IFERROR(__xludf.DUMMYFUNCTION("""COMPUTED_VALUE"""),"I have found a way to handle error in multer and deleting the files that already uploaded by multer, I also have been adding a features to can make super admin be able to doing CRUD on all of users")</f>
        <v>I have found a way to handle error in multer and deleting the files that already uploaded by multer, I also have been adding a features to can make super admin be able to doing CRUD on all of users</v>
      </c>
      <c r="E153" s="42" t="str">
        <f>IFERROR(__xludf.DUMMYFUNCTION("""COMPUTED_VALUE"""),"I cant find the simple way to make an update or update log for edit to separate the change that super admin created and the user's been created")</f>
        <v>I cant find the simple way to make an update or update log for edit to separate the change that super admin created and the user's been created</v>
      </c>
      <c r="F153" s="42" t="str">
        <f>IFERROR(__xludf.DUMMYFUNCTION("""COMPUTED_VALUE"""),"I want to separate the user and admin log-in routes. In admin login (either it super admin or regular admin) I would like to add a form/something that admin can fill/choose which user that he want to make and apply the change that he made. So there are no"&amp;" conflict especially in image uploading and items created")</f>
        <v>I want to separate the user and admin log-in routes. In admin login (either it super admin or regular admin) I would like to add a form/something that admin can fill/choose which user that he want to make and apply the change that he made. So there are no conflict especially in image uploading and items created</v>
      </c>
    </row>
    <row r="154">
      <c r="A154" s="43">
        <f>IFERROR(__xludf.DUMMYFUNCTION("""COMPUTED_VALUE"""),44102.37919385417)</f>
        <v>44102.37919</v>
      </c>
      <c r="B154" s="42" t="str">
        <f>IFERROR(__xludf.DUMMYFUNCTION("""COMPUTED_VALUE"""),"Satrio Nugroho")</f>
        <v>Satrio Nugroho</v>
      </c>
      <c r="C154" s="44">
        <f>IFERROR(__xludf.DUMMYFUNCTION("""COMPUTED_VALUE"""),44102.0)</f>
        <v>44102</v>
      </c>
      <c r="D154" s="42" t="str">
        <f>IFERROR(__xludf.DUMMYFUNCTION("""COMPUTED_VALUE"""),"kemaren saya telah mengerjakan project saya dengan semaksimal mungkin dan melakukan perbaikan yang masih kurang")</f>
        <v>kemaren saya telah mengerjakan project saya dengan semaksimal mungkin dan melakukan perbaikan yang masih kurang</v>
      </c>
      <c r="E154" s="42" t="str">
        <f>IFERROR(__xludf.DUMMYFUNCTION("""COMPUTED_VALUE"""),"masih belum solved di authentikasi .. route publik , ")</f>
        <v>masih belum solved di authentikasi .. route publik , </v>
      </c>
      <c r="F154" s="42" t="str">
        <f>IFERROR(__xludf.DUMMYFUNCTION("""COMPUTED_VALUE"""),"hari ini saya akan presentasi hasil tugas saya")</f>
        <v>hari ini saya akan presentasi hasil tugas saya</v>
      </c>
    </row>
    <row r="155">
      <c r="A155" s="43">
        <f>IFERROR(__xludf.DUMMYFUNCTION("""COMPUTED_VALUE"""),44102.38744016204)</f>
        <v>44102.38744</v>
      </c>
      <c r="B155" s="42" t="str">
        <f>IFERROR(__xludf.DUMMYFUNCTION("""COMPUTED_VALUE"""),"Ahmad Fatkhul Amam")</f>
        <v>Ahmad Fatkhul Amam</v>
      </c>
      <c r="C155" s="44">
        <f>IFERROR(__xludf.DUMMYFUNCTION("""COMPUTED_VALUE"""),44102.0)</f>
        <v>44102</v>
      </c>
      <c r="D155" s="42" t="str">
        <f>IFERROR(__xludf.DUMMYFUNCTION("""COMPUTED_VALUE"""),"fixing authentification an athorization for admin, seller, and custommer, and give them to acces some page")</f>
        <v>fixing authentification an athorization for admin, seller, and custommer, and give them to acces some page</v>
      </c>
      <c r="E155" s="42" t="str">
        <f>IFERROR(__xludf.DUMMYFUNCTION("""COMPUTED_VALUE"""),"flow of pages that can be accessed by admin, seller and usser still messy")</f>
        <v>flow of pages that can be accessed by admin, seller and usser still messy</v>
      </c>
      <c r="F155" s="42" t="str">
        <f>IFERROR(__xludf.DUMMYFUNCTION("""COMPUTED_VALUE"""),"make good flow to user accessed page, make upload for some product image")</f>
        <v>make good flow to user accessed page, make upload for some product image</v>
      </c>
    </row>
    <row r="156">
      <c r="A156" s="43">
        <f>IFERROR(__xludf.DUMMYFUNCTION("""COMPUTED_VALUE"""),44102.38883899305)</f>
        <v>44102.38884</v>
      </c>
      <c r="B156" s="42" t="str">
        <f>IFERROR(__xludf.DUMMYFUNCTION("""COMPUTED_VALUE"""),"Pramesti Regita Cahyani")</f>
        <v>Pramesti Regita Cahyani</v>
      </c>
      <c r="C156" s="44">
        <f>IFERROR(__xludf.DUMMYFUNCTION("""COMPUTED_VALUE"""),44102.0)</f>
        <v>44102</v>
      </c>
      <c r="D156" s="42" t="str">
        <f>IFERROR(__xludf.DUMMYFUNCTION("""COMPUTED_VALUE"""),"Membuat path untuk uplad image, otentifikasi dan otorisasi, hash password, dan paginasi")</f>
        <v>Membuat path untuk uplad image, otentifikasi dan otorisasi, hash password, dan paginasi</v>
      </c>
      <c r="E156" s="42" t="str">
        <f>IFERROR(__xludf.DUMMYFUNCTION("""COMPUTED_VALUE"""),"upload image untuk product masih bingung di alurnya")</f>
        <v>upload image untuk product masih bingung di alurnya</v>
      </c>
      <c r="F156" s="42" t="str">
        <f>IFERROR(__xludf.DUMMYFUNCTION("""COMPUTED_VALUE"""),"mempresentasikan project minggu 6")</f>
        <v>mempresentasikan project minggu 6</v>
      </c>
    </row>
    <row r="157">
      <c r="A157" s="43">
        <f>IFERROR(__xludf.DUMMYFUNCTION("""COMPUTED_VALUE"""),44102.38965513889)</f>
        <v>44102.38966</v>
      </c>
      <c r="B157" s="42" t="str">
        <f>IFERROR(__xludf.DUMMYFUNCTION("""COMPUTED_VALUE"""),"Muhamad Faris Alkodri")</f>
        <v>Muhamad Faris Alkodri</v>
      </c>
      <c r="C157" s="44">
        <f>IFERROR(__xludf.DUMMYFUNCTION("""COMPUTED_VALUE"""),44102.0)</f>
        <v>44102</v>
      </c>
      <c r="D157" s="42" t="str">
        <f>IFERROR(__xludf.DUMMYFUNCTION("""COMPUTED_VALUE"""),"I have perfecting my backend, i mm not able to use firebase from google, so i just insert users detail table that contain personal information like avatar, bio and etc. I also debugging some issues when we want to patch the image old image still exist in "&amp;"the server")</f>
        <v>I have perfecting my backend, i mm not able to use firebase from google, so i just insert users detail table that contain personal information like avatar, bio and etc. I also debugging some issues when we want to patch the image old image still exist in the server</v>
      </c>
      <c r="E157" s="42" t="str">
        <f>IFERROR(__xludf.DUMMYFUNCTION("""COMPUTED_VALUE"""),"I have a problem when i going to write code about mycart and categories, because lack of time, i also pretty confuse because it way more different than my old backend, so i just finished the CRUD for users table, users detail, items, item details, and ite"&amp;"m images")</f>
        <v>I have a problem when i going to write code about mycart and categories, because lack of time, i also pretty confuse because it way more different than my old backend, so i just finished the CRUD for users table, users detail, items, item details, and item images</v>
      </c>
      <c r="F157" s="42" t="str">
        <f>IFERROR(__xludf.DUMMYFUNCTION("""COMPUTED_VALUE"""),"I want to working on mycarts and categories table after i am finishing my presentation. I felt overwhelmed because there were bugs everywhere ehen i add multer but finally i can handle it")</f>
        <v>I want to working on mycarts and categories table after i am finishing my presentation. I felt overwhelmed because there were bugs everywhere ehen i add multer but finally i can handle it</v>
      </c>
    </row>
    <row r="158">
      <c r="A158" s="43">
        <f>IFERROR(__xludf.DUMMYFUNCTION("""COMPUTED_VALUE"""),44102.39499814815)</f>
        <v>44102.395</v>
      </c>
      <c r="B158" s="42" t="str">
        <f>IFERROR(__xludf.DUMMYFUNCTION("""COMPUTED_VALUE"""),"Iqbal Athorid")</f>
        <v>Iqbal Athorid</v>
      </c>
      <c r="C158" s="44">
        <f>IFERROR(__xludf.DUMMYFUNCTION("""COMPUTED_VALUE"""),44102.0)</f>
        <v>44102</v>
      </c>
      <c r="D158" s="42" t="str">
        <f>IFERROR(__xludf.DUMMYFUNCTION("""COMPUTED_VALUE"""),"created database role,product_color,product_image,condition, changed auth,category,cart,product,public,items system, created color,condition,role endpoints")</f>
        <v>created database role,product_color,product_image,condition, changed auth,category,cart,product,public,items system, created color,condition,role endpoints</v>
      </c>
      <c r="E158" s="42" t="str">
        <f>IFERROR(__xludf.DUMMYFUNCTION("""COMPUTED_VALUE"""),"when used prepare statement on OrderBy,Can't editImages, edit colors, ")</f>
        <v>when used prepare statement on OrderBy,Can't editImages, edit colors, </v>
      </c>
      <c r="F158" s="42" t="str">
        <f>IFERROR(__xludf.DUMMYFUNCTION("""COMPUTED_VALUE"""),"presentation")</f>
        <v>presentation</v>
      </c>
    </row>
    <row r="159">
      <c r="A159" s="43">
        <f>IFERROR(__xludf.DUMMYFUNCTION("""COMPUTED_VALUE"""),44102.3976012037)</f>
        <v>44102.3976</v>
      </c>
      <c r="B159" s="42" t="str">
        <f>IFERROR(__xludf.DUMMYFUNCTION("""COMPUTED_VALUE"""),"Muhammad Abdurasyid")</f>
        <v>Muhammad Abdurasyid</v>
      </c>
      <c r="C159" s="44">
        <f>IFERROR(__xludf.DUMMYFUNCTION("""COMPUTED_VALUE"""),44102.0)</f>
        <v>44102</v>
      </c>
      <c r="D159" s="42" t="str">
        <f>IFERROR(__xludf.DUMMYFUNCTION("""COMPUTED_VALUE"""),"- Menambahkan auth utk proses login dengan menggunakan JWT
- Menambahkan hashing password ketika register seller &amp; customer dan ketika update password dari seller atau customer
- Menambahkan proses upload image ketika menambahkan kategori baru
- Menambahk"&amp;"an endpoint utk tabel item_images, GET '/item_image/{id}' utk melihat gambar produk, POST '/item_image' utk menambahkan gambar baru, PUT '/item_image/{id}' utk update gambar, dan DELETE '/item_image/{id}' utk menghapus gambar 
- Membuat route baru yg bers"&amp;"ifat public utk proses registrasi dan melihat produk &amp; detail produk")</f>
        <v>- Menambahkan auth utk proses login dengan menggunakan JWT
- Menambahkan hashing password ketika register seller &amp; customer dan ketika update password dari seller atau customer
- Menambahkan proses upload image ketika menambahkan kategori baru
- Menambahkan endpoint utk tabel item_images, GET '/item_image/{id}' utk melihat gambar produk, POST '/item_image' utk menambahkan gambar baru, PUT '/item_image/{id}' utk update gambar, dan DELETE '/item_image/{id}' utk menghapus gambar 
- Membuat route baru yg bersifat public utk proses registrasi dan melihat produk &amp; detail produk</v>
      </c>
      <c r="E159" s="42"/>
      <c r="F159" s="42" t="str">
        <f>IFERROR(__xludf.DUMMYFUNCTION("""COMPUTED_VALUE"""),"- menambahkan code utk menghapus gambar ketika user melakukan hapus kategori &amp; item atau ketika update gambar")</f>
        <v>- menambahkan code utk menghapus gambar ketika user melakukan hapus kategori &amp; item atau ketika update gambar</v>
      </c>
    </row>
    <row r="160">
      <c r="A160" s="43">
        <f>IFERROR(__xludf.DUMMYFUNCTION("""COMPUTED_VALUE"""),44102.401235439815)</f>
        <v>44102.40124</v>
      </c>
      <c r="B160" s="42" t="str">
        <f>IFERROR(__xludf.DUMMYFUNCTION("""COMPUTED_VALUE"""),"Fahmi Aziz Ismail")</f>
        <v>Fahmi Aziz Ismail</v>
      </c>
      <c r="C160" s="44">
        <f>IFERROR(__xludf.DUMMYFUNCTION("""COMPUTED_VALUE"""),44102.0)</f>
        <v>44102</v>
      </c>
      <c r="D160" s="42" t="str">
        <f>IFERROR(__xludf.DUMMYFUNCTION("""COMPUTED_VALUE"""),"membuat rute login dan register")</f>
        <v>membuat rute login dan register</v>
      </c>
      <c r="E160" s="42" t="str">
        <f>IFERROR(__xludf.DUMMYFUNCTION("""COMPUTED_VALUE"""),"env tidak berjalan")</f>
        <v>env tidak berjalan</v>
      </c>
      <c r="F160" s="42" t="str">
        <f>IFERROR(__xludf.DUMMYFUNCTION("""COMPUTED_VALUE"""),"membuat aturan multer, error handling authorization")</f>
        <v>membuat aturan multer, error handling authorization</v>
      </c>
    </row>
    <row r="161">
      <c r="A161" s="43">
        <f>IFERROR(__xludf.DUMMYFUNCTION("""COMPUTED_VALUE"""),44103.392221585644)</f>
        <v>44103.39222</v>
      </c>
      <c r="B161" s="42" t="str">
        <f>IFERROR(__xludf.DUMMYFUNCTION("""COMPUTED_VALUE"""),"Muhamad Faris Alkodri")</f>
        <v>Muhamad Faris Alkodri</v>
      </c>
      <c r="C161" s="44">
        <f>IFERROR(__xludf.DUMMYFUNCTION("""COMPUTED_VALUE"""),44103.0)</f>
        <v>44103</v>
      </c>
      <c r="D161" s="42" t="str">
        <f>IFERROR(__xludf.DUMMYFUNCTION("""COMPUTED_VALUE"""),"I have renew mycart and categories tables the categories table is joined with subcategory table, mycart is joined with item details table which also joined with items table")</f>
        <v>I have renew mycart and categories tables the categories table is joined with subcategory table, mycart is joined with item details table which also joined with items table</v>
      </c>
      <c r="E161" s="42" t="str">
        <f>IFERROR(__xludf.DUMMYFUNCTION("""COMPUTED_VALUE"""),"I have a problem in understanding pivoting table to make pictures with same item_id being a single row and being a new table which has column items_id, picture_1, picture_2 and etc ")</f>
        <v>I have a problem in understanding pivoting table to make pictures with same item_id being a single row and being a new table which has column items_id, picture_1, picture_2 and etc </v>
      </c>
      <c r="F161" s="42" t="str">
        <f>IFERROR(__xludf.DUMMYFUNCTION("""COMPUTED_VALUE"""),"I want to try pivoting table again with every methods that Kang Irul has send to group")</f>
        <v>I want to try pivoting table again with every methods that Kang Irul has send to group</v>
      </c>
    </row>
    <row r="162">
      <c r="A162" s="43">
        <f>IFERROR(__xludf.DUMMYFUNCTION("""COMPUTED_VALUE"""),44103.393104999996)</f>
        <v>44103.39311</v>
      </c>
      <c r="B162" s="42" t="str">
        <f>IFERROR(__xludf.DUMMYFUNCTION("""COMPUTED_VALUE"""),"Muhammad Abdurasyid")</f>
        <v>Muhammad Abdurasyid</v>
      </c>
      <c r="C162" s="44">
        <f>IFERROR(__xludf.DUMMYFUNCTION("""COMPUTED_VALUE"""),44103.0)</f>
        <v>44103</v>
      </c>
      <c r="D162" s="42" t="str">
        <f>IFERROR(__xludf.DUMMYFUNCTION("""COMPUTED_VALUE"""),"1. Mencoba utk membuat grouping query atau pivot tabel untuk menampilkan gambar-gambar produk ke dalam sebuah kolom dan sudah bisa/berhasil query-nya dengan menggunakan group_concat
2. Menambahkan logic/code dgn menggunakan fs unlink utk menghapus gambar "&amp;"sebelumnya dari server ketika user sukses menghapus sebuah gambar produk")</f>
        <v>1. Mencoba utk membuat grouping query atau pivot tabel untuk menampilkan gambar-gambar produk ke dalam sebuah kolom dan sudah bisa/berhasil query-nya dengan menggunakan group_concat
2. Menambahkan logic/code dgn menggunakan fs unlink utk menghapus gambar sebelumnya dari server ketika user sukses menghapus sebuah gambar produk</v>
      </c>
      <c r="E162" s="42"/>
      <c r="F162" s="42" t="str">
        <f>IFERROR(__xludf.DUMMYFUNCTION("""COMPUTED_VALUE"""),"- Menambahkan code fs unlink utk menghapus gambar dari server ketika update gambar produk, dan di bagian proses update atau hapus gambar lainnya seperti di endpoint category
- Mencoba utk membuat endpoint produk review")</f>
        <v>- Menambahkan code fs unlink utk menghapus gambar dari server ketika update gambar produk, dan di bagian proses update atau hapus gambar lainnya seperti di endpoint category
- Mencoba utk membuat endpoint produk review</v>
      </c>
    </row>
    <row r="163">
      <c r="A163" s="43">
        <f>IFERROR(__xludf.DUMMYFUNCTION("""COMPUTED_VALUE"""),44104.370441990744)</f>
        <v>44104.37044</v>
      </c>
      <c r="B163" s="42" t="str">
        <f>IFERROR(__xludf.DUMMYFUNCTION("""COMPUTED_VALUE"""),"Pramesti Regita Cahyani")</f>
        <v>Pramesti Regita Cahyani</v>
      </c>
      <c r="C163" s="44">
        <f>IFERROR(__xludf.DUMMYFUNCTION("""COMPUTED_VALUE"""),44104.0)</f>
        <v>44104</v>
      </c>
      <c r="D163" s="42" t="str">
        <f>IFERROR(__xludf.DUMMYFUNCTION("""COMPUTED_VALUE"""),"Membuat CRUD untuk profile customer dan seller")</f>
        <v>Membuat CRUD untuk profile customer dan seller</v>
      </c>
      <c r="E163" s="42" t="str">
        <f>IFERROR(__xludf.DUMMYFUNCTION("""COMPUTED_VALUE"""),"belum ada kesulitan")</f>
        <v>belum ada kesulitan</v>
      </c>
      <c r="F163" s="42" t="str">
        <f>IFERROR(__xludf.DUMMYFUNCTION("""COMPUTED_VALUE"""),"melanjutkan ke CRUD my product untuk seller")</f>
        <v>melanjutkan ke CRUD my product untuk seller</v>
      </c>
    </row>
    <row r="164">
      <c r="A164" s="43">
        <f>IFERROR(__xludf.DUMMYFUNCTION("""COMPUTED_VALUE"""),44104.374036712965)</f>
        <v>44104.37404</v>
      </c>
      <c r="B164" s="42" t="str">
        <f>IFERROR(__xludf.DUMMYFUNCTION("""COMPUTED_VALUE"""),"Satrio Nugroho")</f>
        <v>Satrio Nugroho</v>
      </c>
      <c r="C164" s="44">
        <f>IFERROR(__xludf.DUMMYFUNCTION("""COMPUTED_VALUE"""),44104.0)</f>
        <v>44104</v>
      </c>
      <c r="D164" s="42" t="str">
        <f>IFERROR(__xludf.DUMMYFUNCTION("""COMPUTED_VALUE"""),"kemaren saya mengerjakan project unutk menambahkan tabel profile dan membuat fungsional crud juga")</f>
        <v>kemaren saya mengerjakan project unutk menambahkan tabel profile dan membuat fungsional crud juga</v>
      </c>
      <c r="E164" s="42" t="str">
        <f>IFERROR(__xludf.DUMMYFUNCTION("""COMPUTED_VALUE"""),"untuk metode get , post , put , delete sudah bisa... namun untuk melakukan patch update partial masih belum bisa.. sama untuk penggunaan schema joi saya belum paham jadi masih menggunakan logic yang biasa ")</f>
        <v>untuk metode get , post , put , delete sudah bisa... namun untuk melakukan patch update partial masih belum bisa.. sama untuk penggunaan schema joi saya belum paham jadi masih menggunakan logic yang biasa </v>
      </c>
      <c r="F164" s="42" t="str">
        <f>IFERROR(__xludf.DUMMYFUNCTION("""COMPUTED_VALUE"""),"hari ini agendanya pembahasan tentang mealnjutkan backend ")</f>
        <v>hari ini agendanya pembahasan tentang mealnjutkan backend </v>
      </c>
    </row>
    <row r="165">
      <c r="A165" s="43">
        <f>IFERROR(__xludf.DUMMYFUNCTION("""COMPUTED_VALUE"""),44104.37548998842)</f>
        <v>44104.37549</v>
      </c>
      <c r="B165" s="42" t="str">
        <f>IFERROR(__xludf.DUMMYFUNCTION("""COMPUTED_VALUE"""),"Ahmad Fatkhul Amam")</f>
        <v>Ahmad Fatkhul Amam</v>
      </c>
      <c r="C165" s="44">
        <f>IFERROR(__xludf.DUMMYFUNCTION("""COMPUTED_VALUE"""),44104.0)</f>
        <v>44104</v>
      </c>
      <c r="D165" s="42" t="str">
        <f>IFERROR(__xludf.DUMMYFUNCTION("""COMPUTED_VALUE"""),"Make crud for profil, registration and validation user, try to make controller with async await")</f>
        <v>Make crud for profil, registration and validation user, try to make controller with async await</v>
      </c>
      <c r="E165" s="42" t="str">
        <f>IFERROR(__xludf.DUMMYFUNCTION("""COMPUTED_VALUE"""),"Update profile partially, program structur with async await")</f>
        <v>Update profile partially, program structur with async await</v>
      </c>
      <c r="F165" s="42" t="str">
        <f>IFERROR(__xludf.DUMMYFUNCTION("""COMPUTED_VALUE"""),"Fixing update profile feature and add the crud for shipping address")</f>
        <v>Fixing update profile feature and add the crud for shipping address</v>
      </c>
    </row>
    <row r="166">
      <c r="A166" s="43">
        <f>IFERROR(__xludf.DUMMYFUNCTION("""COMPUTED_VALUE"""),44104.38333344908)</f>
        <v>44104.38333</v>
      </c>
      <c r="B166" s="42" t="str">
        <f>IFERROR(__xludf.DUMMYFUNCTION("""COMPUTED_VALUE"""),"Fahmi Aziz Ismail")</f>
        <v>Fahmi Aziz Ismail</v>
      </c>
      <c r="C166" s="44">
        <f>IFERROR(__xludf.DUMMYFUNCTION("""COMPUTED_VALUE"""),44104.0)</f>
        <v>44104</v>
      </c>
      <c r="D166" s="42" t="str">
        <f>IFERROR(__xludf.DUMMYFUNCTION("""COMPUTED_VALUE"""),"membuat fungsi login dengan bcrypt, membuat fungsi register,  menambahkan rute profile")</f>
        <v>membuat fungsi login dengan bcrypt, membuat fungsi register,  menambahkan rute profile</v>
      </c>
      <c r="E166" s="42" t="str">
        <f>IFERROR(__xludf.DUMMYFUNCTION("""COMPUTED_VALUE"""),"fungsi update belum berjalan")</f>
        <v>fungsi update belum berjalan</v>
      </c>
      <c r="F166" s="42" t="str">
        <f>IFERROR(__xludf.DUMMYFUNCTION("""COMPUTED_VALUE"""),"memperbaiki fungsi update")</f>
        <v>memperbaiki fungsi update</v>
      </c>
    </row>
    <row r="167">
      <c r="A167" s="43">
        <f>IFERROR(__xludf.DUMMYFUNCTION("""COMPUTED_VALUE"""),44104.38643082176)</f>
        <v>44104.38643</v>
      </c>
      <c r="B167" s="42" t="str">
        <f>IFERROR(__xludf.DUMMYFUNCTION("""COMPUTED_VALUE"""),"Muhammad Abdurasyid")</f>
        <v>Muhammad Abdurasyid</v>
      </c>
      <c r="C167" s="44">
        <f>IFERROR(__xludf.DUMMYFUNCTION("""COMPUTED_VALUE"""),44104.0)</f>
        <v>44104</v>
      </c>
      <c r="D167" s="42" t="str">
        <f>IFERROR(__xludf.DUMMYFUNCTION("""COMPUTED_VALUE"""),"1. Membuat endpoint shipping address:
- POST '/shipping_address' utk menambahkan alamat pengiriman customer
- GET '/shipping_address/{customer_id}' utk mendapatkan alamat pengiriman customer
- PUT '/shipping_address/{id}' utk update alamat pengiriman cust"&amp;"omer
- DELETE '/shipping_address/{id}' utk menghapus alamat pengiriman customer
2. Menghapus isian phone, birthday &amp; gender ketika customer melakukan registrasi
3. Menghapus isian store description ketika seller melakukan registrasi
4. Merubah route '/sel"&amp;"ler/{id}' menjadi '/seller/item/{seller_id}' utk mendapatkan item/produk yg dijual oleh seller
5. Menambahkan route GET '/seller/{id}' utk mendapatkan profile seller
6. Menambahkan proses upload image dgn menggunakan multer utk update menambahkan foto pro"&amp;"fil seller dan customer")</f>
        <v>1. Membuat endpoint shipping address:
- POST '/shipping_address' utk menambahkan alamat pengiriman customer
- GET '/shipping_address/{customer_id}' utk mendapatkan alamat pengiriman customer
- PUT '/shipping_address/{id}' utk update alamat pengiriman customer
- DELETE '/shipping_address/{id}' utk menghapus alamat pengiriman customer
2. Menghapus isian phone, birthday &amp; gender ketika customer melakukan registrasi
3. Menghapus isian store description ketika seller melakukan registrasi
4. Merubah route '/seller/{id}' menjadi '/seller/item/{seller_id}' utk mendapatkan item/produk yg dijual oleh seller
5. Menambahkan route GET '/seller/{id}' utk mendapatkan profile seller
6. Menambahkan proses upload image dgn menggunakan multer utk update menambahkan foto profil seller dan customer</v>
      </c>
      <c r="E167" s="42"/>
      <c r="F167" s="42" t="str">
        <f>IFERROR(__xludf.DUMMYFUNCTION("""COMPUTED_VALUE"""),"Membuat endpoint produk review")</f>
        <v>Membuat endpoint produk review</v>
      </c>
    </row>
    <row r="168">
      <c r="A168" s="43">
        <f>IFERROR(__xludf.DUMMYFUNCTION("""COMPUTED_VALUE"""),44104.39108074074)</f>
        <v>44104.39108</v>
      </c>
      <c r="B168" s="42" t="str">
        <f>IFERROR(__xludf.DUMMYFUNCTION("""COMPUTED_VALUE"""),"Muhamad Faris Alkodri")</f>
        <v>Muhamad Faris Alkodri</v>
      </c>
      <c r="C168" s="44">
        <f>IFERROR(__xludf.DUMMYFUNCTION("""COMPUTED_VALUE"""),44104.0)</f>
        <v>44104</v>
      </c>
      <c r="D168" s="42" t="str">
        <f>IFERROR(__xludf.DUMMYFUNCTION("""COMPUTED_VALUE"""),"I have simplified updateUser in my code, so it can be use for patch and put and also for seller and user, all i need just make the joi validation modular and make it to be able to retrieve arguments")</f>
        <v>I have simplified updateUser in my code, so it can be use for patch and put and also for seller and user, all i need just make the joi validation modular and make it to be able to retrieve arguments</v>
      </c>
      <c r="E168" s="42" t="str">
        <f>IFERROR(__xludf.DUMMYFUNCTION("""COMPUTED_VALUE"""),"My problem is more of technical because in my region there a was a blackout. Also I haven't made the address routes")</f>
        <v>My problem is more of technical because in my region there a was a blackout. Also I haven't made the address routes</v>
      </c>
      <c r="F168" s="42" t="str">
        <f>IFERROR(__xludf.DUMMYFUNCTION("""COMPUTED_VALUE"""),"I want to make the address routes for CRUD routes operational, I have made the address table. So I just have to create its models, and then create the controllers and then the routes. Also it will use the authMulter")</f>
        <v>I want to make the address routes for CRUD routes operational, I have made the address table. So I just have to create its models, and then create the controllers and then the routes. Also it will use the authMulter</v>
      </c>
    </row>
    <row r="169">
      <c r="A169" s="43">
        <f>IFERROR(__xludf.DUMMYFUNCTION("""COMPUTED_VALUE"""),44104.397096747685)</f>
        <v>44104.3971</v>
      </c>
      <c r="B169" s="42" t="str">
        <f>IFERROR(__xludf.DUMMYFUNCTION("""COMPUTED_VALUE"""),"Iqbal Athorid")</f>
        <v>Iqbal Athorid</v>
      </c>
      <c r="C169" s="44">
        <f>IFERROR(__xludf.DUMMYFUNCTION("""COMPUTED_VALUE"""),44104.0)</f>
        <v>44104</v>
      </c>
      <c r="D169" s="42" t="str">
        <f>IFERROR(__xludf.DUMMYFUNCTION("""COMPUTED_VALUE"""),"fixed error on update partials items, created delete fungtion if validation error, created custom error for handle multer error, added role on user, created database role,fixed error on update partials user")</f>
        <v>fixed error on update partials items, created delete fungtion if validation error, created custom error for handle multer error, added role on user, created database role,fixed error on update partials user</v>
      </c>
      <c r="E169" s="42"/>
      <c r="F169" s="42" t="str">
        <f>IFERROR(__xludf.DUMMYFUNCTION("""COMPUTED_VALUE"""),"create protected route with role, create public route, create ratings,fix bug on carts,
create data for seller, create reset password and change register flow")</f>
        <v>create protected route with role, create public route, create ratings,fix bug on carts,
create data for seller, create reset password and change register flow</v>
      </c>
    </row>
    <row r="170">
      <c r="A170" s="43">
        <f>IFERROR(__xludf.DUMMYFUNCTION("""COMPUTED_VALUE"""),44104.40014722222)</f>
        <v>44104.40015</v>
      </c>
      <c r="B170" s="42" t="str">
        <f>IFERROR(__xludf.DUMMYFUNCTION("""COMPUTED_VALUE"""),"Muhammad")</f>
        <v>Muhammad</v>
      </c>
      <c r="C170" s="44">
        <f>IFERROR(__xludf.DUMMYFUNCTION("""COMPUTED_VALUE"""),44104.0)</f>
        <v>44104</v>
      </c>
      <c r="D170" s="42" t="str">
        <f>IFERROR(__xludf.DUMMYFUNCTION("""COMPUTED_VALUE"""),"Create profile route")</f>
        <v>Create profile route</v>
      </c>
      <c r="E170" s="42"/>
      <c r="F170" s="42" t="str">
        <f>IFERROR(__xludf.DUMMYFUNCTION("""COMPUTED_VALUE"""),"Create another route")</f>
        <v>Create another route</v>
      </c>
    </row>
    <row r="171">
      <c r="A171" s="43">
        <f>IFERROR(__xludf.DUMMYFUNCTION("""COMPUTED_VALUE"""),44104.40649861111)</f>
        <v>44104.4065</v>
      </c>
      <c r="B171" s="42" t="str">
        <f>IFERROR(__xludf.DUMMYFUNCTION("""COMPUTED_VALUE"""),"Timotius Simanjuntak")</f>
        <v>Timotius Simanjuntak</v>
      </c>
      <c r="C171" s="44">
        <f>IFERROR(__xludf.DUMMYFUNCTION("""COMPUTED_VALUE"""),44104.0)</f>
        <v>44104</v>
      </c>
      <c r="D171" s="42" t="str">
        <f>IFERROR(__xludf.DUMMYFUNCTION("""COMPUTED_VALUE"""),"masih menyelesaikan profile, dan membuat multi upload dengan multer")</f>
        <v>masih menyelesaikan profile, dan membuat multi upload dengan multer</v>
      </c>
      <c r="E171" s="42" t="str">
        <f>IFERROR(__xludf.DUMMYFUNCTION("""COMPUTED_VALUE"""),"masih kesulitan untuk mengupload image url nya, apakah diupload hanya satu url, apa diupload berdasarkan jumlah image nya")</f>
        <v>masih kesulitan untuk mengupload image url nya, apakah diupload hanya satu url, apa diupload berdasarkan jumlah image nya</v>
      </c>
      <c r="F171" s="42" t="str">
        <f>IFERROR(__xludf.DUMMYFUNCTION("""COMPUTED_VALUE"""),"mengerjakan route untuk address")</f>
        <v>mengerjakan route untuk address</v>
      </c>
    </row>
    <row r="172">
      <c r="A172" s="43">
        <f>IFERROR(__xludf.DUMMYFUNCTION("""COMPUTED_VALUE"""),44104.40784998843)</f>
        <v>44104.40785</v>
      </c>
      <c r="B172" s="42" t="str">
        <f>IFERROR(__xludf.DUMMYFUNCTION("""COMPUTED_VALUE"""),"Rezha Maulana Jaya")</f>
        <v>Rezha Maulana Jaya</v>
      </c>
      <c r="C172" s="44">
        <f>IFERROR(__xludf.DUMMYFUNCTION("""COMPUTED_VALUE"""),44104.0)</f>
        <v>44104</v>
      </c>
      <c r="D172" s="42" t="str">
        <f>IFERROR(__xludf.DUMMYFUNCTION("""COMPUTED_VALUE"""),"auth and otorisation ,upload image customer, create new admin, create items but minus upload in progress.sort,search, di pisah di file yang berbeda , untuk user customer admin seller sudah bisa di bedakan dengan token dan hak ases satu sama lain, ")</f>
        <v>auth and otorisation ,upload image customer, create new admin, create items but minus upload in progress.sort,search, di pisah di file yang berbeda , untuk user customer admin seller sudah bisa di bedakan dengan token dan hak ases satu sama lain, </v>
      </c>
      <c r="E172" s="42" t="str">
        <f>IFERROR(__xludf.DUMMYFUNCTION("""COMPUTED_VALUE"""),"foreign key selalu terjadi error ketika merelasikan tabel di database,jika berhasil ketika insert malah ga bisa")</f>
        <v>foreign key selalu terjadi error ketika merelasikan tabel di database,jika berhasil ketika insert malah ga bisa</v>
      </c>
      <c r="F172" s="42" t="str">
        <f>IFERROR(__xludf.DUMMYFUNCTION("""COMPUTED_VALUE"""),"image array dan cart dan public")</f>
        <v>image array dan cart dan public</v>
      </c>
    </row>
    <row r="173">
      <c r="A173" s="43">
        <f>IFERROR(__xludf.DUMMYFUNCTION("""COMPUTED_VALUE"""),44104.408024178236)</f>
        <v>44104.40802</v>
      </c>
      <c r="B173" s="42" t="str">
        <f>IFERROR(__xludf.DUMMYFUNCTION("""COMPUTED_VALUE"""),"Ahmad Asrofi")</f>
        <v>Ahmad Asrofi</v>
      </c>
      <c r="C173" s="44">
        <f>IFERROR(__xludf.DUMMYFUNCTION("""COMPUTED_VALUE"""),44104.0)</f>
        <v>44104</v>
      </c>
      <c r="D173" s="42" t="str">
        <f>IFERROR(__xludf.DUMMYFUNCTION("""COMPUTED_VALUE"""),"create a new route for crud profile, shipping-address")</f>
        <v>create a new route for crud profile, shipping-address</v>
      </c>
      <c r="E173" s="42" t="str">
        <f>IFERROR(__xludf.DUMMYFUNCTION("""COMPUTED_VALUE"""),"i had a problem when i wanted to implement update profile. i got confused when i try to update user's email and user detail in the same route.")</f>
        <v>i had a problem when i wanted to implement update profile. i got confused when i try to update user's email and user detail in the same route.</v>
      </c>
      <c r="F173" s="42" t="str">
        <f>IFERROR(__xludf.DUMMYFUNCTION("""COMPUTED_VALUE"""),"i will create another route like reset password using Patch method from mockup")</f>
        <v>i will create another route like reset password using Patch method from mockup</v>
      </c>
    </row>
    <row r="174">
      <c r="A174" s="43">
        <f>IFERROR(__xludf.DUMMYFUNCTION("""COMPUTED_VALUE"""),44104.40853853009)</f>
        <v>44104.40854</v>
      </c>
      <c r="B174" s="42" t="str">
        <f>IFERROR(__xludf.DUMMYFUNCTION("""COMPUTED_VALUE"""),"Furoidah Chilmi")</f>
        <v>Furoidah Chilmi</v>
      </c>
      <c r="C174" s="44">
        <f>IFERROR(__xludf.DUMMYFUNCTION("""COMPUTED_VALUE"""),44104.0)</f>
        <v>44104</v>
      </c>
      <c r="D174" s="42" t="str">
        <f>IFERROR(__xludf.DUMMYFUNCTION("""COMPUTED_VALUE"""),"- signup &amp; login
- update user id patch
- create new address post
- show address added 
- edit address
- signup and login seller
- show seller by id using auth
- patch seller info
")</f>
        <v>- signup &amp; login
- update user id patch
- create new address post
- show address added 
- edit address
- signup and login seller
- show seller by id using auth
- patch seller info
</v>
      </c>
      <c r="E174" s="42" t="str">
        <f>IFERROR(__xludf.DUMMYFUNCTION("""COMPUTED_VALUE"""),"- gabisa patch. req.file harus selalu terisi
- harus ada req.body dan req.file untuk patch
- post birth atau tipe data date belum bisa di patch. bisa tapi bikin sendiri jadi gabisa pake method patch alias harus selalu keisi. sama kayak pict")</f>
        <v>- gabisa patch. req.file harus selalu terisi
- harus ada req.body dan req.file untuk patch
- post birth atau tipe data date belum bisa di patch. bisa tapi bikin sendiri jadi gabisa pake method patch alias harus selalu keisi. sama kayak pict</v>
      </c>
      <c r="F174" s="42" t="str">
        <f>IFERROR(__xludf.DUMMYFUNCTION("""COMPUTED_VALUE"""),"...")</f>
        <v>...</v>
      </c>
    </row>
    <row r="175">
      <c r="A175" s="43">
        <f>IFERROR(__xludf.DUMMYFUNCTION("""COMPUTED_VALUE"""),44105.372602118056)</f>
        <v>44105.3726</v>
      </c>
      <c r="B175" s="42" t="str">
        <f>IFERROR(__xludf.DUMMYFUNCTION("""COMPUTED_VALUE"""),"Pramesti Regita Cahyani")</f>
        <v>Pramesti Regita Cahyani</v>
      </c>
      <c r="C175" s="44">
        <f>IFERROR(__xludf.DUMMYFUNCTION("""COMPUTED_VALUE"""),44105.0)</f>
        <v>44105</v>
      </c>
      <c r="D175" s="42" t="str">
        <f>IFERROR(__xludf.DUMMYFUNCTION("""COMPUTED_VALUE"""),"Membuat path new product")</f>
        <v>Membuat path new product</v>
      </c>
      <c r="E175" s="42" t="str">
        <f>IFERROR(__xludf.DUMMYFUNCTION("""COMPUTED_VALUE"""),"belum mencoba mengimplementasikan popular product")</f>
        <v>belum mencoba mengimplementasikan popular product</v>
      </c>
      <c r="F175" s="42" t="str">
        <f>IFERROR(__xludf.DUMMYFUNCTION("""COMPUTED_VALUE"""),"membuat path popular product dan method unlink saat update picture")</f>
        <v>membuat path popular product dan method unlink saat update picture</v>
      </c>
    </row>
    <row r="176">
      <c r="A176" s="43">
        <f>IFERROR(__xludf.DUMMYFUNCTION("""COMPUTED_VALUE"""),44105.37944962963)</f>
        <v>44105.37945</v>
      </c>
      <c r="B176" s="42" t="str">
        <f>IFERROR(__xludf.DUMMYFUNCTION("""COMPUTED_VALUE"""),"Ahmad Fatkhul Amam")</f>
        <v>Ahmad Fatkhul Amam</v>
      </c>
      <c r="C176" s="44">
        <f>IFERROR(__xludf.DUMMYFUNCTION("""COMPUTED_VALUE"""),44105.0)</f>
        <v>44105</v>
      </c>
      <c r="D176" s="42" t="str">
        <f>IFERROR(__xludf.DUMMYFUNCTION("""COMPUTED_VALUE"""),"correcting my mistakes, about creating an unstructured user programming flow that left me confused")</f>
        <v>correcting my mistakes, about creating an unstructured user programming flow that left me confused</v>
      </c>
      <c r="E176" s="42" t="str">
        <f>IFERROR(__xludf.DUMMYFUNCTION("""COMPUTED_VALUE"""),"the flow of my own program")</f>
        <v>the flow of my own program</v>
      </c>
      <c r="F176" s="42" t="str">
        <f>IFERROR(__xludf.DUMMYFUNCTION("""COMPUTED_VALUE"""),"tidy up the flow of my program, and create public, seller, admin, and custommer paths")</f>
        <v>tidy up the flow of my program, and create public, seller, admin, and custommer paths</v>
      </c>
    </row>
    <row r="177">
      <c r="A177" s="43">
        <f>IFERROR(__xludf.DUMMYFUNCTION("""COMPUTED_VALUE"""),44105.38128476852)</f>
        <v>44105.38128</v>
      </c>
      <c r="B177" s="42" t="str">
        <f>IFERROR(__xludf.DUMMYFUNCTION("""COMPUTED_VALUE"""),"Muhammad Abdurasyid")</f>
        <v>Muhammad Abdurasyid</v>
      </c>
      <c r="C177" s="44">
        <f>IFERROR(__xludf.DUMMYFUNCTION("""COMPUTED_VALUE"""),44105.0)</f>
        <v>44105</v>
      </c>
      <c r="D177" s="42" t="str">
        <f>IFERROR(__xludf.DUMMYFUNCTION("""COMPUTED_VALUE"""),"1. Membuat route '/category' menjadi public
2. Menambahkan logic agar mendapatkan costumer profile berdasarkan id costumer yg sedang login dan hanya bisa update profile yg sedang login saja
3. Menambahkan logic agar mendapatkan alamat pengiriman customer "&amp;"yg sedang login
4. Menambahkan logic agar cart atau my bag hanya bisa diakses oleh customer yg sedang login
5. Menambahkan logic agar mendapatkan seller/store profile berdasarkan id seller yg sedang login dan hanya bisa update profile yg sedang login saja"&amp;"
6. Menambahkan logic agar ketika menjual item, item tsb milik seller id yg sedang login")</f>
        <v>1. Membuat route '/category' menjadi public
2. Menambahkan logic agar mendapatkan costumer profile berdasarkan id costumer yg sedang login dan hanya bisa update profile yg sedang login saja
3. Menambahkan logic agar mendapatkan alamat pengiriman customer yg sedang login
4. Menambahkan logic agar cart atau my bag hanya bisa diakses oleh customer yg sedang login
5. Menambahkan logic agar mendapatkan seller/store profile berdasarkan id seller yg sedang login dan hanya bisa update profile yg sedang login saja
6. Menambahkan logic agar ketika menjual item, item tsb milik seller id yg sedang login</v>
      </c>
      <c r="E177" s="42"/>
      <c r="F177" s="42" t="str">
        <f>IFERROR(__xludf.DUMMYFUNCTION("""COMPUTED_VALUE"""),"Membuat endpoint item review")</f>
        <v>Membuat endpoint item review</v>
      </c>
    </row>
    <row r="178">
      <c r="A178" s="43">
        <f>IFERROR(__xludf.DUMMYFUNCTION("""COMPUTED_VALUE"""),44105.38680928241)</f>
        <v>44105.38681</v>
      </c>
      <c r="B178" s="42" t="str">
        <f>IFERROR(__xludf.DUMMYFUNCTION("""COMPUTED_VALUE"""),"Ahmad Asrofi")</f>
        <v>Ahmad Asrofi</v>
      </c>
      <c r="C178" s="44">
        <f>IFERROR(__xludf.DUMMYFUNCTION("""COMPUTED_VALUE"""),44105.0)</f>
        <v>44105</v>
      </c>
      <c r="D178" s="42" t="str">
        <f>IFERROR(__xludf.DUMMYFUNCTION("""COMPUTED_VALUE"""),"create table items_color, items_condition, items_rating, transaction. update route register and login, public access, private access : seller : profile, items, customer : profile, cart, checkout")</f>
        <v>create table items_color, items_condition, items_rating, transaction. update route register and login, public access, private access : seller : profile, items, customer : profile, cart, checkout</v>
      </c>
      <c r="E178" s="42" t="str">
        <f>IFERROR(__xludf.DUMMYFUNCTION("""COMPUTED_VALUE"""),"Do checkout route need a new table route?")</f>
        <v>Do checkout route need a new table route?</v>
      </c>
      <c r="F178" s="42" t="str">
        <f>IFERROR(__xludf.DUMMYFUNCTION("""COMPUTED_VALUE"""),"i will finish all route like cart checkout payment etc")</f>
        <v>i will finish all route like cart checkout payment etc</v>
      </c>
    </row>
    <row r="179">
      <c r="A179" s="43">
        <f>IFERROR(__xludf.DUMMYFUNCTION("""COMPUTED_VALUE"""),44105.38800622685)</f>
        <v>44105.38801</v>
      </c>
      <c r="B179" s="42" t="str">
        <f>IFERROR(__xludf.DUMMYFUNCTION("""COMPUTED_VALUE"""),"Satrio Nugroho")</f>
        <v>Satrio Nugroho</v>
      </c>
      <c r="C179" s="44">
        <f>IFERROR(__xludf.DUMMYFUNCTION("""COMPUTED_VALUE"""),44105.0)</f>
        <v>44105</v>
      </c>
      <c r="D179" s="42" t="str">
        <f>IFERROR(__xludf.DUMMYFUNCTION("""COMPUTED_VALUE"""),"Saya melanjutkan project saya menambahkan kekurangan juga di backend dan menambahkan profile address")</f>
        <v>Saya melanjutkan project saya menambahkan kekurangan juga di backend dan menambahkan profile address</v>
      </c>
      <c r="E179" s="42" t="str">
        <f>IFERROR(__xludf.DUMMYFUNCTION("""COMPUTED_VALUE"""),"Masih ada beberapa program yang belum dijoin ")</f>
        <v>Masih ada beberapa program yang belum dijoin </v>
      </c>
      <c r="F179" s="42" t="str">
        <f>IFERROR(__xludf.DUMMYFUNCTION("""COMPUTED_VALUE"""),"Hari ini agendanya code review dan melanjutkan untuk menyelsaikan project")</f>
        <v>Hari ini agendanya code review dan melanjutkan untuk menyelsaikan project</v>
      </c>
    </row>
    <row r="180">
      <c r="A180" s="43">
        <f>IFERROR(__xludf.DUMMYFUNCTION("""COMPUTED_VALUE"""),44105.38873288194)</f>
        <v>44105.38873</v>
      </c>
      <c r="B180" s="42" t="str">
        <f>IFERROR(__xludf.DUMMYFUNCTION("""COMPUTED_VALUE"""),"Rezha Maulana Jaya")</f>
        <v>Rezha Maulana Jaya</v>
      </c>
      <c r="C180" s="44">
        <f>IFERROR(__xludf.DUMMYFUNCTION("""COMPUTED_VALUE"""),44105.0)</f>
        <v>44105</v>
      </c>
      <c r="D180" s="42" t="str">
        <f>IFERROR(__xludf.DUMMYFUNCTION("""COMPUTED_VALUE"""),"public akses, custermer edit dan detail -addres belum buat karna bingung si adrees ini di pisah atau di satuin di detailnya,relasi udah aman table udah aman")</f>
        <v>public akses, custermer edit dan detail -addres belum buat karna bingung si adrees ini di pisah atau di satuin di detailnya,relasi udah aman table udah aman</v>
      </c>
      <c r="E180" s="42" t="str">
        <f>IFERROR(__xludf.DUMMYFUNCTION("""COMPUTED_VALUE"""),"memahami konsep ")</f>
        <v>memahami konsep </v>
      </c>
      <c r="F180" s="42" t="str">
        <f>IFERROR(__xludf.DUMMYFUNCTION("""COMPUTED_VALUE"""),"menyelesaikan cart dan address")</f>
        <v>menyelesaikan cart dan address</v>
      </c>
    </row>
    <row r="181">
      <c r="A181" s="43">
        <f>IFERROR(__xludf.DUMMYFUNCTION("""COMPUTED_VALUE"""),44105.3909816088)</f>
        <v>44105.39098</v>
      </c>
      <c r="B181" s="42" t="str">
        <f>IFERROR(__xludf.DUMMYFUNCTION("""COMPUTED_VALUE"""),"Iqbal Athorid")</f>
        <v>Iqbal Athorid</v>
      </c>
      <c r="C181" s="44">
        <f>IFERROR(__xludf.DUMMYFUNCTION("""COMPUTED_VALUE"""),44105.0)</f>
        <v>44105</v>
      </c>
      <c r="D181" s="42" t="str">
        <f>IFERROR(__xludf.DUMMYFUNCTION("""COMPUTED_VALUE"""),"changed flow register, create seller register, seller editprofile, changed customer edit profile, created ratings,created adress for user, changed detail items,category(public)")</f>
        <v>changed flow register, create seller register, seller editprofile, changed customer edit profile, created ratings,created adress for user, changed detail items,category(public)</v>
      </c>
      <c r="E181" s="42" t="str">
        <f>IFERROR(__xludf.DUMMYFUNCTION("""COMPUTED_VALUE"""),"still confused about choosing a user authorization method")</f>
        <v>still confused about choosing a user authorization method</v>
      </c>
      <c r="F181" s="42" t="str">
        <f>IFERROR(__xludf.DUMMYFUNCTION("""COMPUTED_VALUE"""),"according to kang Irul directions, fix bug in edit seller")</f>
        <v>according to kang Irul directions, fix bug in edit seller</v>
      </c>
    </row>
    <row r="182">
      <c r="A182" s="43">
        <f>IFERROR(__xludf.DUMMYFUNCTION("""COMPUTED_VALUE"""),44105.39489527778)</f>
        <v>44105.3949</v>
      </c>
      <c r="B182" s="42" t="str">
        <f>IFERROR(__xludf.DUMMYFUNCTION("""COMPUTED_VALUE"""),"Fahmi Aziz Ismail")</f>
        <v>Fahmi Aziz Ismail</v>
      </c>
      <c r="C182" s="44">
        <f>IFERROR(__xludf.DUMMYFUNCTION("""COMPUTED_VALUE"""),44105.0)</f>
        <v>44105</v>
      </c>
      <c r="D182" s="42" t="str">
        <f>IFERROR(__xludf.DUMMYFUNCTION("""COMPUTED_VALUE"""),"membuat fungsi update profile patch , membuat rute home")</f>
        <v>membuat fungsi update profile patch , membuat rute home</v>
      </c>
      <c r="E182" s="42" t="str">
        <f>IFERROR(__xludf.DUMMYFUNCTION("""COMPUTED_VALUE"""),"upload gambar belum berjalan di fungsi update profile, di rute home belum ditambahkan popular item")</f>
        <v>upload gambar belum berjalan di fungsi update profile, di rute home belum ditambahkan popular item</v>
      </c>
      <c r="F182" s="42" t="str">
        <f>IFERROR(__xludf.DUMMYFUNCTION("""COMPUTED_VALUE"""),"memperbaiki fungsi update, menambahkan rute checkout, membuat fungsi update address")</f>
        <v>memperbaiki fungsi update, menambahkan rute checkout, membuat fungsi update address</v>
      </c>
    </row>
    <row r="183">
      <c r="A183" s="43">
        <f>IFERROR(__xludf.DUMMYFUNCTION("""COMPUTED_VALUE"""),44105.396743819445)</f>
        <v>44105.39674</v>
      </c>
      <c r="B183" s="42" t="str">
        <f>IFERROR(__xludf.DUMMYFUNCTION("""COMPUTED_VALUE"""),"Muhamad Faris Alkodri")</f>
        <v>Muhamad Faris Alkodri</v>
      </c>
      <c r="C183" s="44">
        <f>IFERROR(__xludf.DUMMYFUNCTION("""COMPUTED_VALUE"""),44105.0)</f>
        <v>44105</v>
      </c>
      <c r="D183" s="42" t="str">
        <f>IFERROR(__xludf.DUMMYFUNCTION("""COMPUTED_VALUE"""),"I have creating public routes that include view all, new and popular. I also creating mew table for ratings. But haven't yet create the CRUD for ratings table. I also create pivot table for items in public")</f>
        <v>I have creating public routes that include view all, new and popular. I also creating mew table for ratings. But haven't yet create the CRUD for ratings table. I also create pivot table for items in public</v>
      </c>
      <c r="E183" s="42" t="str">
        <f>IFERROR(__xludf.DUMMYFUNCTION("""COMPUTED_VALUE"""),"There are no serious problem that i have encounter. Maybe more of the logics on checkout")</f>
        <v>There are no serious problem that i have encounter. Maybe more of the logics on checkout</v>
      </c>
      <c r="F183" s="42" t="str">
        <f>IFERROR(__xludf.DUMMYFUNCTION("""COMPUTED_VALUE"""),"I want to continue to create routes on categories, carts and checkout. I felt so overwhelmed days before so i have to catch the pace, starting with categories: because i made subcategories table so the logics should have been the same like public routes o"&amp;"n detail items which the items table and items detail was parallel to categories and subcategories.
After the categories there were mycart which the table was just column item detail id, user id, quantity, created at and updated at. CRUD was a bit complex"&amp;" because i want to make sure that there's no same item details in the same user_id, so there should be a get methods to retrieve the item id before adding new item to cart, the last one was checkout, i imagine that the total price in one row of cart but e"&amp;"hat actually happened is the cart has no real price, it was just the multiplication product of price in detail items and quantity in the mycart table")</f>
        <v>I want to continue to create routes on categories, carts and checkout. I felt so overwhelmed days before so i have to catch the pace, starting with categories: because i made subcategories table so the logics should have been the same like public routes on detail items which the items table and items detail was parallel to categories and subcategories.
After the categories there were mycart which the table was just column item detail id, user id, quantity, created at and updated at. CRUD was a bit complex because i want to make sure that there's no same item details in the same user_id, so there should be a get methods to retrieve the item id before adding new item to cart, the last one was checkout, i imagine that the total price in one row of cart but ehat actually happened is the cart has no real price, it was just the multiplication product of price in detail items and quantity in the mycart table</v>
      </c>
    </row>
    <row r="184">
      <c r="A184" s="43">
        <f>IFERROR(__xludf.DUMMYFUNCTION("""COMPUTED_VALUE"""),44105.39756935185)</f>
        <v>44105.39757</v>
      </c>
      <c r="B184" s="42" t="str">
        <f>IFERROR(__xludf.DUMMYFUNCTION("""COMPUTED_VALUE"""),"Wahyu Ramadhan")</f>
        <v>Wahyu Ramadhan</v>
      </c>
      <c r="C184" s="44">
        <f>IFERROR(__xludf.DUMMYFUNCTION("""COMPUTED_VALUE"""),36597.0)</f>
        <v>36597</v>
      </c>
      <c r="D184" s="42" t="str">
        <f>IFERROR(__xludf.DUMMYFUNCTION("""COMPUTED_VALUE"""),"membuat add profile beserta hashingnya, update dengan put, add foto profile ke dalam table yg berbeda berdasarkan id_user")</f>
        <v>membuat add profile beserta hashingnya, update dengan put, add foto profile ke dalam table yg berbeda berdasarkan id_user</v>
      </c>
      <c r="E184" s="42" t="str">
        <f>IFERROR(__xludf.DUMMYFUNCTION("""COMPUTED_VALUE"""),"jika menggunakan update patch field yg tidak keisi akan undifine, mengambil data id_role dari payload masih belum ngeh")</f>
        <v>jika menggunakan update patch field yg tidak keisi akan undifine, mengambil data id_role dari payload masih belum ngeh</v>
      </c>
      <c r="F184" s="42" t="str">
        <f>IFERROR(__xludf.DUMMYFUNCTION("""COMPUTED_VALUE"""),"membuat address yg berdasarkan id_user yg berbeda table")</f>
        <v>membuat address yg berdasarkan id_user yg berbeda table</v>
      </c>
    </row>
    <row r="185">
      <c r="A185" s="43">
        <f>IFERROR(__xludf.DUMMYFUNCTION("""COMPUTED_VALUE"""),44105.39781653935)</f>
        <v>44105.39782</v>
      </c>
      <c r="B185" s="42" t="str">
        <f>IFERROR(__xludf.DUMMYFUNCTION("""COMPUTED_VALUE"""),"Timotius Simanjuntak")</f>
        <v>Timotius Simanjuntak</v>
      </c>
      <c r="C185" s="44">
        <f>IFERROR(__xludf.DUMMYFUNCTION("""COMPUTED_VALUE"""),44105.0)</f>
        <v>44105</v>
      </c>
      <c r="D185" s="42" t="str">
        <f>IFERROR(__xludf.DUMMYFUNCTION("""COMPUTED_VALUE"""),"menyelesaikan profile")</f>
        <v>menyelesaikan profile</v>
      </c>
      <c r="E185" s="42" t="str">
        <f>IFERROR(__xludf.DUMMYFUNCTION("""COMPUTED_VALUE"""),"not yet")</f>
        <v>not yet</v>
      </c>
      <c r="F185" s="42" t="str">
        <f>IFERROR(__xludf.DUMMYFUNCTION("""COMPUTED_VALUE"""),"melanjutkan yg lain")</f>
        <v>melanjutkan yg lain</v>
      </c>
    </row>
    <row r="186">
      <c r="A186" s="43">
        <f>IFERROR(__xludf.DUMMYFUNCTION("""COMPUTED_VALUE"""),44105.39865238426)</f>
        <v>44105.39865</v>
      </c>
      <c r="B186" s="42" t="str">
        <f>IFERROR(__xludf.DUMMYFUNCTION("""COMPUTED_VALUE"""),"Muhammad")</f>
        <v>Muhammad</v>
      </c>
      <c r="C186" s="44">
        <f>IFERROR(__xludf.DUMMYFUNCTION("""COMPUTED_VALUE"""),44105.0)</f>
        <v>44105</v>
      </c>
      <c r="D186" s="42" t="str">
        <f>IFERROR(__xludf.DUMMYFUNCTION("""COMPUTED_VALUE"""),"Fix auth route
Fix product page route")</f>
        <v>Fix auth route
Fix product page route</v>
      </c>
      <c r="E186" s="42" t="str">
        <f>IFERROR(__xludf.DUMMYFUNCTION("""COMPUTED_VALUE"""),"haven't used pivot")</f>
        <v>haven't used pivot</v>
      </c>
      <c r="F186" s="42" t="str">
        <f>IFERROR(__xludf.DUMMYFUNCTION("""COMPUTED_VALUE"""),"Fix another route")</f>
        <v>Fix another route</v>
      </c>
    </row>
    <row r="187">
      <c r="A187" s="43">
        <f>IFERROR(__xludf.DUMMYFUNCTION("""COMPUTED_VALUE"""),44106.380055925925)</f>
        <v>44106.38006</v>
      </c>
      <c r="B187" s="42" t="str">
        <f>IFERROR(__xludf.DUMMYFUNCTION("""COMPUTED_VALUE"""),"Pramesti Regita Cahyani")</f>
        <v>Pramesti Regita Cahyani</v>
      </c>
      <c r="C187" s="44">
        <f>IFERROR(__xludf.DUMMYFUNCTION("""COMPUTED_VALUE"""),44106.0)</f>
        <v>44106</v>
      </c>
      <c r="D187" s="42" t="str">
        <f>IFERROR(__xludf.DUMMYFUNCTION("""COMPUTED_VALUE"""),"Membuat path popular product dan pemberian rating kepada product, dan path checkout")</f>
        <v>Membuat path popular product dan pemberian rating kepada product, dan path checkout</v>
      </c>
      <c r="E187" s="42" t="str">
        <f>IFERROR(__xludf.DUMMYFUNCTION("""COMPUTED_VALUE"""),"saat checkout banyak cart yang masuk ke tabel transaction hanya 1 cart")</f>
        <v>saat checkout banyak cart yang masuk ke tabel transaction hanya 1 cart</v>
      </c>
      <c r="F187" s="42" t="str">
        <f>IFERROR(__xludf.DUMMYFUNCTION("""COMPUTED_VALUE"""),"memperbaiki controller untuk checkout")</f>
        <v>memperbaiki controller untuk checkout</v>
      </c>
    </row>
    <row r="188">
      <c r="A188" s="43">
        <f>IFERROR(__xludf.DUMMYFUNCTION("""COMPUTED_VALUE"""),44106.38255689815)</f>
        <v>44106.38256</v>
      </c>
      <c r="B188" s="42" t="str">
        <f>IFERROR(__xludf.DUMMYFUNCTION("""COMPUTED_VALUE"""),"Wahyu Ramadhan")</f>
        <v>Wahyu Ramadhan</v>
      </c>
      <c r="C188" s="44">
        <f>IFERROR(__xludf.DUMMYFUNCTION("""COMPUTED_VALUE"""),36597.0)</f>
        <v>36597</v>
      </c>
      <c r="D188" s="42" t="str">
        <f>IFERROR(__xludf.DUMMYFUNCTION("""COMPUTED_VALUE"""),"sedikit merapikan kode, membuat pagination di items dan category beserta searchnya, mebuat route profile dan address beserta CRUDnya, membenahi cart, menggunakan SQL AND di model profile, mengambil data payload dari token ")</f>
        <v>sedikit merapikan kode, membuat pagination di items dan category beserta searchnya, mebuat route profile dan address beserta CRUDnya, membenahi cart, menggunakan SQL AND di model profile, mengambil data payload dari token </v>
      </c>
      <c r="E188" s="42" t="str">
        <f>IFERROR(__xludf.DUMMYFUNCTION("""COMPUTED_VALUE"""),"bingung cara untuk mengambil data di payload dari middleware(saya kemarin menggunakan helper), membuat hitung2an total dari semua harga yang ada di cart apakah dimasukkan db atau tidak")</f>
        <v>bingung cara untuk mengambil data di payload dari middleware(saya kemarin menggunakan helper), membuat hitung2an total dari semua harga yang ada di cart apakah dimasukkan db atau tidak</v>
      </c>
      <c r="F188" s="42" t="str">
        <f>IFERROR(__xludf.DUMMYFUNCTION("""COMPUTED_VALUE"""),"coba menerusakn membuat transaksi")</f>
        <v>coba menerusakn membuat transaksi</v>
      </c>
    </row>
    <row r="189">
      <c r="A189" s="43">
        <f>IFERROR(__xludf.DUMMYFUNCTION("""COMPUTED_VALUE"""),44106.3920175463)</f>
        <v>44106.39202</v>
      </c>
      <c r="B189" s="42" t="str">
        <f>IFERROR(__xludf.DUMMYFUNCTION("""COMPUTED_VALUE"""),"Iqbal Athorid")</f>
        <v>Iqbal Athorid</v>
      </c>
      <c r="C189" s="44">
        <f>IFERROR(__xludf.DUMMYFUNCTION("""COMPUTED_VALUE"""),44106.0)</f>
        <v>44106</v>
      </c>
      <c r="D189" s="42" t="str">
        <f>IFERROR(__xludf.DUMMYFUNCTION("""COMPUTED_VALUE"""),"created route pubblic, created ratings,autohorization by role, created checkout,craeted list adress, get adress,created manage profile seller,")</f>
        <v>created route pubblic, created ratings,autohorization by role, created checkout,craeted list adress, get adress,created manage profile seller,</v>
      </c>
      <c r="E189" s="42" t="str">
        <f>IFERROR(__xludf.DUMMYFUNCTION("""COMPUTED_VALUE"""),"flow from checkout to payments")</f>
        <v>flow from checkout to payments</v>
      </c>
      <c r="F189" s="42" t="str">
        <f>IFERROR(__xludf.DUMMYFUNCTION("""COMPUTED_VALUE"""),"presentation")</f>
        <v>presentation</v>
      </c>
    </row>
    <row r="190">
      <c r="A190" s="43">
        <f>IFERROR(__xludf.DUMMYFUNCTION("""COMPUTED_VALUE"""),44106.392992002315)</f>
        <v>44106.39299</v>
      </c>
      <c r="B190" s="42" t="str">
        <f>IFERROR(__xludf.DUMMYFUNCTION("""COMPUTED_VALUE"""),"Fahmi Aziz Ismail")</f>
        <v>Fahmi Aziz Ismail</v>
      </c>
      <c r="C190" s="44">
        <f>IFERROR(__xludf.DUMMYFUNCTION("""COMPUTED_VALUE"""),44106.0)</f>
        <v>44106</v>
      </c>
      <c r="D190" s="42" t="str">
        <f>IFERROR(__xludf.DUMMYFUNCTION("""COMPUTED_VALUE"""),"membuat rute cart, checkout, dan memperbaiki edit profile")</f>
        <v>membuat rute cart, checkout, dan memperbaiki edit profile</v>
      </c>
      <c r="E190" s="42" t="str">
        <f>IFERROR(__xludf.DUMMYFUNCTION("""COMPUTED_VALUE"""),"menjumlahkan total cart")</f>
        <v>menjumlahkan total cart</v>
      </c>
      <c r="F190" s="42" t="str">
        <f>IFERROR(__xludf.DUMMYFUNCTION("""COMPUTED_VALUE"""),"membuat rute popular item, membuat rute category page")</f>
        <v>membuat rute popular item, membuat rute category page</v>
      </c>
    </row>
    <row r="191">
      <c r="A191" s="43">
        <f>IFERROR(__xludf.DUMMYFUNCTION("""COMPUTED_VALUE"""),44106.39812986111)</f>
        <v>44106.39813</v>
      </c>
      <c r="B191" s="42" t="str">
        <f>IFERROR(__xludf.DUMMYFUNCTION("""COMPUTED_VALUE"""),"Muhammad Abdurasyid")</f>
        <v>Muhammad Abdurasyid</v>
      </c>
      <c r="C191" s="44">
        <f>IFERROR(__xludf.DUMMYFUNCTION("""COMPUTED_VALUE"""),44106.0)</f>
        <v>44106</v>
      </c>
      <c r="D191" s="42" t="str">
        <f>IFERROR(__xludf.DUMMYFUNCTION("""COMPUTED_VALUE"""),"1. Menambahkan logic utk menghapus gambar sebelumnya dari server ketika customer menghapus atau update gambar produk
2. Merubah route 'category/{id}' menjadi publik
3. Menambahkan query utk menampilkan image thumbnail ketika menampilkan list item dan cart"&amp;"/my bag
4. Menambahkan query utk membuat gambar-gambar produk ditampilkan dalam sebuah kolom image ketika menampilkan detail item
5. Menambahkan query utk menampilkan rating dan jumlah review ketika menampilkan list item dan detail item
6. Menambahkan que"&amp;"ry utk menampilkan jumlah masing-masing bintang 1-5 ketika menampilkan detail item")</f>
        <v>1. Menambahkan logic utk menghapus gambar sebelumnya dari server ketika customer menghapus atau update gambar produk
2. Merubah route 'category/{id}' menjadi publik
3. Menambahkan query utk menampilkan image thumbnail ketika menampilkan list item dan cart/my bag
4. Menambahkan query utk membuat gambar-gambar produk ditampilkan dalam sebuah kolom image ketika menampilkan detail item
5. Menambahkan query utk menampilkan rating dan jumlah review ketika menampilkan list item dan detail item
6. Menambahkan query utk menampilkan jumlah masing-masing bintang 1-5 ketika menampilkan detail item</v>
      </c>
      <c r="E191" s="42"/>
      <c r="F191" s="42" t="str">
        <f>IFERROR(__xludf.DUMMYFUNCTION("""COMPUTED_VALUE"""),"Membuat endpoint order &amp; item review")</f>
        <v>Membuat endpoint order &amp; item review</v>
      </c>
    </row>
    <row r="192">
      <c r="A192" s="43">
        <f>IFERROR(__xludf.DUMMYFUNCTION("""COMPUTED_VALUE"""),44106.6241278588)</f>
        <v>44106.62413</v>
      </c>
      <c r="B192" s="42" t="str">
        <f>IFERROR(__xludf.DUMMYFUNCTION("""COMPUTED_VALUE"""),"Rezha Maulana Jaya")</f>
        <v>Rezha Maulana Jaya</v>
      </c>
      <c r="C192" s="44">
        <f>IFERROR(__xludf.DUMMYFUNCTION("""COMPUTED_VALUE"""),44106.0)</f>
        <v>44106</v>
      </c>
      <c r="D192" s="42" t="str">
        <f>IFERROR(__xludf.DUMMYFUNCTION("""COMPUTED_VALUE"""),"menyelesaikan address ,user register,cart,update user,update schema,update model cart, upload foto pada categories")</f>
        <v>menyelesaikan address ,user register,cart,update user,update schema,update model cart, upload foto pada categories</v>
      </c>
      <c r="E192" s="42" t="str">
        <f>IFERROR(__xludf.DUMMYFUNCTION("""COMPUTED_VALUE"""),"pagination ,handle error")</f>
        <v>pagination ,handle error</v>
      </c>
      <c r="F192" s="42" t="str">
        <f>IFERROR(__xludf.DUMMYFUNCTION("""COMPUTED_VALUE"""),"betulin smuanya
")</f>
        <v>betulin smuanya
</v>
      </c>
    </row>
    <row r="193">
      <c r="A193" s="43">
        <f>IFERROR(__xludf.DUMMYFUNCTION("""COMPUTED_VALUE"""),44109.32419486111)</f>
        <v>44109.32419</v>
      </c>
      <c r="B193" s="42" t="str">
        <f>IFERROR(__xludf.DUMMYFUNCTION("""COMPUTED_VALUE"""),"Satrio Nugroho")</f>
        <v>Satrio Nugroho</v>
      </c>
      <c r="C193" s="44">
        <f>IFERROR(__xludf.DUMMYFUNCTION("""COMPUTED_VALUE"""),44109.0)</f>
        <v>44109</v>
      </c>
      <c r="D193" s="42" t="str">
        <f>IFERROR(__xludf.DUMMYFUNCTION("""COMPUTED_VALUE"""),"Waktu hari sabtu dan minggu saya menyelasaikan backend dengan menambahkan sesuai dari mockup seperti route , register , login dan menambahkan kekurangan kekurangan")</f>
        <v>Waktu hari sabtu dan minggu saya menyelasaikan backend dengan menambahkan sesuai dari mockup seperti route , register , login dan menambahkan kekurangan kekurangan</v>
      </c>
      <c r="E193" s="42" t="str">
        <f>IFERROR(__xludf.DUMMYFUNCTION("""COMPUTED_VALUE"""),"Masih ada beberapa bagian yang belum selesai ")</f>
        <v>Masih ada beberapa bagian yang belum selesai </v>
      </c>
      <c r="F193" s="42" t="str">
        <f>IFERROR(__xludf.DUMMYFUNCTION("""COMPUTED_VALUE"""),"Hari ini saya akan mengukuti materi baru front end")</f>
        <v>Hari ini saya akan mengukuti materi baru front end</v>
      </c>
    </row>
    <row r="194">
      <c r="A194" s="43">
        <f>IFERROR(__xludf.DUMMYFUNCTION("""COMPUTED_VALUE"""),44109.385717384255)</f>
        <v>44109.38572</v>
      </c>
      <c r="B194" s="42" t="str">
        <f>IFERROR(__xludf.DUMMYFUNCTION("""COMPUTED_VALUE"""),"Muhammad Abdurasyid")</f>
        <v>Muhammad Abdurasyid</v>
      </c>
      <c r="C194" s="44">
        <f>IFERROR(__xludf.DUMMYFUNCTION("""COMPUTED_VALUE"""),44109.0)</f>
        <v>44109</v>
      </c>
      <c r="D194" s="42" t="str">
        <f>IFERROR(__xludf.DUMMYFUNCTION("""COMPUTED_VALUE"""),"1. Menambahkan tabel kota dan provinsi di DB e-commerce
2. Menyimpan response id &amp; nama provinsi dari RajaOngkir API ke dalam tabel provinsi
3. Menyimpan response id, nama kota, &amp; id_provinsi dari RajaOngkir API ke dalam tabel kota
4. Menambahkan kolom ko"&amp;"ta di tabel seller utk memuat informasi kota/lokasi si penjual
Ket: Poin 1-4 di atas nantinya digunakan utk proses hitung ongkir dgn menggunakan RajaOngkir API yg membutuhkan parameter id kota asal dan tujuan")</f>
        <v>1. Menambahkan tabel kota dan provinsi di DB e-commerce
2. Menyimpan response id &amp; nama provinsi dari RajaOngkir API ke dalam tabel provinsi
3. Menyimpan response id, nama kota, &amp; id_provinsi dari RajaOngkir API ke dalam tabel kota
4. Menambahkan kolom kota di tabel seller utk memuat informasi kota/lokasi si penjual
Ket: Poin 1-4 di atas nantinya digunakan utk proses hitung ongkir dgn menggunakan RajaOngkir API yg membutuhkan parameter id kota asal dan tujuan</v>
      </c>
      <c r="E194" s="42"/>
      <c r="F194" s="42" t="str">
        <f>IFERROR(__xludf.DUMMYFUNCTION("""COMPUTED_VALUE"""),"Membuat endpoint order")</f>
        <v>Membuat endpoint order</v>
      </c>
    </row>
    <row r="195">
      <c r="A195" s="43">
        <f>IFERROR(__xludf.DUMMYFUNCTION("""COMPUTED_VALUE"""),44109.39139106481)</f>
        <v>44109.39139</v>
      </c>
      <c r="B195" s="42" t="str">
        <f>IFERROR(__xludf.DUMMYFUNCTION("""COMPUTED_VALUE"""),"Fahmi Aziz Ismail")</f>
        <v>Fahmi Aziz Ismail</v>
      </c>
      <c r="C195" s="44">
        <f>IFERROR(__xludf.DUMMYFUNCTION("""COMPUTED_VALUE"""),44109.0)</f>
        <v>44109</v>
      </c>
      <c r="D195" s="42" t="str">
        <f>IFERROR(__xludf.DUMMYFUNCTION("""COMPUTED_VALUE"""),"membuat halaman cart dan detail")</f>
        <v>membuat halaman cart dan detail</v>
      </c>
      <c r="E195" s="42" t="str">
        <f>IFERROR(__xludf.DUMMYFUNCTION("""COMPUTED_VALUE"""),"mengatur tata letak di bagian navbar")</f>
        <v>mengatur tata letak di bagian navbar</v>
      </c>
      <c r="F195" s="42" t="str">
        <f>IFERROR(__xludf.DUMMYFUNCTION("""COMPUTED_VALUE"""),"memperbaiki navbar, membuat halaman profile, dan checkout")</f>
        <v>memperbaiki navbar, membuat halaman profile, dan checkout</v>
      </c>
    </row>
    <row r="196">
      <c r="A196" s="43">
        <f>IFERROR(__xludf.DUMMYFUNCTION("""COMPUTED_VALUE"""),44109.3955043287)</f>
        <v>44109.3955</v>
      </c>
      <c r="B196" s="42" t="str">
        <f>IFERROR(__xludf.DUMMYFUNCTION("""COMPUTED_VALUE"""),"Muhamad Faris Alkodri")</f>
        <v>Muhamad Faris Alkodri</v>
      </c>
      <c r="C196" s="44">
        <f>IFERROR(__xludf.DUMMYFUNCTION("""COMPUTED_VALUE"""),44109.0)</f>
        <v>44109</v>
      </c>
      <c r="D196" s="42" t="str">
        <f>IFERROR(__xludf.DUMMYFUNCTION("""COMPUTED_VALUE"""),"I was fixing my backend especially in update items, i make my backend can read whether the users input the details in an array or not, and for the put and patch i also added features where users can easily create new item details instead of made new one i"&amp;"n different routes")</f>
        <v>I was fixing my backend especially in update items, i make my backend can read whether the users input the details in an array or not, and for the put and patch i also added features where users can easily create new item details instead of made new one in different routes</v>
      </c>
      <c r="E196" s="42" t="str">
        <f>IFERROR(__xludf.DUMMYFUNCTION("""COMPUTED_VALUE"""),"I have problems in time and how i created it so i running out of time to make checkouts, payment and transaction. Because i think the sellers should be able to do that first. And i found out i have so many bottlenecks on mysql and joi validation form")</f>
        <v>I have problems in time and how i created it so i running out of time to make checkouts, payment and transaction. Because i think the sellers should be able to do that first. And i found out i have so many bottlenecks on mysql and joi validation form</v>
      </c>
      <c r="F196" s="42" t="str">
        <f>IFERROR(__xludf.DUMMYFUNCTION("""COMPUTED_VALUE"""),"I was going to make my checkout, payments and transaction. Checkout with combining the user's address with their cart, also with the summary and delivery fee to the seller's place, I also want to make transaction and transaction details tables")</f>
        <v>I was going to make my checkout, payments and transaction. Checkout with combining the user's address with their cart, also with the summary and delivery fee to the seller's place, I also want to make transaction and transaction details tables</v>
      </c>
    </row>
    <row r="197">
      <c r="A197" s="43">
        <f>IFERROR(__xludf.DUMMYFUNCTION("""COMPUTED_VALUE"""),44110.38831759259)</f>
        <v>44110.38832</v>
      </c>
      <c r="B197" s="42" t="str">
        <f>IFERROR(__xludf.DUMMYFUNCTION("""COMPUTED_VALUE"""),"Muhamad Faris Alkodri")</f>
        <v>Muhamad Faris Alkodri</v>
      </c>
      <c r="C197" s="44">
        <f>IFERROR(__xludf.DUMMYFUNCTION("""COMPUTED_VALUE"""),44110.0)</f>
        <v>44110</v>
      </c>
      <c r="D197" s="42" t="str">
        <f>IFERROR(__xludf.DUMMYFUNCTION("""COMPUTED_VALUE"""),"I have duplicate what Kang Irul did yesterday. It was pretty frustating because I have a typo on my code and it takes more than an hour to realise that. Again I also trying to fixing my backend especially in user edit and item edit, now we can add detail "&amp;"items in put/patch to make the flow for front end more dynamic")</f>
        <v>I have duplicate what Kang Irul did yesterday. It was pretty frustating because I have a typo on my code and it takes more than an hour to realise that. Again I also trying to fixing my backend especially in user edit and item edit, now we can add detail items in put/patch to make the flow for front end more dynamic</v>
      </c>
      <c r="E197" s="42" t="str">
        <f>IFERROR(__xludf.DUMMYFUNCTION("""COMPUTED_VALUE"""),"My problem is realize the typo that i have made, I was so confuse because I have done everything that Kang Irul said on the videos.")</f>
        <v>My problem is realize the typo that i have made, I was so confuse because I have done everything that Kang Irul said on the videos.</v>
      </c>
      <c r="F197" s="42" t="str">
        <f>IFERROR(__xludf.DUMMYFUNCTION("""COMPUTED_VALUE"""),"I want to perfecting my checkout and make new table for payments. And also link the create user with payments. So when the user create account, the payment is automatically created. Why I use new table on payment is because it can store the cashflow of tr"&amp;"ansaction of user")</f>
        <v>I want to perfecting my checkout and make new table for payments. And also link the create user with payments. So when the user create account, the payment is automatically created. Why I use new table on payment is because it can store the cashflow of transaction of user</v>
      </c>
    </row>
    <row r="198">
      <c r="A198" s="43">
        <f>IFERROR(__xludf.DUMMYFUNCTION("""COMPUTED_VALUE"""),44110.38986501157)</f>
        <v>44110.38987</v>
      </c>
      <c r="B198" s="42" t="str">
        <f>IFERROR(__xludf.DUMMYFUNCTION("""COMPUTED_VALUE"""),"Muhammad Abdurasyid")</f>
        <v>Muhammad Abdurasyid</v>
      </c>
      <c r="C198" s="44">
        <f>IFERROR(__xludf.DUMMYFUNCTION("""COMPUTED_VALUE"""),44110.0)</f>
        <v>44110</v>
      </c>
      <c r="D198" s="42" t="str">
        <f>IFERROR(__xludf.DUMMYFUNCTION("""COMPUTED_VALUE"""),"1. Mengubah query saat menampilkan alamat pengiriman customer dgn menambahkan informasi kota dan provinsi sebagai alamat lengkap yg diambil dari tabel kota &amp; provinsi
2. Merubah model alamat pengiriman dgn cara mengganti nama kolom city menjadi city_id
3."&amp;" Merubah route GET '/condition' &amp; '/color' menjadi public
4. Menambahkan route/endpoint public utk GET '/city' &amp; '/province' yg nantinya dapat digunakan utk menampilkan dropdown pilihan provinsi &amp; kota alamat pengiriman customer atau lokasi toko si penjua"&amp;"l
5. Menambahkan endpoint GET '/shipping_address/{id}' utk menampilkan alamat pengiriman customer berdasarkan id")</f>
        <v>1. Mengubah query saat menampilkan alamat pengiriman customer dgn menambahkan informasi kota dan provinsi sebagai alamat lengkap yg diambil dari tabel kota &amp; provinsi
2. Merubah model alamat pengiriman dgn cara mengganti nama kolom city menjadi city_id
3. Merubah route GET '/condition' &amp; '/color' menjadi public
4. Menambahkan route/endpoint public utk GET '/city' &amp; '/province' yg nantinya dapat digunakan utk menampilkan dropdown pilihan provinsi &amp; kota alamat pengiriman customer atau lokasi toko si penjual
5. Menambahkan endpoint GET '/shipping_address/{id}' utk menampilkan alamat pengiriman customer berdasarkan id</v>
      </c>
      <c r="E198" s="42"/>
      <c r="F198" s="42" t="str">
        <f>IFERROR(__xludf.DUMMYFUNCTION("""COMPUTED_VALUE"""),"Belajar redux melalu tugas, jika tidak ada tugas lanjut mengerjakan sisi backend")</f>
        <v>Belajar redux melalu tugas, jika tidak ada tugas lanjut mengerjakan sisi backend</v>
      </c>
    </row>
    <row r="199">
      <c r="A199" s="43">
        <f>IFERROR(__xludf.DUMMYFUNCTION("""COMPUTED_VALUE"""),44111.609615706024)</f>
        <v>44111.60962</v>
      </c>
      <c r="B199" s="42" t="str">
        <f>IFERROR(__xludf.DUMMYFUNCTION("""COMPUTED_VALUE"""),"Muhammad Abdurasyid")</f>
        <v>Muhammad Abdurasyid</v>
      </c>
      <c r="C199" s="44">
        <f>IFERROR(__xludf.DUMMYFUNCTION("""COMPUTED_VALUE"""),44111.0)</f>
        <v>44111</v>
      </c>
      <c r="D199" s="42" t="str">
        <f>IFERROR(__xludf.DUMMYFUNCTION("""COMPUTED_VALUE"""),"Menggunakan redux utk proses store data new product &amp; popular product yg ditampilkan di halaman home")</f>
        <v>Menggunakan redux utk proses store data new product &amp; popular product yg ditampilkan di halaman home</v>
      </c>
      <c r="E199" s="42" t="str">
        <f>IFERROR(__xludf.DUMMYFUNCTION("""COMPUTED_VALUE"""),"Saya awalnya sedikit kesulitan gimana caranya utk membedakan store data new product &amp; popular product, karena hasil yg saya kerjakan selalu store data dari hasil kondisi promise fulfilled yg terakhir (sesuai urutan penulisan code) misal get data dari popu"&amp;"lar product. Sehingga isi data yg ditampilkan baik new dan popular product merupakan list popular product.
Akhirnya saya menemukan solusi utk membedakan pada masing-masing action &amp; reducer dari new &amp; popular product cukup dgn dibuat beda string dari prope"&amp;"rti type masing-masing menjadi GET_NEW_PRODUCTS &amp; GET_POPULAR_PRODUCTS (dari sebelumnya yg sama-sama GET_DATA, karena menurut saya jika penamaannya sama dapat menimbulkan ambiguitas)")</f>
        <v>Saya awalnya sedikit kesulitan gimana caranya utk membedakan store data new product &amp; popular product, karena hasil yg saya kerjakan selalu store data dari hasil kondisi promise fulfilled yg terakhir (sesuai urutan penulisan code) misal get data dari popular product. Sehingga isi data yg ditampilkan baik new dan popular product merupakan list popular product.
Akhirnya saya menemukan solusi utk membedakan pada masing-masing action &amp; reducer dari new &amp; popular product cukup dgn dibuat beda string dari properti type masing-masing menjadi GET_NEW_PRODUCTS &amp; GET_POPULAR_PRODUCTS (dari sebelumnya yg sama-sama GET_DATA, karena menurut saya jika penamaannya sama dapat menimbulkan ambiguitas)</v>
      </c>
      <c r="F199" s="42" t="str">
        <f>IFERROR(__xludf.DUMMYFUNCTION("""COMPUTED_VALUE"""),"Membuat halaman detail produk dgn menggunakan redux")</f>
        <v>Membuat halaman detail produk dgn menggunakan redux</v>
      </c>
    </row>
    <row r="200">
      <c r="A200" s="43">
        <f>IFERROR(__xludf.DUMMYFUNCTION("""COMPUTED_VALUE"""),44111.62110804398)</f>
        <v>44111.62111</v>
      </c>
      <c r="B200" s="42" t="str">
        <f>IFERROR(__xludf.DUMMYFUNCTION("""COMPUTED_VALUE"""),"Fahmi Aziz Ismail")</f>
        <v>Fahmi Aziz Ismail</v>
      </c>
      <c r="C200" s="44">
        <f>IFERROR(__xludf.DUMMYFUNCTION("""COMPUTED_VALUE"""),44111.0)</f>
        <v>44111</v>
      </c>
      <c r="D200" s="42" t="str">
        <f>IFERROR(__xludf.DUMMYFUNCTION("""COMPUTED_VALUE"""),"menampilkan new items di page home dengan redux dan axios, membuat fungsi login")</f>
        <v>menampilkan new items di page home dengan redux dan axios, membuat fungsi login</v>
      </c>
      <c r="E200" s="42" t="str">
        <f>IFERROR(__xludf.DUMMYFUNCTION("""COMPUTED_VALUE"""),"fungsi login  belum berjalan data tidak terkirim ke backend")</f>
        <v>fungsi login  belum berjalan data tidak terkirim ke backend</v>
      </c>
      <c r="F200" s="42" t="str">
        <f>IFERROR(__xludf.DUMMYFUNCTION("""COMPUTED_VALUE"""),"memperbaiki fungsi login")</f>
        <v>memperbaiki fungsi login</v>
      </c>
    </row>
    <row r="201">
      <c r="A201" s="43">
        <f>IFERROR(__xludf.DUMMYFUNCTION("""COMPUTED_VALUE"""),44111.624166435184)</f>
        <v>44111.62417</v>
      </c>
      <c r="B201" s="42" t="str">
        <f>IFERROR(__xludf.DUMMYFUNCTION("""COMPUTED_VALUE"""),"Ahmad Asrofi")</f>
        <v>Ahmad Asrofi</v>
      </c>
      <c r="C201" s="44">
        <f>IFERROR(__xludf.DUMMYFUNCTION("""COMPUTED_VALUE"""),44111.0)</f>
        <v>44111</v>
      </c>
      <c r="D201" s="42" t="str">
        <f>IFERROR(__xludf.DUMMYFUNCTION("""COMPUTED_VALUE"""),"i tidy up my backend project for cart checkout, try to implement redux on my frontend project at route Home")</f>
        <v>i tidy up my backend project for cart checkout, try to implement redux on my frontend project at route Home</v>
      </c>
      <c r="E201" s="42" t="str">
        <f>IFERROR(__xludf.DUMMYFUNCTION("""COMPUTED_VALUE"""),"i still try to understand how to implement auth for private route")</f>
        <v>i still try to understand how to implement auth for private route</v>
      </c>
      <c r="F201" s="42" t="str">
        <f>IFERROR(__xludf.DUMMYFUNCTION("""COMPUTED_VALUE"""),"i will implement private route on my frontend project, creating cart page for user")</f>
        <v>i will implement private route on my frontend project, creating cart page for user</v>
      </c>
    </row>
    <row r="202">
      <c r="A202" s="43">
        <f>IFERROR(__xludf.DUMMYFUNCTION("""COMPUTED_VALUE"""),44111.62677396991)</f>
        <v>44111.62677</v>
      </c>
      <c r="B202" s="42" t="str">
        <f>IFERROR(__xludf.DUMMYFUNCTION("""COMPUTED_VALUE"""),"Rezha Maulana Jaya")</f>
        <v>Rezha Maulana Jaya</v>
      </c>
      <c r="C202" s="44">
        <f>IFERROR(__xludf.DUMMYFUNCTION("""COMPUTED_VALUE"""),44111.0)</f>
        <v>44111</v>
      </c>
      <c r="D202" s="42" t="str">
        <f>IFERROR(__xludf.DUMMYFUNCTION("""COMPUTED_VALUE"""),"memahami redux dan belajar props ")</f>
        <v>memahami redux dan belajar props </v>
      </c>
      <c r="E202" s="42" t="str">
        <f>IFERROR(__xludf.DUMMYFUNCTION("""COMPUTED_VALUE"""),"alur dari redux suka kebalik2")</f>
        <v>alur dari redux suka kebalik2</v>
      </c>
      <c r="F202" s="42" t="str">
        <f>IFERROR(__xludf.DUMMYFUNCTION("""COMPUTED_VALUE"""),"implementasiin redux di projek karna tadi mati lampu")</f>
        <v>implementasiin redux di projek karna tadi mati lampu</v>
      </c>
    </row>
    <row r="203">
      <c r="A203" s="43">
        <f>IFERROR(__xludf.DUMMYFUNCTION("""COMPUTED_VALUE"""),44111.62682123843)</f>
        <v>44111.62682</v>
      </c>
      <c r="B203" s="42" t="str">
        <f>IFERROR(__xludf.DUMMYFUNCTION("""COMPUTED_VALUE"""),"Pramesti Regita Cahyani")</f>
        <v>Pramesti Regita Cahyani</v>
      </c>
      <c r="C203" s="44">
        <f>IFERROR(__xludf.DUMMYFUNCTION("""COMPUTED_VALUE"""),44111.0)</f>
        <v>44111</v>
      </c>
      <c r="D203" s="42" t="str">
        <f>IFERROR(__xludf.DUMMYFUNCTION("""COMPUTED_VALUE"""),"mengaplikasikan redux di project ecommers")</f>
        <v>mengaplikasikan redux di project ecommers</v>
      </c>
      <c r="E203" s="42" t="str">
        <f>IFERROR(__xludf.DUMMYFUNCTION("""COMPUTED_VALUE"""),"untuk email dan password masih pakai yang didefinisikan belum ambil yang dari database karena belum paham alurnya, selain itu, untuk table productnya masih ambil dari url public jadi tidak bisa diedit")</f>
        <v>untuk email dan password masih pakai yang didefinisikan belum ambil yang dari database karena belum paham alurnya, selain itu, untuk table productnya masih ambil dari url public jadi tidak bisa diedit</v>
      </c>
      <c r="F203" s="42" t="str">
        <f>IFERROR(__xludf.DUMMYFUNCTION("""COMPUTED_VALUE"""),"menghubungkan auth yang ada di frontend dengan auth backend")</f>
        <v>menghubungkan auth yang ada di frontend dengan auth backend</v>
      </c>
    </row>
    <row r="204">
      <c r="A204" s="43">
        <f>IFERROR(__xludf.DUMMYFUNCTION("""COMPUTED_VALUE"""),44111.62684189815)</f>
        <v>44111.62684</v>
      </c>
      <c r="B204" s="42" t="str">
        <f>IFERROR(__xludf.DUMMYFUNCTION("""COMPUTED_VALUE"""),"Timotius Simanjuntak")</f>
        <v>Timotius Simanjuntak</v>
      </c>
      <c r="C204" s="44">
        <f>IFERROR(__xludf.DUMMYFUNCTION("""COMPUTED_VALUE"""),44111.0)</f>
        <v>44111</v>
      </c>
      <c r="D204" s="42" t="str">
        <f>IFERROR(__xludf.DUMMYFUNCTION("""COMPUTED_VALUE"""),"Membuat user login dengan backend yang sudah dibuat yaitu express backend tugas minggu 4")</f>
        <v>Membuat user login dengan backend yang sudah dibuat yaitu express backend tugas minggu 4</v>
      </c>
      <c r="E204" s="42" t="str">
        <f>IFERROR(__xludf.DUMMYFUNCTION("""COMPUTED_VALUE"""),"Belum bisa untuk mendapatkan state dari isLogin")</f>
        <v>Belum bisa untuk mendapatkan state dari isLogin</v>
      </c>
      <c r="F204" s="42" t="str">
        <f>IFERROR(__xludf.DUMMYFUNCTION("""COMPUTED_VALUE"""),"Mencari tahu caranya")</f>
        <v>Mencari tahu caranya</v>
      </c>
    </row>
    <row r="205">
      <c r="A205" s="43">
        <f>IFERROR(__xludf.DUMMYFUNCTION("""COMPUTED_VALUE"""),44111.6283679051)</f>
        <v>44111.62837</v>
      </c>
      <c r="B205" s="42" t="str">
        <f>IFERROR(__xludf.DUMMYFUNCTION("""COMPUTED_VALUE"""),"Ahmad Fatkhul Amam")</f>
        <v>Ahmad Fatkhul Amam</v>
      </c>
      <c r="C205" s="44">
        <f>IFERROR(__xludf.DUMMYFUNCTION("""COMPUTED_VALUE"""),44111.0)</f>
        <v>44111</v>
      </c>
      <c r="D205" s="42" t="str">
        <f>IFERROR(__xludf.DUMMYFUNCTION("""COMPUTED_VALUE"""),"understand the redux flow anf make page product with redux")</f>
        <v>understand the redux flow anf make page product with redux</v>
      </c>
      <c r="E205" s="42" t="str">
        <f>IFERROR(__xludf.DUMMYFUNCTION("""COMPUTED_VALUE"""),"whether the function is also created in reduxers or remains on the perent page?")</f>
        <v>whether the function is also created in reduxers or remains on the perent page?</v>
      </c>
      <c r="F205" s="42" t="str">
        <f>IFERROR(__xludf.DUMMYFUNCTION("""COMPUTED_VALUE"""),"explore the basics of redux, how redux works and the flow of redux by creating a login program with redux")</f>
        <v>explore the basics of redux, how redux works and the flow of redux by creating a login program with redux</v>
      </c>
    </row>
    <row r="206">
      <c r="A206" s="43">
        <f>IFERROR(__xludf.DUMMYFUNCTION("""COMPUTED_VALUE"""),44111.629516180554)</f>
        <v>44111.62952</v>
      </c>
      <c r="B206" s="42" t="str">
        <f>IFERROR(__xludf.DUMMYFUNCTION("""COMPUTED_VALUE"""),"Furoidah Chilmi")</f>
        <v>Furoidah Chilmi</v>
      </c>
      <c r="C206" s="44">
        <f>IFERROR(__xludf.DUMMYFUNCTION("""COMPUTED_VALUE"""),44111.0)</f>
        <v>44111</v>
      </c>
      <c r="D206" s="42" t="str">
        <f>IFERROR(__xludf.DUMMYFUNCTION("""COMPUTED_VALUE"""),"- memahami redux dari code yang didemokan")</f>
        <v>- memahami redux dari code yang didemokan</v>
      </c>
      <c r="E206" s="42" t="str">
        <f>IFERROR(__xludf.DUMMYFUNCTION("""COMPUTED_VALUE"""),"masih mencoba membuat halaman pertama yaitu login tapi belum selesai ")</f>
        <v>masih mencoba membuat halaman pertama yaitu login tapi belum selesai </v>
      </c>
      <c r="F206" s="42" t="str">
        <f>IFERROR(__xludf.DUMMYFUNCTION("""COMPUTED_VALUE"""),"menyelesaikan login page lanjut register dan reset password")</f>
        <v>menyelesaikan login page lanjut register dan reset password</v>
      </c>
    </row>
    <row r="207">
      <c r="A207" s="43">
        <f>IFERROR(__xludf.DUMMYFUNCTION("""COMPUTED_VALUE"""),44111.62979005787)</f>
        <v>44111.62979</v>
      </c>
      <c r="B207" s="42" t="str">
        <f>IFERROR(__xludf.DUMMYFUNCTION("""COMPUTED_VALUE"""),"Muhammad")</f>
        <v>Muhammad</v>
      </c>
      <c r="C207" s="44">
        <f>IFERROR(__xludf.DUMMYFUNCTION("""COMPUTED_VALUE"""),44111.0)</f>
        <v>44111</v>
      </c>
      <c r="D207" s="42" t="str">
        <f>IFERROR(__xludf.DUMMYFUNCTION("""COMPUTED_VALUE"""),"Get data for home page")</f>
        <v>Get data for home page</v>
      </c>
      <c r="E207" s="42"/>
      <c r="F207" s="42" t="str">
        <f>IFERROR(__xludf.DUMMYFUNCTION("""COMPUTED_VALUE"""),"Create more page")</f>
        <v>Create more page</v>
      </c>
    </row>
    <row r="208">
      <c r="A208" s="43">
        <f>IFERROR(__xludf.DUMMYFUNCTION("""COMPUTED_VALUE"""),44111.63264460648)</f>
        <v>44111.63264</v>
      </c>
      <c r="B208" s="42" t="str">
        <f>IFERROR(__xludf.DUMMYFUNCTION("""COMPUTED_VALUE"""),"Muhamad Faris Alkodri")</f>
        <v>Muhamad Faris Alkodri</v>
      </c>
      <c r="C208" s="44">
        <f>IFERROR(__xludf.DUMMYFUNCTION("""COMPUTED_VALUE"""),44111.0)</f>
        <v>44111</v>
      </c>
      <c r="D208" s="42" t="str">
        <f>IFERROR(__xludf.DUMMYFUNCTION("""COMPUTED_VALUE"""),"I have implemented redux on my login page, but it just paused to get the data from axios because of my lack of knowledge in switch case I erase the default case and it keeps return undefined. And now it solved. I also try to connect my signup page to the "&amp;"database via redux. In the backend side i was implenting the rajaongkir API.")</f>
        <v>I have implemented redux on my login page, but it just paused to get the data from axios because of my lack of knowledge in switch case I erase the default case and it keeps return undefined. And now it solved. I also try to connect my signup page to the database via redux. In the backend side i was implenting the rajaongkir API.</v>
      </c>
      <c r="E208" s="42" t="str">
        <f>IFERROR(__xludf.DUMMYFUNCTION("""COMPUTED_VALUE"""),"My problems are understanding the nested style of calling and passing function on redux. Because the naming and the properties in my code are seemingly identical on each other")</f>
        <v>My problems are understanding the nested style of calling and passing function on redux. Because the naming and the properties in my code are seemingly identical on each other</v>
      </c>
      <c r="F208" s="42" t="str">
        <f>IFERROR(__xludf.DUMMYFUNCTION("""COMPUTED_VALUE"""),"I want to handle the login, change the navbar so there was difference before and after login. Also i want to implementing the cards on the home")</f>
        <v>I want to handle the login, change the navbar so there was difference before and after login. Also i want to implementing the cards on the home</v>
      </c>
    </row>
    <row r="209">
      <c r="A209" s="43">
        <f>IFERROR(__xludf.DUMMYFUNCTION("""COMPUTED_VALUE"""),44111.63291731481)</f>
        <v>44111.63292</v>
      </c>
      <c r="B209" s="42" t="str">
        <f>IFERROR(__xludf.DUMMYFUNCTION("""COMPUTED_VALUE"""),"Iqbal Athorid")</f>
        <v>Iqbal Athorid</v>
      </c>
      <c r="C209" s="44">
        <f>IFERROR(__xludf.DUMMYFUNCTION("""COMPUTED_VALUE"""),44111.0)</f>
        <v>44111</v>
      </c>
      <c r="D209" s="42" t="str">
        <f>IFERROR(__xludf.DUMMYFUNCTION("""COMPUTED_VALUE"""),"fix some error on backend, created item list using redux")</f>
        <v>fix some error on backend, created item list using redux</v>
      </c>
      <c r="E209" s="42"/>
      <c r="F209" s="42" t="str">
        <f>IFERROR(__xludf.DUMMYFUNCTION("""COMPUTED_VALUE"""),"created another page")</f>
        <v>created another page</v>
      </c>
    </row>
    <row r="210">
      <c r="A210" s="43">
        <f>IFERROR(__xludf.DUMMYFUNCTION("""COMPUTED_VALUE"""),44112.36497072916)</f>
        <v>44112.36497</v>
      </c>
      <c r="B210" s="42" t="str">
        <f>IFERROR(__xludf.DUMMYFUNCTION("""COMPUTED_VALUE"""),"Fahmi Aziz Ismail")</f>
        <v>Fahmi Aziz Ismail</v>
      </c>
      <c r="C210" s="44">
        <f>IFERROR(__xludf.DUMMYFUNCTION("""COMPUTED_VALUE"""),44112.0)</f>
        <v>44112</v>
      </c>
      <c r="D210" s="42" t="str">
        <f>IFERROR(__xludf.DUMMYFUNCTION("""COMPUTED_VALUE"""),"membuat halaman checkout, memperbaiki fungsi login")</f>
        <v>membuat halaman checkout, memperbaiki fungsi login</v>
      </c>
      <c r="E210" s="42" t="str">
        <f>IFERROR(__xludf.DUMMYFUNCTION("""COMPUTED_VALUE"""),"meresponsivekan halaman")</f>
        <v>meresponsivekan halaman</v>
      </c>
      <c r="F210" s="42" t="str">
        <f>IFERROR(__xludf.DUMMYFUNCTION("""COMPUTED_VALUE"""),"membuat halaman profile customer dan seller")</f>
        <v>membuat halaman profile customer dan seller</v>
      </c>
    </row>
    <row r="211">
      <c r="A211" s="43">
        <f>IFERROR(__xludf.DUMMYFUNCTION("""COMPUTED_VALUE"""),44112.38106104167)</f>
        <v>44112.38106</v>
      </c>
      <c r="B211" s="42" t="str">
        <f>IFERROR(__xludf.DUMMYFUNCTION("""COMPUTED_VALUE"""),"Muhammad Abdurasyid")</f>
        <v>Muhammad Abdurasyid</v>
      </c>
      <c r="C211" s="44">
        <f>IFERROR(__xludf.DUMMYFUNCTION("""COMPUTED_VALUE"""),44112.0)</f>
        <v>44112</v>
      </c>
      <c r="D211" s="42" t="str">
        <f>IFERROR(__xludf.DUMMYFUNCTION("""COMPUTED_VALUE"""),"1. Slicing halaman detail produk
2. Menggunakan redux utk store data dari detail produk yg sedang dilihat")</f>
        <v>1. Slicing halaman detail produk
2. Menggunakan redux utk store data dari detail produk yg sedang dilihat</v>
      </c>
      <c r="E211" s="42"/>
      <c r="F211" s="42" t="str">
        <f>IFERROR(__xludf.DUMMYFUNCTION("""COMPUTED_VALUE"""),"1. Slicing halaman utk melihat produk by kategori &amp; menggunakan redux di halaman tsb
2. Slicing halaman my cart")</f>
        <v>1. Slicing halaman utk melihat produk by kategori &amp; menggunakan redux di halaman tsb
2. Slicing halaman my cart</v>
      </c>
    </row>
    <row r="212">
      <c r="A212" s="43">
        <f>IFERROR(__xludf.DUMMYFUNCTION("""COMPUTED_VALUE"""),44112.39164310185)</f>
        <v>44112.39164</v>
      </c>
      <c r="B212" s="42" t="str">
        <f>IFERROR(__xludf.DUMMYFUNCTION("""COMPUTED_VALUE"""),"Wahyu Ramadhan")</f>
        <v>Wahyu Ramadhan</v>
      </c>
      <c r="C212" s="44">
        <f>IFERROR(__xludf.DUMMYFUNCTION("""COMPUTED_VALUE"""),36597.0)</f>
        <v>36597</v>
      </c>
      <c r="D212" s="42" t="str">
        <f>IFERROR(__xludf.DUMMYFUNCTION("""COMPUTED_VALUE"""),"membuat tampilan route public, ambil data berdasarkan id dan tampilkan di pages detailCategory")</f>
        <v>membuat tampilan route public, ambil data berdasarkan id dan tampilkan di pages detailCategory</v>
      </c>
      <c r="E212" s="42" t="str">
        <f>IFERROR(__xludf.DUMMYFUNCTION("""COMPUTED_VALUE"""),"sedikit kesusahan saat mengirim id yang didapatkan dari hasil map di public, dikirim ke actionnya")</f>
        <v>sedikit kesusahan saat mengirim id yang didapatkan dari hasil map di public, dikirim ke actionnya</v>
      </c>
      <c r="F212" s="42" t="str">
        <f>IFERROR(__xludf.DUMMYFUNCTION("""COMPUTED_VALUE"""),"membuat tampilan cart, jika masih sempat mau mengerjakan login dari database dan ambil tokennya")</f>
        <v>membuat tampilan cart, jika masih sempat mau mengerjakan login dari database dan ambil tokennya</v>
      </c>
    </row>
    <row r="213">
      <c r="A213" s="43">
        <f>IFERROR(__xludf.DUMMYFUNCTION("""COMPUTED_VALUE"""),44112.39435928241)</f>
        <v>44112.39436</v>
      </c>
      <c r="B213" s="42" t="str">
        <f>IFERROR(__xludf.DUMMYFUNCTION("""COMPUTED_VALUE"""),"Iqbal Athorid")</f>
        <v>Iqbal Athorid</v>
      </c>
      <c r="C213" s="44">
        <f>IFERROR(__xludf.DUMMYFUNCTION("""COMPUTED_VALUE"""),44112.0)</f>
        <v>44112</v>
      </c>
      <c r="D213" s="42" t="str">
        <f>IFERROR(__xludf.DUMMYFUNCTION("""COMPUTED_VALUE"""),"changed card list item using media query, slicing cart page")</f>
        <v>changed card list item using media query, slicing cart page</v>
      </c>
      <c r="E213" s="42"/>
      <c r="F213" s="42" t="str">
        <f>IFERROR(__xludf.DUMMYFUNCTION("""COMPUTED_VALUE"""),"slicing detail page , profile,checkout")</f>
        <v>slicing detail page , profile,checkout</v>
      </c>
    </row>
    <row r="214">
      <c r="A214" s="43">
        <f>IFERROR(__xludf.DUMMYFUNCTION("""COMPUTED_VALUE"""),44112.397774895835)</f>
        <v>44112.39777</v>
      </c>
      <c r="B214" s="42" t="str">
        <f>IFERROR(__xludf.DUMMYFUNCTION("""COMPUTED_VALUE"""),"Satrio Nugroho")</f>
        <v>Satrio Nugroho</v>
      </c>
      <c r="C214" s="44">
        <f>IFERROR(__xludf.DUMMYFUNCTION("""COMPUTED_VALUE"""),44112.0)</f>
        <v>44112</v>
      </c>
      <c r="D214" s="42" t="str">
        <f>IFERROR(__xludf.DUMMYFUNCTION("""COMPUTED_VALUE"""),"saya  mengerjakan project front end saya dan masih mempelajari tantang redux. dan belum coba untuk di implementasikan di code sendiri ")</f>
        <v>saya  mengerjakan project front end saya dan masih mempelajari tantang redux. dan belum coba untuk di implementasikan di code sendiri </v>
      </c>
      <c r="E214" s="42" t="str">
        <f>IFERROR(__xludf.DUMMYFUNCTION("""COMPUTED_VALUE"""),"kemaren sempet kendala pemadaman listrik cukup lama jadi belum maksimal menyelesaikan projectnya")</f>
        <v>kemaren sempet kendala pemadaman listrik cukup lama jadi belum maksimal menyelesaikan projectnya</v>
      </c>
      <c r="F214" s="42" t="str">
        <f>IFERROR(__xludf.DUMMYFUNCTION("""COMPUTED_VALUE"""),"hari ini saya akan mengikuti materi lanjutan dan saya akan melanjutkan untuk menyelesaikan project saya ")</f>
        <v>hari ini saya akan mengikuti materi lanjutan dan saya akan melanjutkan untuk menyelesaikan project saya </v>
      </c>
    </row>
    <row r="215">
      <c r="A215" s="43">
        <f>IFERROR(__xludf.DUMMYFUNCTION("""COMPUTED_VALUE"""),44112.39879493056)</f>
        <v>44112.39879</v>
      </c>
      <c r="B215" s="42" t="str">
        <f>IFERROR(__xludf.DUMMYFUNCTION("""COMPUTED_VALUE"""),"Pramesti Regita Cahyani")</f>
        <v>Pramesti Regita Cahyani</v>
      </c>
      <c r="C215" s="44">
        <f>IFERROR(__xludf.DUMMYFUNCTION("""COMPUTED_VALUE"""),44112.0)</f>
        <v>44112</v>
      </c>
      <c r="D215" s="42" t="str">
        <f>IFERROR(__xludf.DUMMYFUNCTION("""COMPUTED_VALUE"""),"membuat carousel dan membenarkan layout product")</f>
        <v>membuat carousel dan membenarkan layout product</v>
      </c>
      <c r="E215" s="42" t="str">
        <f>IFERROR(__xludf.DUMMYFUNCTION("""COMPUTED_VALUE"""),"belum custom button di carousel")</f>
        <v>belum custom button di carousel</v>
      </c>
      <c r="F215" s="42" t="str">
        <f>IFERROR(__xludf.DUMMYFUNCTION("""COMPUTED_VALUE"""),"menyelesaikan carousel dan membuat halaman my-cart")</f>
        <v>menyelesaikan carousel dan membuat halaman my-cart</v>
      </c>
    </row>
    <row r="216">
      <c r="A216" s="43">
        <f>IFERROR(__xludf.DUMMYFUNCTION("""COMPUTED_VALUE"""),44112.39897861111)</f>
        <v>44112.39898</v>
      </c>
      <c r="B216" s="42" t="str">
        <f>IFERROR(__xludf.DUMMYFUNCTION("""COMPUTED_VALUE"""),"Muhamad Faris Alkodri")</f>
        <v>Muhamad Faris Alkodri</v>
      </c>
      <c r="C216" s="44">
        <f>IFERROR(__xludf.DUMMYFUNCTION("""COMPUTED_VALUE"""),44112.0)</f>
        <v>44112</v>
      </c>
      <c r="D216" s="42" t="str">
        <f>IFERROR(__xludf.DUMMYFUNCTION("""COMPUTED_VALUE"""),"I dont do much, i was edited my navigation bar and try to make it able to change whether i logged in and not logged in")</f>
        <v>I dont do much, i was edited my navigation bar and try to make it able to change whether i logged in and not logged in</v>
      </c>
      <c r="E216" s="42" t="str">
        <f>IFERROR(__xludf.DUMMYFUNCTION("""COMPUTED_VALUE"""),"I have a problem that my login doesnt read my login state and it doesnt push history home when i logged in")</f>
        <v>I have a problem that my login doesnt read my login state and it doesnt push history home when i logged in</v>
      </c>
      <c r="F216" s="42" t="str">
        <f>IFERROR(__xludf.DUMMYFUNCTION("""COMPUTED_VALUE"""),"I want to slicing all the elements that i have already made before with bootstrap")</f>
        <v>I want to slicing all the elements that i have already made before with bootstrap</v>
      </c>
    </row>
    <row r="217">
      <c r="A217" s="43">
        <f>IFERROR(__xludf.DUMMYFUNCTION("""COMPUTED_VALUE"""),44112.4004657176)</f>
        <v>44112.40047</v>
      </c>
      <c r="B217" s="42" t="str">
        <f>IFERROR(__xludf.DUMMYFUNCTION("""COMPUTED_VALUE"""),"Rezha Maulana Jaya")</f>
        <v>Rezha Maulana Jaya</v>
      </c>
      <c r="C217" s="44">
        <f>IFERROR(__xludf.DUMMYFUNCTION("""COMPUTED_VALUE"""),44112.0)</f>
        <v>44112</v>
      </c>
      <c r="D217" s="42" t="str">
        <f>IFERROR(__xludf.DUMMYFUNCTION("""COMPUTED_VALUE"""),"memperbaikin semua page sesuai dengan mockup")</f>
        <v>memperbaikin semua page sesuai dengan mockup</v>
      </c>
      <c r="E217" s="42" t="str">
        <f>IFERROR(__xludf.DUMMYFUNCTION("""COMPUTED_VALUE"""),"responsive menggunakan media query
ga berfungsi")</f>
        <v>responsive menggunakan media query
ga berfungsi</v>
      </c>
      <c r="F217" s="42" t="str">
        <f>IFERROR(__xludf.DUMMYFUNCTION("""COMPUTED_VALUE"""),"beresin semua desain")</f>
        <v>beresin semua desain</v>
      </c>
    </row>
    <row r="218">
      <c r="A218" s="43">
        <f>IFERROR(__xludf.DUMMYFUNCTION("""COMPUTED_VALUE"""),44112.404243020836)</f>
        <v>44112.40424</v>
      </c>
      <c r="B218" s="42" t="str">
        <f>IFERROR(__xludf.DUMMYFUNCTION("""COMPUTED_VALUE"""),"Ahmad Fatkhul Amam")</f>
        <v>Ahmad Fatkhul Amam</v>
      </c>
      <c r="C218" s="44">
        <f>IFERROR(__xludf.DUMMYFUNCTION("""COMPUTED_VALUE"""),44112.0)</f>
        <v>44112</v>
      </c>
      <c r="D218" s="42" t="str">
        <f>IFERROR(__xludf.DUMMYFUNCTION("""COMPUTED_VALUE"""),"try aws cloud computing, using aws simply, and fix my login and signup page using react")</f>
        <v>try aws cloud computing, using aws simply, and fix my login and signup page using react</v>
      </c>
      <c r="E218" s="42" t="str">
        <f>IFERROR(__xludf.DUMMYFUNCTION("""COMPUTED_VALUE"""),"i have proble use right code to develop react.js view using reactstrap/bootstrap")</f>
        <v>i have proble use right code to develop react.js view using reactstrap/bootstrap</v>
      </c>
      <c r="F218" s="42" t="str">
        <f>IFERROR(__xludf.DUMMYFUNCTION("""COMPUTED_VALUE"""),"continue to make other frontend page using react.js and redux")</f>
        <v>continue to make other frontend page using react.js and redux</v>
      </c>
    </row>
    <row r="219">
      <c r="A219" s="43">
        <f>IFERROR(__xludf.DUMMYFUNCTION("""COMPUTED_VALUE"""),44112.40575662037)</f>
        <v>44112.40576</v>
      </c>
      <c r="B219" s="42" t="str">
        <f>IFERROR(__xludf.DUMMYFUNCTION("""COMPUTED_VALUE"""),"Furoidah Chilmi")</f>
        <v>Furoidah Chilmi</v>
      </c>
      <c r="C219" s="44">
        <f>IFERROR(__xludf.DUMMYFUNCTION("""COMPUTED_VALUE"""),44112.0)</f>
        <v>44112</v>
      </c>
      <c r="D219" s="42" t="str">
        <f>IFERROR(__xludf.DUMMYFUNCTION("""COMPUTED_VALUE"""),"- login page 
- home page. just new category. (update backend)
- frontend profile")</f>
        <v>- login page 
- home page. just new category. (update backend)
- frontend profile</v>
      </c>
      <c r="E219" s="42" t="str">
        <f>IFERROR(__xludf.DUMMYFUNCTION("""COMPUTED_VALUE"""),"belum ada ~")</f>
        <v>belum ada ~</v>
      </c>
      <c r="F219" s="42" t="str">
        <f>IFERROR(__xludf.DUMMYFUNCTION("""COMPUTED_VALUE"""),"melanjutkan")</f>
        <v>melanjutkan</v>
      </c>
    </row>
    <row r="220">
      <c r="A220" s="43">
        <f>IFERROR(__xludf.DUMMYFUNCTION("""COMPUTED_VALUE"""),44112.40980162037)</f>
        <v>44112.4098</v>
      </c>
      <c r="B220" s="42" t="str">
        <f>IFERROR(__xludf.DUMMYFUNCTION("""COMPUTED_VALUE"""),"Ahmad Asrofi")</f>
        <v>Ahmad Asrofi</v>
      </c>
      <c r="C220" s="44">
        <f>IFERROR(__xludf.DUMMYFUNCTION("""COMPUTED_VALUE"""),44112.0)</f>
        <v>44112</v>
      </c>
      <c r="D220" s="42" t="str">
        <f>IFERROR(__xludf.DUMMYFUNCTION("""COMPUTED_VALUE"""),"creating a register and login seller for backend, creating a Detail page for frontend")</f>
        <v>creating a register and login seller for backend, creating a Detail page for frontend</v>
      </c>
      <c r="E220" s="42" t="str">
        <f>IFERROR(__xludf.DUMMYFUNCTION("""COMPUTED_VALUE"""),"i forget how to implement react, so i watched and learned the record before and then create a Detail page")</f>
        <v>i forget how to implement react, so i watched and learned the record before and then create a Detail page</v>
      </c>
      <c r="F220" s="42" t="str">
        <f>IFERROR(__xludf.DUMMYFUNCTION("""COMPUTED_VALUE"""),"i will continue create Detail page and create another page")</f>
        <v>i will continue create Detail page and create another page</v>
      </c>
    </row>
    <row r="221">
      <c r="A221" s="43">
        <f>IFERROR(__xludf.DUMMYFUNCTION("""COMPUTED_VALUE"""),44112.44817415509)</f>
        <v>44112.44817</v>
      </c>
      <c r="B221" s="42" t="str">
        <f>IFERROR(__xludf.DUMMYFUNCTION("""COMPUTED_VALUE"""),"Muhammad")</f>
        <v>Muhammad</v>
      </c>
      <c r="C221" s="44">
        <f>IFERROR(__xludf.DUMMYFUNCTION("""COMPUTED_VALUE"""),44082.0)</f>
        <v>44082</v>
      </c>
      <c r="D221" s="42" t="str">
        <f>IFERROR(__xludf.DUMMYFUNCTION("""COMPUTED_VALUE"""),"try to create navbar")</f>
        <v>try to create navbar</v>
      </c>
      <c r="E221" s="42" t="str">
        <f>IFERROR(__xludf.DUMMYFUNCTION("""COMPUTED_VALUE"""),"do not understand about parsing data with props in functional components
and the correct style method in react / design pattern")</f>
        <v>do not understand about parsing data with props in functional components
and the correct style method in react / design pattern</v>
      </c>
      <c r="F221" s="42" t="str">
        <f>IFERROR(__xludf.DUMMYFUNCTION("""COMPUTED_VALUE"""),"try to create home page")</f>
        <v>try to create home page</v>
      </c>
    </row>
    <row r="222">
      <c r="A222" s="43">
        <f>IFERROR(__xludf.DUMMYFUNCTION("""COMPUTED_VALUE"""),44113.360520648144)</f>
        <v>44113.36052</v>
      </c>
      <c r="B222" s="42" t="str">
        <f>IFERROR(__xludf.DUMMYFUNCTION("""COMPUTED_VALUE"""),"Fahmi Aziz Ismail")</f>
        <v>Fahmi Aziz Ismail</v>
      </c>
      <c r="C222" s="44">
        <f>IFERROR(__xludf.DUMMYFUNCTION("""COMPUTED_VALUE"""),44113.0)</f>
        <v>44113</v>
      </c>
      <c r="D222" s="42" t="str">
        <f>IFERROR(__xludf.DUMMYFUNCTION("""COMPUTED_VALUE"""),"membuat halaman profile (my acccount), dan profile (shipping address)")</f>
        <v>membuat halaman profile (my acccount), dan profile (shipping address)</v>
      </c>
      <c r="E222" s="42"/>
      <c r="F222" s="42" t="str">
        <f>IFERROR(__xludf.DUMMYFUNCTION("""COMPUTED_VALUE"""),"membuat halaman transaction, profile(my order)")</f>
        <v>membuat halaman transaction, profile(my order)</v>
      </c>
    </row>
    <row r="223">
      <c r="A223" s="43">
        <f>IFERROR(__xludf.DUMMYFUNCTION("""COMPUTED_VALUE"""),44113.37197451389)</f>
        <v>44113.37197</v>
      </c>
      <c r="B223" s="42" t="str">
        <f>IFERROR(__xludf.DUMMYFUNCTION("""COMPUTED_VALUE"""),"Pramesti Regita Cahyani")</f>
        <v>Pramesti Regita Cahyani</v>
      </c>
      <c r="C223" s="44">
        <f>IFERROR(__xludf.DUMMYFUNCTION("""COMPUTED_VALUE"""),44113.0)</f>
        <v>44113</v>
      </c>
      <c r="D223" s="42" t="str">
        <f>IFERROR(__xludf.DUMMYFUNCTION("""COMPUTED_VALUE"""),"Membuat halaman my-cart dan mengaplikasikan eslint")</f>
        <v>Membuat halaman my-cart dan mengaplikasikan eslint</v>
      </c>
      <c r="E223" s="42" t="str">
        <f>IFERROR(__xludf.DUMMYFUNCTION("""COMPUTED_VALUE"""),"belum memasukkan data dari database karena belum selesai slicing halamannya")</f>
        <v>belum memasukkan data dari database karena belum selesai slicing halamannya</v>
      </c>
      <c r="F223" s="42" t="str">
        <f>IFERROR(__xludf.DUMMYFUNCTION("""COMPUTED_VALUE"""),"menyelesaikan slicing halaman yang lain jika selesai hari ini selanjutnya akan mengimplementasikan redux")</f>
        <v>menyelesaikan slicing halaman yang lain jika selesai hari ini selanjutnya akan mengimplementasikan redux</v>
      </c>
    </row>
    <row r="224">
      <c r="A224" s="43">
        <f>IFERROR(__xludf.DUMMYFUNCTION("""COMPUTED_VALUE"""),44113.37590782407)</f>
        <v>44113.37591</v>
      </c>
      <c r="B224" s="42" t="str">
        <f>IFERROR(__xludf.DUMMYFUNCTION("""COMPUTED_VALUE"""),"Satrio Nugroho")</f>
        <v>Satrio Nugroho</v>
      </c>
      <c r="C224" s="44">
        <f>IFERROR(__xludf.DUMMYFUNCTION("""COMPUTED_VALUE"""),44113.0)</f>
        <v>44113</v>
      </c>
      <c r="D224" s="42" t="str">
        <f>IFERROR(__xludf.DUMMYFUNCTION("""COMPUTED_VALUE"""),"saya mengerjakan menyelesaikan untuk tampilan"" user yang masih belum selesai.. buat fungsi"" lainnya masih belum ada yang diterapkan")</f>
        <v>saya mengerjakan menyelesaikan untuk tampilan" user yang masih belum selesai.. buat fungsi" lainnya masih belum ada yang diterapkan</v>
      </c>
      <c r="E224" s="42"/>
      <c r="F224" s="42" t="str">
        <f>IFERROR(__xludf.DUMMYFUNCTION("""COMPUTED_VALUE"""),"hari ini mengikuti kegiatan quis dan code review.. dan melanjutkan lagi projecnya untuk hari senin")</f>
        <v>hari ini mengikuti kegiatan quis dan code review.. dan melanjutkan lagi projecnya untuk hari senin</v>
      </c>
    </row>
    <row r="225">
      <c r="A225" s="43">
        <f>IFERROR(__xludf.DUMMYFUNCTION("""COMPUTED_VALUE"""),44113.38214385416)</f>
        <v>44113.38214</v>
      </c>
      <c r="B225" s="42" t="str">
        <f>IFERROR(__xludf.DUMMYFUNCTION("""COMPUTED_VALUE"""),"Wahyu Ramadhan")</f>
        <v>Wahyu Ramadhan</v>
      </c>
      <c r="C225" s="44">
        <f>IFERROR(__xludf.DUMMYFUNCTION("""COMPUTED_VALUE"""),36597.0)</f>
        <v>36597</v>
      </c>
      <c r="D225" s="42" t="str">
        <f>IFERROR(__xludf.DUMMYFUNCTION("""COMPUTED_VALUE"""),"membuat tampilan cart")</f>
        <v>membuat tampilan cart</v>
      </c>
      <c r="E225" s="42" t="str">
        <f>IFERROR(__xludf.DUMMYFUNCTION("""COMPUTED_VALUE"""),"membuat responsive tampilan, brantakan")</f>
        <v>membuat responsive tampilan, brantakan</v>
      </c>
      <c r="F225" s="42" t="str">
        <f>IFERROR(__xludf.DUMMYFUNCTION("""COMPUTED_VALUE"""),"inging menyelesaikan semua tampilan dulu, untuk setelah tampilan selesai baik responsive maupun tidak akan membuat reduxnya")</f>
        <v>inging menyelesaikan semua tampilan dulu, untuk setelah tampilan selesai baik responsive maupun tidak akan membuat reduxnya</v>
      </c>
    </row>
    <row r="226">
      <c r="A226" s="43">
        <f>IFERROR(__xludf.DUMMYFUNCTION("""COMPUTED_VALUE"""),44113.38357755787)</f>
        <v>44113.38358</v>
      </c>
      <c r="B226" s="42" t="str">
        <f>IFERROR(__xludf.DUMMYFUNCTION("""COMPUTED_VALUE"""),"Timotius Simanjuntak")</f>
        <v>Timotius Simanjuntak</v>
      </c>
      <c r="C226" s="44">
        <f>IFERROR(__xludf.DUMMYFUNCTION("""COMPUTED_VALUE"""),44113.0)</f>
        <v>44113</v>
      </c>
      <c r="D226" s="42" t="str">
        <f>IFERROR(__xludf.DUMMYFUNCTION("""COMPUTED_VALUE"""),"Menyelesaikan halaman login dan register user, dan mengerjakan halaman profile")</f>
        <v>Menyelesaikan halaman login dan register user, dan mengerjakan halaman profile</v>
      </c>
      <c r="E226" s="42"/>
      <c r="F226" s="42" t="str">
        <f>IFERROR(__xludf.DUMMYFUNCTION("""COMPUTED_VALUE"""),"menyelesaikan yang lain lain")</f>
        <v>menyelesaikan yang lain lain</v>
      </c>
    </row>
    <row r="227">
      <c r="A227" s="43">
        <f>IFERROR(__xludf.DUMMYFUNCTION("""COMPUTED_VALUE"""),44113.38624327546)</f>
        <v>44113.38624</v>
      </c>
      <c r="B227" s="42" t="str">
        <f>IFERROR(__xludf.DUMMYFUNCTION("""COMPUTED_VALUE"""),"Furoidah Chilmi")</f>
        <v>Furoidah Chilmi</v>
      </c>
      <c r="C227" s="44">
        <f>IFERROR(__xludf.DUMMYFUNCTION("""COMPUTED_VALUE"""),44113.0)</f>
        <v>44113</v>
      </c>
      <c r="D227" s="42" t="str">
        <f>IFERROR(__xludf.DUMMYFUNCTION("""COMPUTED_VALUE"""),"get my profile, address, cart")</f>
        <v>get my profile, address, cart</v>
      </c>
      <c r="E227" s="42" t="str">
        <f>IFERROR(__xludf.DUMMYFUNCTION("""COMPUTED_VALUE"""),"cant change input for address patch(?)")</f>
        <v>cant change input for address patch(?)</v>
      </c>
      <c r="F227" s="42" t="str">
        <f>IFERROR(__xludf.DUMMYFUNCTION("""COMPUTED_VALUE"""),"~")</f>
        <v>~</v>
      </c>
    </row>
    <row r="228">
      <c r="A228" s="43">
        <f>IFERROR(__xludf.DUMMYFUNCTION("""COMPUTED_VALUE"""),44113.38683967592)</f>
        <v>44113.38684</v>
      </c>
      <c r="B228" s="42" t="str">
        <f>IFERROR(__xludf.DUMMYFUNCTION("""COMPUTED_VALUE"""),"Muhammad Abdurasyid")</f>
        <v>Muhammad Abdurasyid</v>
      </c>
      <c r="C228" s="44">
        <f>IFERROR(__xludf.DUMMYFUNCTION("""COMPUTED_VALUE"""),44113.0)</f>
        <v>44113</v>
      </c>
      <c r="D228" s="42" t="str">
        <f>IFERROR(__xludf.DUMMYFUNCTION("""COMPUTED_VALUE"""),"1. Melakukan sedikit ubahan pada backend dgn menambahkan kolom id &amp; category_id pada item model fungsi getItemsByColumn
2. Slicing halaman:
- List produk berdasarkan kategori
- Profile customer
- Alamat pengiriman customer
3. Menggunakan redux utk store d"&amp;"ata dari produk yg dilihat berdasarkan kategori")</f>
        <v>1. Melakukan sedikit ubahan pada backend dgn menambahkan kolom id &amp; category_id pada item model fungsi getItemsByColumn
2. Slicing halaman:
- List produk berdasarkan kategori
- Profile customer
- Alamat pengiriman customer
3. Menggunakan redux utk store data dari produk yg dilihat berdasarkan kategori</v>
      </c>
      <c r="E228" s="42" t="str">
        <f>IFERROR(__xludf.DUMMYFUNCTION("""COMPUTED_VALUE"""),"Utk slicing sebuah halaman terkadang membutuhkan waktu yg agak lama dikarenakan saya harus melihat dokumentasi reacstrap atau bootstrap")</f>
        <v>Utk slicing sebuah halaman terkadang membutuhkan waktu yg agak lama dikarenakan saya harus melihat dokumentasi reacstrap atau bootstrap</v>
      </c>
      <c r="F228" s="42" t="str">
        <f>IFERROR(__xludf.DUMMYFUNCTION("""COMPUTED_VALUE"""),"Slicing halaman my cart &amp; checkout")</f>
        <v>Slicing halaman my cart &amp; checkout</v>
      </c>
    </row>
    <row r="229">
      <c r="A229" s="43">
        <f>IFERROR(__xludf.DUMMYFUNCTION("""COMPUTED_VALUE"""),44113.39095165509)</f>
        <v>44113.39095</v>
      </c>
      <c r="B229" s="42" t="str">
        <f>IFERROR(__xludf.DUMMYFUNCTION("""COMPUTED_VALUE"""),"Iqbal Athorid")</f>
        <v>Iqbal Athorid</v>
      </c>
      <c r="C229" s="44">
        <f>IFERROR(__xludf.DUMMYFUNCTION("""COMPUTED_VALUE"""),44113.0)</f>
        <v>44113</v>
      </c>
      <c r="D229" s="42" t="str">
        <f>IFERROR(__xludf.DUMMYFUNCTION("""COMPUTED_VALUE"""),"changed cart to resposive using media query, slicing Profile(myProfile),learn react-image-galery package")</f>
        <v>changed cart to resposive using media query, slicing Profile(myProfile),learn react-image-galery package</v>
      </c>
      <c r="E229" s="42" t="str">
        <f>IFERROR(__xludf.DUMMYFUNCTION("""COMPUTED_VALUE"""),"image display on cart")</f>
        <v>image display on cart</v>
      </c>
      <c r="F229" s="42" t="str">
        <f>IFERROR(__xludf.DUMMYFUNCTION("""COMPUTED_VALUE"""),"slice profile,details,checkout")</f>
        <v>slice profile,details,checkout</v>
      </c>
    </row>
    <row r="230">
      <c r="A230" s="43">
        <f>IFERROR(__xludf.DUMMYFUNCTION("""COMPUTED_VALUE"""),44113.399178437496)</f>
        <v>44113.39918</v>
      </c>
      <c r="B230" s="42" t="str">
        <f>IFERROR(__xludf.DUMMYFUNCTION("""COMPUTED_VALUE"""),"Muhammad")</f>
        <v>Muhammad</v>
      </c>
      <c r="C230" s="44">
        <f>IFERROR(__xludf.DUMMYFUNCTION("""COMPUTED_VALUE"""),44113.0)</f>
        <v>44113</v>
      </c>
      <c r="D230" s="42" t="str">
        <f>IFERROR(__xludf.DUMMYFUNCTION("""COMPUTED_VALUE"""),"Create design for login, register and navbar")</f>
        <v>Create design for login, register and navbar</v>
      </c>
      <c r="E230" s="42"/>
      <c r="F230" s="42" t="str">
        <f>IFERROR(__xludf.DUMMYFUNCTION("""COMPUTED_VALUE"""),"Design for page home, cart")</f>
        <v>Design for page home, cart</v>
      </c>
    </row>
    <row r="231">
      <c r="A231" s="43">
        <f>IFERROR(__xludf.DUMMYFUNCTION("""COMPUTED_VALUE"""),44113.40228488426)</f>
        <v>44113.40228</v>
      </c>
      <c r="B231" s="42" t="str">
        <f>IFERROR(__xludf.DUMMYFUNCTION("""COMPUTED_VALUE"""),"Ahmad Asrofi")</f>
        <v>Ahmad Asrofi</v>
      </c>
      <c r="C231" s="44">
        <f>IFERROR(__xludf.DUMMYFUNCTION("""COMPUTED_VALUE"""),44113.0)</f>
        <v>44113</v>
      </c>
      <c r="D231" s="42" t="str">
        <f>IFERROR(__xludf.DUMMYFUNCTION("""COMPUTED_VALUE"""),"creating detail and item category page. ")</f>
        <v>creating detail and item category page. </v>
      </c>
      <c r="E231" s="42" t="str">
        <f>IFERROR(__xludf.DUMMYFUNCTION("""COMPUTED_VALUE"""),"i got problem when i want to create a button ""buy now"" in detail page. the button move to a new line when i give the width is 50%. thats all my problem, because i still create pages, and have not implement redux and private route yet")</f>
        <v>i got problem when i want to create a button "buy now" in detail page. the button move to a new line when i give the width is 50%. thats all my problem, because i still create pages, and have not implement redux and private route yet</v>
      </c>
      <c r="F231" s="42" t="str">
        <f>IFERROR(__xludf.DUMMYFUNCTION("""COMPUTED_VALUE"""),"i will create another page and implement redux in those pages")</f>
        <v>i will create another page and implement redux in those pages</v>
      </c>
    </row>
    <row r="232">
      <c r="A232" s="43">
        <f>IFERROR(__xludf.DUMMYFUNCTION("""COMPUTED_VALUE"""),44113.40610825231)</f>
        <v>44113.40611</v>
      </c>
      <c r="B232" s="42" t="str">
        <f>IFERROR(__xludf.DUMMYFUNCTION("""COMPUTED_VALUE"""),"Muhamad Faris Alkodri")</f>
        <v>Muhamad Faris Alkodri</v>
      </c>
      <c r="C232" s="44">
        <f>IFERROR(__xludf.DUMMYFUNCTION("""COMPUTED_VALUE"""),44113.0)</f>
        <v>44113</v>
      </c>
      <c r="D232" s="42" t="str">
        <f>IFERROR(__xludf.DUMMYFUNCTION("""COMPUTED_VALUE"""),"setting up navbar to be functional component so no need to pass props on every parent's component of navbar")</f>
        <v>setting up navbar to be functional component so no need to pass props on every parent's component of navbar</v>
      </c>
      <c r="E232" s="42" t="str">
        <f>IFERROR(__xludf.DUMMYFUNCTION("""COMPUTED_VALUE"""),"my problem are understanding hooks")</f>
        <v>my problem are understanding hooks</v>
      </c>
      <c r="F232" s="42" t="str">
        <f>IFERROR(__xludf.DUMMYFUNCTION("""COMPUTED_VALUE"""),"I want to continue slicing elements that needed in this project")</f>
        <v>I want to continue slicing elements that needed in this project</v>
      </c>
    </row>
    <row r="233">
      <c r="A233" s="43">
        <f>IFERROR(__xludf.DUMMYFUNCTION("""COMPUTED_VALUE"""),44116.38620409722)</f>
        <v>44116.3862</v>
      </c>
      <c r="B233" s="42" t="str">
        <f>IFERROR(__xludf.DUMMYFUNCTION("""COMPUTED_VALUE"""),"Muhammad Abdurasyid")</f>
        <v>Muhammad Abdurasyid</v>
      </c>
      <c r="C233" s="44">
        <f>IFERROR(__xludf.DUMMYFUNCTION("""COMPUTED_VALUE"""),44116.0)</f>
        <v>44116</v>
      </c>
      <c r="D233" s="42" t="str">
        <f>IFERROR(__xludf.DUMMYFUNCTION("""COMPUTED_VALUE"""),"Backend:
1. Merubah response code menjadi 401 ketika email atau password user salah saat proses login
Frontend:
1. Slicing halaman cart &amp; checkout
2. Menggunakan redux utk proses store data login customer")</f>
        <v>Backend:
1. Merubah response code menjadi 401 ketika email atau password user salah saat proses login
Frontend:
1. Slicing halaman cart &amp; checkout
2. Menggunakan redux utk proses store data login customer</v>
      </c>
      <c r="E233" s="42"/>
      <c r="F233" s="42" t="str">
        <f>IFERROR(__xludf.DUMMYFUNCTION("""COMPUTED_VALUE"""),"Menggunakan redux utk proses get profile &amp; alamat pengiriman customer")</f>
        <v>Menggunakan redux utk proses get profile &amp; alamat pengiriman customer</v>
      </c>
    </row>
    <row r="234">
      <c r="A234" s="43">
        <f>IFERROR(__xludf.DUMMYFUNCTION("""COMPUTED_VALUE"""),44116.390262835645)</f>
        <v>44116.39026</v>
      </c>
      <c r="B234" s="42" t="str">
        <f>IFERROR(__xludf.DUMMYFUNCTION("""COMPUTED_VALUE"""),"Fahmi Aziz Ismail")</f>
        <v>Fahmi Aziz Ismail</v>
      </c>
      <c r="C234" s="44">
        <f>IFERROR(__xludf.DUMMYFUNCTION("""COMPUTED_VALUE"""),44116.0)</f>
        <v>44116</v>
      </c>
      <c r="D234" s="42" t="str">
        <f>IFERROR(__xludf.DUMMYFUNCTION("""COMPUTED_VALUE"""),"membuat fungsi register, menampilkan data profile")</f>
        <v>membuat fungsi register, menampilkan data profile</v>
      </c>
      <c r="E234" s="42" t="str">
        <f>IFERROR(__xludf.DUMMYFUNCTION("""COMPUTED_VALUE"""),"sulit mengatur tata letak navbar")</f>
        <v>sulit mengatur tata letak navbar</v>
      </c>
      <c r="F234" s="42" t="str">
        <f>IFERROR(__xludf.DUMMYFUNCTION("""COMPUTED_VALUE"""),"membuat fungsi update profile, membuat fungsi update address, edit address")</f>
        <v>membuat fungsi update profile, membuat fungsi update address, edit address</v>
      </c>
    </row>
    <row r="235">
      <c r="A235" s="43">
        <f>IFERROR(__xludf.DUMMYFUNCTION("""COMPUTED_VALUE"""),44117.37834123842)</f>
        <v>44117.37834</v>
      </c>
      <c r="B235" s="42" t="str">
        <f>IFERROR(__xludf.DUMMYFUNCTION("""COMPUTED_VALUE"""),"Muhamad Faris Alkodri")</f>
        <v>Muhamad Faris Alkodri</v>
      </c>
      <c r="C235" s="44">
        <f>IFERROR(__xludf.DUMMYFUNCTION("""COMPUTED_VALUE"""),44117.0)</f>
        <v>44117</v>
      </c>
      <c r="D235" s="42" t="str">
        <f>IFERROR(__xludf.DUMMYFUNCTION("""COMPUTED_VALUE"""),"Slicing components in public get all items and get detail items")</f>
        <v>Slicing components in public get all items and get detail items</v>
      </c>
      <c r="E235" s="42" t="str">
        <f>IFERROR(__xludf.DUMMYFUNCTION("""COMPUTED_VALUE"""),"I had a fever an sore throat a few days ago and didnt attend class nor slicing much component and got rest for days")</f>
        <v>I had a fever an sore throat a few days ago and didnt attend class nor slicing much component and got rest for days</v>
      </c>
      <c r="F235" s="42" t="str">
        <f>IFERROR(__xludf.DUMMYFUNCTION("""COMPUTED_VALUE"""),"I want to continue my slicing and also put or patch the data that needed in my project")</f>
        <v>I want to continue my slicing and also put or patch the data that needed in my project</v>
      </c>
    </row>
    <row r="236">
      <c r="A236" s="43">
        <f>IFERROR(__xludf.DUMMYFUNCTION("""COMPUTED_VALUE"""),44117.38134627315)</f>
        <v>44117.38135</v>
      </c>
      <c r="B236" s="42" t="str">
        <f>IFERROR(__xludf.DUMMYFUNCTION("""COMPUTED_VALUE"""),"Muhammad Abdurasyid")</f>
        <v>Muhammad Abdurasyid</v>
      </c>
      <c r="C236" s="44">
        <f>IFERROR(__xludf.DUMMYFUNCTION("""COMPUTED_VALUE"""),44117.0)</f>
        <v>44117</v>
      </c>
      <c r="D236" s="42" t="str">
        <f>IFERROR(__xludf.DUMMYFUNCTION("""COMPUTED_VALUE"""),"1. Formatting teks harga dgn menggunakan fungsi replace &amp; regex
2. Set value dari DB utk input gender &amp; birthday di halaman profile customer
3. Membuat input type file menerima file dgn ekstensi .png, .jpg, .jpeg ketika upload foto profil
4. Memindahkan t"&amp;"rigger utk action getCustomerProfile menjadi di saat proses login, karena statenya dapat digunakan utk menampilkan foto profil di navbar
5. Menambahkan conditional rendering ketika foto profil customer masih kosong maka yg ditampilkan adalah avatar
6. Men"&amp;"ghubungkan ke backend utk proses update profil customer
7. Menambahkan redux utk store quantity pada halaman detail produk")</f>
        <v>1. Formatting teks harga dgn menggunakan fungsi replace &amp; regex
2. Set value dari DB utk input gender &amp; birthday di halaman profile customer
3. Membuat input type file menerima file dgn ekstensi .png, .jpg, .jpeg ketika upload foto profil
4. Memindahkan trigger utk action getCustomerProfile menjadi di saat proses login, karena statenya dapat digunakan utk menampilkan foto profil di navbar
5. Menambahkan conditional rendering ketika foto profil customer masih kosong maka yg ditampilkan adalah avatar
6. Menghubungkan ke backend utk proses update profil customer
7. Menambahkan redux utk store quantity pada halaman detail produk</v>
      </c>
      <c r="E236" s="42"/>
      <c r="F236" s="42" t="str">
        <f>IFERROR(__xludf.DUMMYFUNCTION("""COMPUTED_VALUE"""),"1. Menambahkan fungsi addToCart ketika button add bag diklik
2. Menampilkan data cart dari customer di halaman my bag
3. Membuat proses checkout")</f>
        <v>1. Menambahkan fungsi addToCart ketika button add bag diklik
2. Menampilkan data cart dari customer di halaman my bag
3. Membuat proses checkout</v>
      </c>
    </row>
    <row r="237">
      <c r="A237" s="43">
        <f>IFERROR(__xludf.DUMMYFUNCTION("""COMPUTED_VALUE"""),44117.547136064815)</f>
        <v>44117.54714</v>
      </c>
      <c r="B237" s="42" t="str">
        <f>IFERROR(__xludf.DUMMYFUNCTION("""COMPUTED_VALUE"""),"Furoidah Chilmi")</f>
        <v>Furoidah Chilmi</v>
      </c>
      <c r="C237" s="44">
        <f>IFERROR(__xludf.DUMMYFUNCTION("""COMPUTED_VALUE"""),44117.0)</f>
        <v>44117</v>
      </c>
      <c r="D237" s="42" t="str">
        <f>IFERROR(__xludf.DUMMYFUNCTION("""COMPUTED_VALUE"""),"Baru berhasil load page product dan home tanpa perlu refresh ")</f>
        <v>Baru berhasil load page product dan home tanpa perlu refresh </v>
      </c>
      <c r="E237" s="42" t="str">
        <f>IFERROR(__xludf.DUMMYFUNCTION("""COMPUTED_VALUE"""),"Belum ada karena belum nyoba yg lain")</f>
        <v>Belum ada karena belum nyoba yg lain</v>
      </c>
      <c r="F237" s="42" t="str">
        <f>IFERROR(__xludf.DUMMYFUNCTION("""COMPUTED_VALUE"""),"Patch profile dan post cart ")</f>
        <v>Patch profile dan post cart </v>
      </c>
    </row>
    <row r="238">
      <c r="A238" s="43">
        <f>IFERROR(__xludf.DUMMYFUNCTION("""COMPUTED_VALUE"""),44117.548612569444)</f>
        <v>44117.54861</v>
      </c>
      <c r="B238" s="42" t="str">
        <f>IFERROR(__xludf.DUMMYFUNCTION("""COMPUTED_VALUE"""),"Fahmi Aziz Ismail")</f>
        <v>Fahmi Aziz Ismail</v>
      </c>
      <c r="C238" s="44">
        <f>IFERROR(__xludf.DUMMYFUNCTION("""COMPUTED_VALUE"""),44117.0)</f>
        <v>44117</v>
      </c>
      <c r="D238" s="42" t="str">
        <f>IFERROR(__xludf.DUMMYFUNCTION("""COMPUTED_VALUE"""),"membuat fungsi update profile")</f>
        <v>membuat fungsi update profile</v>
      </c>
      <c r="E238" s="42" t="str">
        <f>IFERROR(__xludf.DUMMYFUNCTION("""COMPUTED_VALUE"""),"jika ada form yang tidak terisi masih terupload string kosong")</f>
        <v>jika ada form yang tidak terisi masih terupload string kosong</v>
      </c>
      <c r="F238" s="42" t="str">
        <f>IFERROR(__xludf.DUMMYFUNCTION("""COMPUTED_VALUE"""),"memperbaiki fungsi update profile partial")</f>
        <v>memperbaiki fungsi update profile partial</v>
      </c>
    </row>
    <row r="239">
      <c r="A239" s="43">
        <f>IFERROR(__xludf.DUMMYFUNCTION("""COMPUTED_VALUE"""),44117.548870659724)</f>
        <v>44117.54887</v>
      </c>
      <c r="B239" s="42" t="str">
        <f>IFERROR(__xludf.DUMMYFUNCTION("""COMPUTED_VALUE"""),"Ahmad Fatkhul Amam")</f>
        <v>Ahmad Fatkhul Amam</v>
      </c>
      <c r="C239" s="44">
        <f>IFERROR(__xludf.DUMMYFUNCTION("""COMPUTED_VALUE"""),44117.0)</f>
        <v>44117</v>
      </c>
      <c r="D239" s="42" t="str">
        <f>IFERROR(__xludf.DUMMYFUNCTION("""COMPUTED_VALUE"""),"making page style for user flow")</f>
        <v>making page style for user flow</v>
      </c>
      <c r="E239" s="42" t="str">
        <f>IFERROR(__xludf.DUMMYFUNCTION("""COMPUTED_VALUE"""),"using react component for make frontend")</f>
        <v>using react component for make frontend</v>
      </c>
      <c r="F239" s="42" t="str">
        <f>IFERROR(__xludf.DUMMYFUNCTION("""COMPUTED_VALUE"""),"getting data from backend")</f>
        <v>getting data from backend</v>
      </c>
    </row>
    <row r="240">
      <c r="A240" s="43">
        <f>IFERROR(__xludf.DUMMYFUNCTION("""COMPUTED_VALUE"""),44117.54949188657)</f>
        <v>44117.54949</v>
      </c>
      <c r="B240" s="42" t="str">
        <f>IFERROR(__xludf.DUMMYFUNCTION("""COMPUTED_VALUE"""),"Pramesti Regita Cahyani")</f>
        <v>Pramesti Regita Cahyani</v>
      </c>
      <c r="C240" s="44">
        <f>IFERROR(__xludf.DUMMYFUNCTION("""COMPUTED_VALUE"""),44117.0)</f>
        <v>44117</v>
      </c>
      <c r="D240" s="42" t="str">
        <f>IFERROR(__xludf.DUMMYFUNCTION("""COMPUTED_VALUE"""),"membuat error handling ketika undefined, membuat action untuk register")</f>
        <v>membuat error handling ketika undefined, membuat action untuk register</v>
      </c>
      <c r="E240" s="42" t="str">
        <f>IFERROR(__xludf.DUMMYFUNCTION("""COMPUTED_VALUE"""),"mencari darimana yang undefined")</f>
        <v>mencari darimana yang undefined</v>
      </c>
      <c r="F240" s="42" t="str">
        <f>IFERROR(__xludf.DUMMYFUNCTION("""COMPUTED_VALUE"""),"menyelesaikan flow register dan membuat action untuk recomendation")</f>
        <v>menyelesaikan flow register dan membuat action untuk recomendation</v>
      </c>
    </row>
    <row r="241">
      <c r="A241" s="43">
        <f>IFERROR(__xludf.DUMMYFUNCTION("""COMPUTED_VALUE"""),44117.55101696759)</f>
        <v>44117.55102</v>
      </c>
      <c r="B241" s="42" t="str">
        <f>IFERROR(__xludf.DUMMYFUNCTION("""COMPUTED_VALUE"""),"Muhammad")</f>
        <v>Muhammad</v>
      </c>
      <c r="C241" s="44">
        <f>IFERROR(__xludf.DUMMYFUNCTION("""COMPUTED_VALUE"""),44117.0)</f>
        <v>44117</v>
      </c>
      <c r="D241" s="42" t="str">
        <f>IFERROR(__xludf.DUMMYFUNCTION("""COMPUTED_VALUE"""),"GET data category
Implementation auth for login")</f>
        <v>GET data category
Implementation auth for login</v>
      </c>
      <c r="E241" s="42" t="str">
        <f>IFERROR(__xludf.DUMMYFUNCTION("""COMPUTED_VALUE"""),"login and signup not working when submit")</f>
        <v>login and signup not working when submit</v>
      </c>
      <c r="F241" s="42" t="str">
        <f>IFERROR(__xludf.DUMMYFUNCTION("""COMPUTED_VALUE"""),"fix login auth and signup user
and Implementation edit user profile")</f>
        <v>fix login auth and signup user
and Implementation edit user profile</v>
      </c>
    </row>
    <row r="242">
      <c r="A242" s="43">
        <f>IFERROR(__xludf.DUMMYFUNCTION("""COMPUTED_VALUE"""),44117.551739849536)</f>
        <v>44117.55174</v>
      </c>
      <c r="B242" s="42" t="str">
        <f>IFERROR(__xludf.DUMMYFUNCTION("""COMPUTED_VALUE"""),"Ahmad Asrofi")</f>
        <v>Ahmad Asrofi</v>
      </c>
      <c r="C242" s="44">
        <f>IFERROR(__xludf.DUMMYFUNCTION("""COMPUTED_VALUE"""),44117.0)</f>
        <v>44117</v>
      </c>
      <c r="D242" s="42" t="str">
        <f>IFERROR(__xludf.DUMMYFUNCTION("""COMPUTED_VALUE"""),"finishing Profile page and implementing redux on that page. for user profile and shipping address")</f>
        <v>finishing Profile page and implementing redux on that page. for user profile and shipping address</v>
      </c>
      <c r="E242" s="42" t="str">
        <f>IFERROR(__xludf.DUMMYFUNCTION("""COMPUTED_VALUE"""),"i wanted to implement local storage, but i didnt know what should i put in there. every time i changed my code on private route,  it always back to Login page.")</f>
        <v>i wanted to implement local storage, but i didnt know what should i put in there. every time i changed my code on private route,  it always back to Login page.</v>
      </c>
      <c r="F242" s="42" t="str">
        <f>IFERROR(__xludf.DUMMYFUNCTION("""COMPUTED_VALUE"""),"i will implement redux on Register page")</f>
        <v>i will implement redux on Register page</v>
      </c>
    </row>
    <row r="243">
      <c r="A243" s="43">
        <f>IFERROR(__xludf.DUMMYFUNCTION("""COMPUTED_VALUE"""),44117.55245427083)</f>
        <v>44117.55245</v>
      </c>
      <c r="B243" s="42" t="str">
        <f>IFERROR(__xludf.DUMMYFUNCTION("""COMPUTED_VALUE"""),"Wahyu Ramadhan")</f>
        <v>Wahyu Ramadhan</v>
      </c>
      <c r="C243" s="44">
        <f>IFERROR(__xludf.DUMMYFUNCTION("""COMPUTED_VALUE"""),36597.0)</f>
        <v>36597</v>
      </c>
      <c r="D243" s="42" t="str">
        <f>IFERROR(__xludf.DUMMYFUNCTION("""COMPUTED_VALUE"""),"menyelesaikan semua page untuk customer")</f>
        <v>menyelesaikan semua page untuk customer</v>
      </c>
      <c r="E243" s="42" t="str">
        <f>IFERROR(__xludf.DUMMYFUNCTION("""COMPUTED_VALUE"""),"no")</f>
        <v>no</v>
      </c>
      <c r="F243" s="42" t="str">
        <f>IFERROR(__xludf.DUMMYFUNCTION("""COMPUTED_VALUE"""),"membuat fungsi-fungsi seperti update user, post register, post transaksi")</f>
        <v>membuat fungsi-fungsi seperti update user, post register, post transaksi</v>
      </c>
    </row>
    <row r="244">
      <c r="A244" s="43">
        <f>IFERROR(__xludf.DUMMYFUNCTION("""COMPUTED_VALUE"""),44117.55382901621)</f>
        <v>44117.55383</v>
      </c>
      <c r="B244" s="42" t="str">
        <f>IFERROR(__xludf.DUMMYFUNCTION("""COMPUTED_VALUE"""),"Rezha Maulana Jaya")</f>
        <v>Rezha Maulana Jaya</v>
      </c>
      <c r="C244" s="44">
        <f>IFERROR(__xludf.DUMMYFUNCTION("""COMPUTED_VALUE"""),44117.0)</f>
        <v>44117</v>
      </c>
      <c r="D244" s="42" t="str">
        <f>IFERROR(__xludf.DUMMYFUNCTION("""COMPUTED_VALUE"""),"mengimplementasi redux , menyelesaikan page customer mybag homepage sudah dapat data dari backend dengan menggunakan state management,navbar sebelum login dan sesudah login , carousel sudah sesuai mockup miss beda warna di button next prev, page login reg"&amp;"ister,detail items page, profil masih hardcode")</f>
        <v>mengimplementasi redux , menyelesaikan page customer mybag homepage sudah dapat data dari backend dengan menggunakan state management,navbar sebelum login dan sesudah login , carousel sudah sesuai mockup miss beda warna di button next prev, page login register,detail items page, profil masih hardcode</v>
      </c>
      <c r="E244" s="42" t="str">
        <f>IFERROR(__xludf.DUMMYFUNCTION("""COMPUTED_VALUE"""),"implementasi redux-logger ,post dan put di redux masih di ulik")</f>
        <v>implementasi redux-logger ,post dan put di redux masih di ulik</v>
      </c>
      <c r="F244" s="42" t="str">
        <f>IFERROR(__xludf.DUMMYFUNCTION("""COMPUTED_VALUE"""),"profil dan login register  ")</f>
        <v>profil dan login register  </v>
      </c>
    </row>
    <row r="245">
      <c r="A245" s="43">
        <f>IFERROR(__xludf.DUMMYFUNCTION("""COMPUTED_VALUE"""),44117.55503270833)</f>
        <v>44117.55503</v>
      </c>
      <c r="B245" s="42" t="str">
        <f>IFERROR(__xludf.DUMMYFUNCTION("""COMPUTED_VALUE"""),"Satrio Nugroho")</f>
        <v>Satrio Nugroho</v>
      </c>
      <c r="C245" s="44">
        <f>IFERROR(__xludf.DUMMYFUNCTION("""COMPUTED_VALUE"""),44117.0)</f>
        <v>44117</v>
      </c>
      <c r="D245" s="42" t="str">
        <f>IFERROR(__xludf.DUMMYFUNCTION("""COMPUTED_VALUE"""),"Saya mengerjakan project front end tng membuat mockup di minggu ke 5 ... Dan mengerjakan yang flow user namun baru tampilan""nya saja untuk pengambilan data baru di login")</f>
        <v>Saya mengerjakan project front end tng membuat mockup di minggu ke 5 ... Dan mengerjakan yang flow user namun baru tampilan"nya saja untuk pengambilan data baru di login</v>
      </c>
      <c r="E245" s="42" t="str">
        <f>IFERROR(__xludf.DUMMYFUNCTION("""COMPUTED_VALUE"""),"Memahami redux masih bingung sempet ketinggalan materi")</f>
        <v>Memahami redux masih bingung sempet ketinggalan materi</v>
      </c>
      <c r="F245" s="42" t="str">
        <f>IFERROR(__xludf.DUMMYFUNCTION("""COMPUTED_VALUE"""),"Hari ini saya mengikuti materi baru dan setelah selesai saya akan melanjutkan project saya untuk dipresentasikan hari sabtu")</f>
        <v>Hari ini saya mengikuti materi baru dan setelah selesai saya akan melanjutkan project saya untuk dipresentasikan hari sabtu</v>
      </c>
    </row>
    <row r="246">
      <c r="A246" s="43">
        <f>IFERROR(__xludf.DUMMYFUNCTION("""COMPUTED_VALUE"""),44117.55658607639)</f>
        <v>44117.55659</v>
      </c>
      <c r="B246" s="42" t="str">
        <f>IFERROR(__xludf.DUMMYFUNCTION("""COMPUTED_VALUE"""),"Iqbal Athorid")</f>
        <v>Iqbal Athorid</v>
      </c>
      <c r="C246" s="44">
        <f>IFERROR(__xludf.DUMMYFUNCTION("""COMPUTED_VALUE"""),44117.0)</f>
        <v>44117</v>
      </c>
      <c r="D246" s="42" t="str">
        <f>IFERROR(__xludf.DUMMYFUNCTION("""COMPUTED_VALUE"""),"Styling Cart, Detail,Checkout")</f>
        <v>Styling Cart, Detail,Checkout</v>
      </c>
      <c r="E246" s="42"/>
      <c r="F246" s="42" t="str">
        <f>IFERROR(__xludf.DUMMYFUNCTION("""COMPUTED_VALUE"""),"Create profile,Transaction and redux")</f>
        <v>Create profile,Transaction and redux</v>
      </c>
    </row>
    <row r="247">
      <c r="A247" s="43">
        <f>IFERROR(__xludf.DUMMYFUNCTION("""COMPUTED_VALUE"""),44117.98983464121)</f>
        <v>44117.98983</v>
      </c>
      <c r="B247" s="42" t="str">
        <f>IFERROR(__xludf.DUMMYFUNCTION("""COMPUTED_VALUE"""),"Rezha Maulana Jaya")</f>
        <v>Rezha Maulana Jaya</v>
      </c>
      <c r="C247" s="44">
        <f>IFERROR(__xludf.DUMMYFUNCTION("""COMPUTED_VALUE"""),44117.0)</f>
        <v>44117</v>
      </c>
      <c r="D247" s="42" t="str">
        <f>IFERROR(__xludf.DUMMYFUNCTION("""COMPUTED_VALUE"""),"login sudah bisa ")</f>
        <v>login sudah bisa </v>
      </c>
      <c r="E247" s="42" t="str">
        <f>IFERROR(__xludf.DUMMYFUNCTION("""COMPUTED_VALUE"""),"implementasi localstorage lupa lagi")</f>
        <v>implementasi localstorage lupa lagi</v>
      </c>
      <c r="F247" s="42" t="str">
        <f>IFERROR(__xludf.DUMMYFUNCTION("""COMPUTED_VALUE"""),"masukin data backend ke detail item, nampilin category ,profile semuanya")</f>
        <v>masukin data backend ke detail item, nampilin category ,profile semuanya</v>
      </c>
    </row>
    <row r="248">
      <c r="A248" s="43">
        <f>IFERROR(__xludf.DUMMYFUNCTION("""COMPUTED_VALUE"""),44118.379175636575)</f>
        <v>44118.37918</v>
      </c>
      <c r="B248" s="42" t="str">
        <f>IFERROR(__xludf.DUMMYFUNCTION("""COMPUTED_VALUE"""),"Muhamad Faris Alkodri")</f>
        <v>Muhamad Faris Alkodri</v>
      </c>
      <c r="C248" s="44">
        <f>IFERROR(__xludf.DUMMYFUNCTION("""COMPUTED_VALUE"""),44118.0)</f>
        <v>44118</v>
      </c>
      <c r="D248" s="42" t="str">
        <f>IFERROR(__xludf.DUMMYFUNCTION("""COMPUTED_VALUE"""),"I have slicing detail items component, and going to slicing cart component, also with post cart component")</f>
        <v>I have slicing detail items component, and going to slicing cart component, also with post cart component</v>
      </c>
      <c r="E248" s="42" t="str">
        <f>IFERROR(__xludf.DUMMYFUNCTION("""COMPUTED_VALUE"""),"I have problem on doing it in pace because i think i couldn't do it in fast")</f>
        <v>I have problem on doing it in pace because i think i couldn't do it in fast</v>
      </c>
      <c r="F248" s="42" t="str">
        <f>IFERROR(__xludf.DUMMYFUNCTION("""COMPUTED_VALUE"""),"I am going to slicing checkout, transaction and profile components")</f>
        <v>I am going to slicing checkout, transaction and profile components</v>
      </c>
    </row>
    <row r="249">
      <c r="A249" s="43">
        <f>IFERROR(__xludf.DUMMYFUNCTION("""COMPUTED_VALUE"""),44118.379707500004)</f>
        <v>44118.37971</v>
      </c>
      <c r="B249" s="42" t="str">
        <f>IFERROR(__xludf.DUMMYFUNCTION("""COMPUTED_VALUE"""),"Ahmad Fatkhul Amam")</f>
        <v>Ahmad Fatkhul Amam</v>
      </c>
      <c r="C249" s="44">
        <f>IFERROR(__xludf.DUMMYFUNCTION("""COMPUTED_VALUE"""),44118.0)</f>
        <v>44118</v>
      </c>
      <c r="D249" s="42" t="str">
        <f>IFERROR(__xludf.DUMMYFUNCTION("""COMPUTED_VALUE"""),"make profile page and get data user from backend")</f>
        <v>make profile page and get data user from backend</v>
      </c>
      <c r="E249" s="42" t="str">
        <f>IFERROR(__xludf.DUMMYFUNCTION("""COMPUTED_VALUE"""),"i can't get user data from backend")</f>
        <v>i can't get user data from backend</v>
      </c>
      <c r="F249" s="42" t="str">
        <f>IFERROR(__xludf.DUMMYFUNCTION("""COMPUTED_VALUE"""),"get data user from backend")</f>
        <v>get data user from backend</v>
      </c>
    </row>
    <row r="250">
      <c r="A250" s="43">
        <f>IFERROR(__xludf.DUMMYFUNCTION("""COMPUTED_VALUE"""),44118.38051351852)</f>
        <v>44118.38051</v>
      </c>
      <c r="B250" s="42" t="str">
        <f>IFERROR(__xludf.DUMMYFUNCTION("""COMPUTED_VALUE"""),"Fahmi Aziz Ismail")</f>
        <v>Fahmi Aziz Ismail</v>
      </c>
      <c r="C250" s="44">
        <f>IFERROR(__xludf.DUMMYFUNCTION("""COMPUTED_VALUE"""),44118.0)</f>
        <v>44118</v>
      </c>
      <c r="D250" s="42" t="str">
        <f>IFERROR(__xludf.DUMMYFUNCTION("""COMPUTED_VALUE"""),"edit profile")</f>
        <v>edit profile</v>
      </c>
      <c r="E250" s="42" t="str">
        <f>IFERROR(__xludf.DUMMYFUNCTION("""COMPUTED_VALUE"""),"belum bisa mengupdate bila value ditampilkan jadi masih memakai placeholder jika tidak diisi dan disave maka akan terkirim string kosong dan terupdate")</f>
        <v>belum bisa mengupdate bila value ditampilkan jadi masih memakai placeholder jika tidak diisi dan disave maka akan terkirim string kosong dan terupdate</v>
      </c>
      <c r="F250" s="42" t="str">
        <f>IFERROR(__xludf.DUMMYFUNCTION("""COMPUTED_VALUE"""),"membuat fungsi cart, checkout, dan address")</f>
        <v>membuat fungsi cart, checkout, dan address</v>
      </c>
    </row>
    <row r="251">
      <c r="A251" s="43">
        <f>IFERROR(__xludf.DUMMYFUNCTION("""COMPUTED_VALUE"""),44118.38276543982)</f>
        <v>44118.38277</v>
      </c>
      <c r="B251" s="42" t="str">
        <f>IFERROR(__xludf.DUMMYFUNCTION("""COMPUTED_VALUE"""),"Wahyu Ramadhan")</f>
        <v>Wahyu Ramadhan</v>
      </c>
      <c r="C251" s="44">
        <f>IFERROR(__xludf.DUMMYFUNCTION("""COMPUTED_VALUE"""),44118.0)</f>
        <v>44118</v>
      </c>
      <c r="D251" s="42" t="str">
        <f>IFERROR(__xludf.DUMMYFUNCTION("""COMPUTED_VALUE"""),"Membuat tampilan register beserta fungsinya, membuat navbar ketika login dan tidak login, membuat update put profile tanpa image, add chart di halaman detail ketika belum login dialihkan ke halaman login, membuat post  dan get address tapi tidak bisa di t"&amp;"ampilkan")</f>
        <v>Membuat tampilan register beserta fungsinya, membuat navbar ketika login dan tidak login, membuat update put profile tanpa image, add chart di halaman detail ketika belum login dialihkan ke halaman login, membuat post  dan get address tapi tidak bisa di tampilkan</v>
      </c>
      <c r="E251" s="42" t="str">
        <f>IFERROR(__xludf.DUMMYFUNCTION("""COMPUTED_VALUE"""),"cara menampilkan data yang dikirim melalui props dan masih ngambang tentang react, menampilkan date dari db di form date")</f>
        <v>cara menampilkan data yang dikirim melalui props dan masih ngambang tentang react, menampilkan date dari db di form date</v>
      </c>
      <c r="F251" s="42" t="str">
        <f>IFERROR(__xludf.DUMMYFUNCTION("""COMPUTED_VALUE"""),"membuat backend untuk checkout jika sempat, mengedit ukuran pada tag2 di tampilan, mencari solve untuk get address")</f>
        <v>membuat backend untuk checkout jika sempat, mengedit ukuran pada tag2 di tampilan, mencari solve untuk get address</v>
      </c>
    </row>
    <row r="252">
      <c r="A252" s="43">
        <f>IFERROR(__xludf.DUMMYFUNCTION("""COMPUTED_VALUE"""),44118.3834146875)</f>
        <v>44118.38341</v>
      </c>
      <c r="B252" s="42" t="str">
        <f>IFERROR(__xludf.DUMMYFUNCTION("""COMPUTED_VALUE"""),"Ahmad Asrofi")</f>
        <v>Ahmad Asrofi</v>
      </c>
      <c r="C252" s="44">
        <f>IFERROR(__xludf.DUMMYFUNCTION("""COMPUTED_VALUE"""),44118.0)</f>
        <v>44118</v>
      </c>
      <c r="D252" s="42" t="str">
        <f>IFERROR(__xludf.DUMMYFUNCTION("""COMPUTED_VALUE"""),"implement redux and manipulate data in register page, profile page for shipping address, implement local storage")</f>
        <v>implement redux and manipulate data in register page, profile page for shipping address, implement local storage</v>
      </c>
      <c r="E252" s="42" t="str">
        <f>IFERROR(__xludf.DUMMYFUNCTION("""COMPUTED_VALUE"""),"i got problem when i wanted to change value from redux. i cant change them")</f>
        <v>i got problem when i wanted to change value from redux. i cant change them</v>
      </c>
      <c r="F252" s="42" t="str">
        <f>IFERROR(__xludf.DUMMYFUNCTION("""COMPUTED_VALUE"""),"i want to implement pagination, search and sort, trial and fix for customer flow")</f>
        <v>i want to implement pagination, search and sort, trial and fix for customer flow</v>
      </c>
    </row>
    <row r="253">
      <c r="A253" s="43">
        <f>IFERROR(__xludf.DUMMYFUNCTION("""COMPUTED_VALUE"""),44118.3849952662)</f>
        <v>44118.385</v>
      </c>
      <c r="B253" s="42" t="str">
        <f>IFERROR(__xludf.DUMMYFUNCTION("""COMPUTED_VALUE"""),"Pramesti Regita Cahyani")</f>
        <v>Pramesti Regita Cahyani</v>
      </c>
      <c r="C253" s="44">
        <f>IFERROR(__xludf.DUMMYFUNCTION("""COMPUTED_VALUE"""),44118.0)</f>
        <v>44118</v>
      </c>
      <c r="D253" s="42" t="str">
        <f>IFERROR(__xludf.DUMMYFUNCTION("""COMPUTED_VALUE"""),"Menyelesaikan flow register, membuat action untuk edit user, membuat action untuk logout")</f>
        <v>Menyelesaikan flow register, membuat action untuk edit user, membuat action untuk logout</v>
      </c>
      <c r="E253" s="42" t="str">
        <f>IFERROR(__xludf.DUMMYFUNCTION("""COMPUTED_VALUE"""),"masih harus login lagi ketika di refresh")</f>
        <v>masih harus login lagi ketika di refresh</v>
      </c>
      <c r="F253" s="42" t="str">
        <f>IFERROR(__xludf.DUMMYFUNCTION("""COMPUTED_VALUE"""),"menyelesaikan edit user dan edit profile picture, mengatasi agar tidak login kembali ketika di refresh")</f>
        <v>menyelesaikan edit user dan edit profile picture, mengatasi agar tidak login kembali ketika di refresh</v>
      </c>
    </row>
    <row r="254">
      <c r="A254" s="43">
        <f>IFERROR(__xludf.DUMMYFUNCTION("""COMPUTED_VALUE"""),44118.38519498843)</f>
        <v>44118.38519</v>
      </c>
      <c r="B254" s="42" t="str">
        <f>IFERROR(__xludf.DUMMYFUNCTION("""COMPUTED_VALUE"""),"Muhammad")</f>
        <v>Muhammad</v>
      </c>
      <c r="C254" s="44">
        <f>IFERROR(__xludf.DUMMYFUNCTION("""COMPUTED_VALUE"""),44118.0)</f>
        <v>44118</v>
      </c>
      <c r="D254" s="42" t="str">
        <f>IFERROR(__xludf.DUMMYFUNCTION("""COMPUTED_VALUE"""),"fix login and signup
updated props on form profile account")</f>
        <v>fix login and signup
updated props on form profile account</v>
      </c>
      <c r="E254" s="42" t="str">
        <f>IFERROR(__xludf.DUMMYFUNCTION("""COMPUTED_VALUE"""),"login and signup not jump to link directly")</f>
        <v>login and signup not jump to link directly</v>
      </c>
      <c r="F254" s="42" t="str">
        <f>IFERROR(__xludf.DUMMYFUNCTION("""COMPUTED_VALUE"""),"manipulation data on form profile account
implement search product
and change navbar to after login")</f>
        <v>manipulation data on form profile account
implement search product
and change navbar to after login</v>
      </c>
    </row>
    <row r="255">
      <c r="A255" s="43">
        <f>IFERROR(__xludf.DUMMYFUNCTION("""COMPUTED_VALUE"""),44118.38629394676)</f>
        <v>44118.38629</v>
      </c>
      <c r="B255" s="42" t="str">
        <f>IFERROR(__xludf.DUMMYFUNCTION("""COMPUTED_VALUE"""),"Muhammad Abdurasyid")</f>
        <v>Muhammad Abdurasyid</v>
      </c>
      <c r="C255" s="44">
        <f>IFERROR(__xludf.DUMMYFUNCTION("""COMPUTED_VALUE"""),44118.0)</f>
        <v>44118</v>
      </c>
      <c r="D255" s="42" t="str">
        <f>IFERROR(__xludf.DUMMYFUNCTION("""COMPUTED_VALUE"""),"1. Melakukan sedikit ubahan di backend dgn menambahkan fungsi utk mendapatkan primary address customer
2. Membuat sebuah fungsi utk menambahkan produk ke dalam cart ketika button add bag diklik
3. Memperbaiki sizing foto profil customer di navbar
4. Mempe"&amp;"rbaiki error ketika update/upload foto profil customer
5. Menambahkan redux utk store cart customer &amp; membuat route '/cart' menjadi private
6. Membuat state agar produk di dalam cart bisa dipilih atau selectable
7. Menambahkan redux utk store proses check"&amp;"out customer
8. Menambahkan redux utk store alamat pengiriman utama customer
9. Membuat route '/checkout' menjadi private")</f>
        <v>1. Melakukan sedikit ubahan di backend dgn menambahkan fungsi utk mendapatkan primary address customer
2. Membuat sebuah fungsi utk menambahkan produk ke dalam cart ketika button add bag diklik
3. Memperbaiki sizing foto profil customer di navbar
4. Memperbaiki error ketika update/upload foto profil customer
5. Menambahkan redux utk store cart customer &amp; membuat route '/cart' menjadi private
6. Membuat state agar produk di dalam cart bisa dipilih atau selectable
7. Menambahkan redux utk store proses checkout customer
8. Menambahkan redux utk store alamat pengiriman utama customer
9. Membuat route '/checkout' menjadi private</v>
      </c>
      <c r="E255" s="42" t="str">
        <f>IFERROR(__xludf.DUMMYFUNCTION("""COMPUTED_VALUE"""),"Saya sedikit kesulitan/membutuhkan waktu yg agak lama ketika memberikan logic di bagian frontend, bahkan terkadang saya tidak menemukan solusi. Contoh di bagian select product di halaman cart, saya belum bisa menggunakan bagian select all utk secara otoma"&amp;"tis melakukan select pada masing-masing produk. Saya baru bisa select masing-masing produk")</f>
        <v>Saya sedikit kesulitan/membutuhkan waktu yg agak lama ketika memberikan logic di bagian frontend, bahkan terkadang saya tidak menemukan solusi. Contoh di bagian select product di halaman cart, saya belum bisa menggunakan bagian select all utk secara otomatis melakukan select pada masing-masing produk. Saya baru bisa select masing-masing produk</v>
      </c>
      <c r="F255" s="42" t="str">
        <f>IFERROR(__xludf.DUMMYFUNCTION("""COMPUTED_VALUE"""),"1. Membuat proses buy/payment di frontend
2. Membuat proses registrasi di frontend")</f>
        <v>1. Membuat proses buy/payment di frontend
2. Membuat proses registrasi di frontend</v>
      </c>
    </row>
    <row r="256">
      <c r="A256" s="43">
        <f>IFERROR(__xludf.DUMMYFUNCTION("""COMPUTED_VALUE"""),44118.397897118055)</f>
        <v>44118.3979</v>
      </c>
      <c r="B256" s="42" t="str">
        <f>IFERROR(__xludf.DUMMYFUNCTION("""COMPUTED_VALUE"""),"Iqbal Athorid")</f>
        <v>Iqbal Athorid</v>
      </c>
      <c r="C256" s="44">
        <f>IFERROR(__xludf.DUMMYFUNCTION("""COMPUTED_VALUE"""),44118.0)</f>
        <v>44118</v>
      </c>
      <c r="D256" s="42" t="str">
        <f>IFERROR(__xludf.DUMMYFUNCTION("""COMPUTED_VALUE"""),"craete Profile")</f>
        <v>craete Profile</v>
      </c>
      <c r="E256" s="42"/>
      <c r="F256" s="42" t="str">
        <f>IFERROR(__xludf.DUMMYFUNCTION("""COMPUTED_VALUE"""),"All requirements")</f>
        <v>All requirements</v>
      </c>
    </row>
    <row r="257">
      <c r="A257" s="43">
        <f>IFERROR(__xludf.DUMMYFUNCTION("""COMPUTED_VALUE"""),44118.41090295139)</f>
        <v>44118.4109</v>
      </c>
      <c r="B257" s="42" t="str">
        <f>IFERROR(__xludf.DUMMYFUNCTION("""COMPUTED_VALUE"""),"Furoidah Chilmi")</f>
        <v>Furoidah Chilmi</v>
      </c>
      <c r="C257" s="44">
        <f>IFERROR(__xludf.DUMMYFUNCTION("""COMPUTED_VALUE"""),44118.0)</f>
        <v>44118</v>
      </c>
      <c r="D257" s="42" t="str">
        <f>IFERROR(__xludf.DUMMYFUNCTION("""COMPUTED_VALUE"""),"- pengecekan sebelum setstate di page profile
- patch/update data di page profile
- logout
- post/add new product di cart
- show image di page cart")</f>
        <v>- pengecekan sebelum setstate di page profile
- patch/update data di page profile
- logout
- post/add new product di cart
- show image di page cart</v>
      </c>
      <c r="E257" s="42" t="str">
        <f>IFERROR(__xludf.DUMMYFUNCTION("""COMPUTED_VALUE"""),"- bagaimana update quantity di dalam array di page cart?
- bagaimana ceklis row di cart?")</f>
        <v>- bagaimana update quantity di dalam array di page cart?
- bagaimana ceklis row di cart?</v>
      </c>
      <c r="F257" s="42" t="str">
        <f>IFERROR(__xludf.DUMMYFUNCTION("""COMPUTED_VALUE"""),"- edit address
- delete address, cart, 
- patch dengan file
- paginasi
- search
- sort")</f>
        <v>- edit address
- delete address, cart, 
- patch dengan file
- paginasi
- search
- sort</v>
      </c>
    </row>
    <row r="258">
      <c r="A258" s="43">
        <f>IFERROR(__xludf.DUMMYFUNCTION("""COMPUTED_VALUE"""),44118.505864363426)</f>
        <v>44118.50586</v>
      </c>
      <c r="B258" s="42" t="str">
        <f>IFERROR(__xludf.DUMMYFUNCTION("""COMPUTED_VALUE"""),"Timotius Simanjuntak")</f>
        <v>Timotius Simanjuntak</v>
      </c>
      <c r="C258" s="44">
        <f>IFERROR(__xludf.DUMMYFUNCTION("""COMPUTED_VALUE"""),44118.0)</f>
        <v>44118</v>
      </c>
      <c r="D258" s="42" t="str">
        <f>IFERROR(__xludf.DUMMYFUNCTION("""COMPUTED_VALUE"""),"mengerjakan fungsi search product, profile dll")</f>
        <v>mengerjakan fungsi search product, profile dll</v>
      </c>
      <c r="E258" s="42" t="str">
        <f>IFERROR(__xludf.DUMMYFUNCTION("""COMPUTED_VALUE"""),"masih stuck di cart")</f>
        <v>masih stuck di cart</v>
      </c>
      <c r="F258" s="42" t="str">
        <f>IFERROR(__xludf.DUMMYFUNCTION("""COMPUTED_VALUE"""),"menyelesaikan masalah")</f>
        <v>menyelesaikan masalah</v>
      </c>
    </row>
    <row r="259">
      <c r="A259" s="43">
        <f>IFERROR(__xludf.DUMMYFUNCTION("""COMPUTED_VALUE"""),44119.387937719905)</f>
        <v>44119.38794</v>
      </c>
      <c r="B259" s="42" t="str">
        <f>IFERROR(__xludf.DUMMYFUNCTION("""COMPUTED_VALUE"""),"Muhammad Abdurasyid")</f>
        <v>Muhammad Abdurasyid</v>
      </c>
      <c r="C259" s="44">
        <f>IFERROR(__xludf.DUMMYFUNCTION("""COMPUTED_VALUE"""),44119.0)</f>
        <v>44119</v>
      </c>
      <c r="D259" s="42" t="str">
        <f>IFERROR(__xludf.DUMMYFUNCTION("""COMPUTED_VALUE"""),"Frontend:
1. Menambahkan proses hapus product dari cart
2. Menambahkan proses update quantity masing-masing product di cart
3. Menggunakan local storage utk menyimpan token hasil auth
4. Menggunakan local state utk proses registrasi customer
5. Menambahka"&amp;"n required field pada form seperti di halaman login, register &amp; update profile
6. Menambahkan alert ketika terdapat error dari backend saat proses request")</f>
        <v>Frontend:
1. Menambahkan proses hapus product dari cart
2. Menambahkan proses update quantity masing-masing product di cart
3. Menggunakan local storage utk menyimpan token hasil auth
4. Menggunakan local state utk proses registrasi customer
5. Menambahkan required field pada form seperti di halaman login, register &amp; update profile
6. Menambahkan alert ketika terdapat error dari backend saat proses request</v>
      </c>
      <c r="E259" s="42"/>
      <c r="F259" s="42" t="str">
        <f>IFERROR(__xludf.DUMMYFUNCTION("""COMPUTED_VALUE"""),"1. Membuat proses tambah &amp; update alamat pengiriman di frontend
2. Membuat proses pembayaran di frontend")</f>
        <v>1. Membuat proses tambah &amp; update alamat pengiriman di frontend
2. Membuat proses pembayaran di frontend</v>
      </c>
    </row>
    <row r="260">
      <c r="A260" s="43">
        <f>IFERROR(__xludf.DUMMYFUNCTION("""COMPUTED_VALUE"""),44120.380721678244)</f>
        <v>44120.38072</v>
      </c>
      <c r="B260" s="42" t="str">
        <f>IFERROR(__xludf.DUMMYFUNCTION("""COMPUTED_VALUE"""),"Wahyu Ramadhan")</f>
        <v>Wahyu Ramadhan</v>
      </c>
      <c r="C260" s="44">
        <f>IFERROR(__xludf.DUMMYFUNCTION("""COMPUTED_VALUE"""),44120.0)</f>
        <v>44120</v>
      </c>
      <c r="D260" s="42" t="str">
        <f>IFERROR(__xludf.DUMMYFUNCTION("""COMPUTED_VALUE"""),"create backend register")</f>
        <v>create backend register</v>
      </c>
      <c r="E260" s="42" t="str">
        <f>IFERROR(__xludf.DUMMYFUNCTION("""COMPUTED_VALUE"""),"no")</f>
        <v>no</v>
      </c>
      <c r="F260" s="42" t="str">
        <f>IFERROR(__xludf.DUMMYFUNCTION("""COMPUTED_VALUE"""),"create login with auth and token jwt")</f>
        <v>create login with auth and token jwt</v>
      </c>
    </row>
    <row r="261">
      <c r="A261" s="43">
        <f>IFERROR(__xludf.DUMMYFUNCTION("""COMPUTED_VALUE"""),44120.38771984953)</f>
        <v>44120.38772</v>
      </c>
      <c r="B261" s="42" t="str">
        <f>IFERROR(__xludf.DUMMYFUNCTION("""COMPUTED_VALUE"""),"Muhammad Abdurasyid")</f>
        <v>Muhammad Abdurasyid</v>
      </c>
      <c r="C261" s="44">
        <f>IFERROR(__xludf.DUMMYFUNCTION("""COMPUTED_VALUE"""),44120.0)</f>
        <v>44120</v>
      </c>
      <c r="D261" s="42" t="str">
        <f>IFERROR(__xludf.DUMMYFUNCTION("""COMPUTED_VALUE"""),"1. Slicing halaman register zwallet dgn menggunakan material UI")</f>
        <v>1. Slicing halaman register zwallet dgn menggunakan material UI</v>
      </c>
      <c r="E261" s="42" t="str">
        <f>IFERROR(__xludf.DUMMYFUNCTION("""COMPUTED_VALUE"""),"Saya harus memahami dokumentasi material ui terlebih dahulu, sehingga membutuhkan waktu yg lama dalam slicing")</f>
        <v>Saya harus memahami dokumentasi material ui terlebih dahulu, sehingga membutuhkan waktu yg lama dalam slicing</v>
      </c>
      <c r="F261" s="42" t="str">
        <f>IFERROR(__xludf.DUMMYFUNCTION("""COMPUTED_VALUE"""),"Melanjutkan project team dgn mengadakan meet up terlebih dahulu utk membahas kendala apa yg dikerjakan kemarin &amp; apa saja yg akan dikerjakan berikutnya")</f>
        <v>Melanjutkan project team dgn mengadakan meet up terlebih dahulu utk membahas kendala apa yg dikerjakan kemarin &amp; apa saja yg akan dikerjakan berikutnya</v>
      </c>
    </row>
    <row r="262">
      <c r="A262" s="43">
        <f>IFERROR(__xludf.DUMMYFUNCTION("""COMPUTED_VALUE"""),44120.39529922453)</f>
        <v>44120.3953</v>
      </c>
      <c r="B262" s="42" t="str">
        <f>IFERROR(__xludf.DUMMYFUNCTION("""COMPUTED_VALUE"""),"Iqbal Athorid")</f>
        <v>Iqbal Athorid</v>
      </c>
      <c r="C262" s="44">
        <f>IFERROR(__xludf.DUMMYFUNCTION("""COMPUTED_VALUE"""),44120.0)</f>
        <v>44120</v>
      </c>
      <c r="D262" s="42" t="str">
        <f>IFERROR(__xludf.DUMMYFUNCTION("""COMPUTED_VALUE"""),"created navbar")</f>
        <v>created navbar</v>
      </c>
      <c r="E262" s="42"/>
      <c r="F262" s="42" t="str">
        <f>IFERROR(__xludf.DUMMYFUNCTION("""COMPUTED_VALUE"""),"slicing page or backend")</f>
        <v>slicing page or backend</v>
      </c>
    </row>
    <row r="263">
      <c r="A263" s="43">
        <f>IFERROR(__xludf.DUMMYFUNCTION("""COMPUTED_VALUE"""),44120.39850361111)</f>
        <v>44120.3985</v>
      </c>
      <c r="B263" s="42" t="str">
        <f>IFERROR(__xludf.DUMMYFUNCTION("""COMPUTED_VALUE"""),"Fahmi Aziz Ismail")</f>
        <v>Fahmi Aziz Ismail</v>
      </c>
      <c r="C263" s="44">
        <f>IFERROR(__xludf.DUMMYFUNCTION("""COMPUTED_VALUE"""),44120.0)</f>
        <v>44120</v>
      </c>
      <c r="D263" s="42" t="str">
        <f>IFERROR(__xludf.DUMMYFUNCTION("""COMPUTED_VALUE"""),"membuat flowchart forgot password, get profile, dan get data pin")</f>
        <v>membuat flowchart forgot password, get profile, dan get data pin</v>
      </c>
      <c r="E263" s="42"/>
      <c r="F263" s="42" t="str">
        <f>IFERROR(__xludf.DUMMYFUNCTION("""COMPUTED_VALUE"""),"membuat fungsi forgot password di backend")</f>
        <v>membuat fungsi forgot password di backend</v>
      </c>
    </row>
    <row r="264">
      <c r="A264" s="43">
        <f>IFERROR(__xludf.DUMMYFUNCTION("""COMPUTED_VALUE"""),44120.401289375004)</f>
        <v>44120.40129</v>
      </c>
      <c r="B264" s="42" t="str">
        <f>IFERROR(__xludf.DUMMYFUNCTION("""COMPUTED_VALUE"""),"Pramesti Regita Cahyani")</f>
        <v>Pramesti Regita Cahyani</v>
      </c>
      <c r="C264" s="44">
        <f>IFERROR(__xludf.DUMMYFUNCTION("""COMPUTED_VALUE"""),44120.0)</f>
        <v>44120</v>
      </c>
      <c r="D264" s="42" t="str">
        <f>IFERROR(__xludf.DUMMYFUNCTION("""COMPUTED_VALUE"""),"Membuat navbar dan footer")</f>
        <v>Membuat navbar dan footer</v>
      </c>
      <c r="E264" s="42" t="str">
        <f>IFERROR(__xludf.DUMMYFUNCTION("""COMPUTED_VALUE"""),"menyesuaikan struktur project dengan anggota lain")</f>
        <v>menyesuaikan struktur project dengan anggota lain</v>
      </c>
      <c r="F264" s="42" t="str">
        <f>IFERROR(__xludf.DUMMYFUNCTION("""COMPUTED_VALUE"""),"slicing untuk page my booking")</f>
        <v>slicing untuk page my booking</v>
      </c>
    </row>
    <row r="265">
      <c r="A265" s="43">
        <f>IFERROR(__xludf.DUMMYFUNCTION("""COMPUTED_VALUE"""),44120.40314274306)</f>
        <v>44120.40314</v>
      </c>
      <c r="B265" s="42" t="str">
        <f>IFERROR(__xludf.DUMMYFUNCTION("""COMPUTED_VALUE"""),"Rezha Maulana Jaya")</f>
        <v>Rezha Maulana Jaya</v>
      </c>
      <c r="C265" s="44">
        <f>IFERROR(__xludf.DUMMYFUNCTION("""COMPUTED_VALUE"""),44120.0)</f>
        <v>44120</v>
      </c>
      <c r="D265" s="42" t="str">
        <f>IFERROR(__xludf.DUMMYFUNCTION("""COMPUTED_VALUE"""),"buat login di mockup  sesuai task dan cek tugas temen2")</f>
        <v>buat login di mockup  sesuai task dan cek tugas temen2</v>
      </c>
      <c r="E265" s="42" t="str">
        <f>IFERROR(__xludf.DUMMYFUNCTION("""COMPUTED_VALUE"""),"membagi waktu buat ngerjain projek blanja  lanjutin yang belum beres")</f>
        <v>membagi waktu buat ngerjain projek blanja  lanjutin yang belum beres</v>
      </c>
      <c r="F265" s="42" t="str">
        <f>IFERROR(__xludf.DUMMYFUNCTION("""COMPUTED_VALUE"""),"lanjut ngerjain page untuk selanjutnya")</f>
        <v>lanjut ngerjain page untuk selanjutnya</v>
      </c>
    </row>
    <row r="266">
      <c r="A266" s="43">
        <f>IFERROR(__xludf.DUMMYFUNCTION("""COMPUTED_VALUE"""),44120.40586646991)</f>
        <v>44120.40587</v>
      </c>
      <c r="B266" s="42" t="str">
        <f>IFERROR(__xludf.DUMMYFUNCTION("""COMPUTED_VALUE"""),"Muhamad Faris Alkodri")</f>
        <v>Muhamad Faris Alkodri</v>
      </c>
      <c r="C266" s="44">
        <f>IFERROR(__xludf.DUMMYFUNCTION("""COMPUTED_VALUE"""),44120.0)</f>
        <v>44120</v>
      </c>
      <c r="D266" s="42" t="str">
        <f>IFERROR(__xludf.DUMMYFUNCTION("""COMPUTED_VALUE"""),"As a team member i havent yet implemented the search result for backend
As a vice team manager i havent doing push and pull for everyone's code")</f>
        <v>As a team member i havent yet implemented the search result for backend
As a vice team manager i havent doing push and pull for everyone's code</v>
      </c>
      <c r="E266" s="42" t="str">
        <f>IFERROR(__xludf.DUMMYFUNCTION("""COMPUTED_VALUE"""),"My problem is more of the database. After several codes i think our ERD should be changed and i changed it after all")</f>
        <v>My problem is more of the database. After several codes i think our ERD should be changed and i changed it after all</v>
      </c>
      <c r="F266" s="42" t="str">
        <f>IFERROR(__xludf.DUMMYFUNCTION("""COMPUTED_VALUE"""),"I want to fix our backend, pull and push to everyone's code in master and doing my tasks")</f>
        <v>I want to fix our backend, pull and push to everyone's code in master and doing my tasks</v>
      </c>
    </row>
    <row r="267">
      <c r="A267" s="43">
        <f>IFERROR(__xludf.DUMMYFUNCTION("""COMPUTED_VALUE"""),44120.406420011575)</f>
        <v>44120.40642</v>
      </c>
      <c r="B267" s="42" t="str">
        <f>IFERROR(__xludf.DUMMYFUNCTION("""COMPUTED_VALUE"""),"Ahmad Fatkhul Amam")</f>
        <v>Ahmad Fatkhul Amam</v>
      </c>
      <c r="C267" s="44">
        <f>IFERROR(__xludf.DUMMYFUNCTION("""COMPUTED_VALUE"""),44120.0)</f>
        <v>44120</v>
      </c>
      <c r="D267" s="42" t="str">
        <f>IFERROR(__xludf.DUMMYFUNCTION("""COMPUTED_VALUE"""),"try to fixing eslint problem, slicing frontend for explore page")</f>
        <v>try to fixing eslint problem, slicing frontend for explore page</v>
      </c>
      <c r="E267" s="42" t="str">
        <f>IFERROR(__xludf.DUMMYFUNCTION("""COMPUTED_VALUE"""),"use github to share components with teammates, eslink not work")</f>
        <v>use github to share components with teammates, eslink not work</v>
      </c>
      <c r="F267" s="42" t="str">
        <f>IFERROR(__xludf.DUMMYFUNCTION("""COMPUTED_VALUE"""),"slicing other frontend, use github to share components with teammates")</f>
        <v>slicing other frontend, use github to share components with teammates</v>
      </c>
    </row>
    <row r="268">
      <c r="A268" s="43">
        <f>IFERROR(__xludf.DUMMYFUNCTION("""COMPUTED_VALUE"""),44120.406907349534)</f>
        <v>44120.40691</v>
      </c>
      <c r="B268" s="42" t="str">
        <f>IFERROR(__xludf.DUMMYFUNCTION("""COMPUTED_VALUE"""),"Muhammad")</f>
        <v>Muhammad</v>
      </c>
      <c r="C268" s="44">
        <f>IFERROR(__xludf.DUMMYFUNCTION("""COMPUTED_VALUE"""),44120.0)</f>
        <v>44120</v>
      </c>
      <c r="D268" s="42" t="str">
        <f>IFERROR(__xludf.DUMMYFUNCTION("""COMPUTED_VALUE"""),"initilize structure project")</f>
        <v>initilize structure project</v>
      </c>
      <c r="E268" s="42" t="str">
        <f>IFERROR(__xludf.DUMMYFUNCTION("""COMPUTED_VALUE"""),"error installation eslint in react ")</f>
        <v>error installation eslint in react </v>
      </c>
      <c r="F268" s="42" t="str">
        <f>IFERROR(__xludf.DUMMYFUNCTION("""COMPUTED_VALUE"""),"slicing page searchResult, booking detail")</f>
        <v>slicing page searchResult, booking detail</v>
      </c>
    </row>
    <row r="269">
      <c r="A269" s="43">
        <f>IFERROR(__xludf.DUMMYFUNCTION("""COMPUTED_VALUE"""),44120.40890322917)</f>
        <v>44120.4089</v>
      </c>
      <c r="B269" s="42" t="str">
        <f>IFERROR(__xludf.DUMMYFUNCTION("""COMPUTED_VALUE"""),"Satrio Nugroho")</f>
        <v>Satrio Nugroho</v>
      </c>
      <c r="C269" s="44">
        <f>IFERROR(__xludf.DUMMYFUNCTION("""COMPUTED_VALUE"""),44120.0)</f>
        <v>44120</v>
      </c>
      <c r="D269" s="42" t="str">
        <f>IFERROR(__xludf.DUMMYFUNCTION("""COMPUTED_VALUE"""),"Saya mengerjakan project tim .. saya mengerjakan di bagian front end membuat tampilan forget password di Zwallet")</f>
        <v>Saya mengerjakan project tim .. saya mengerjakan di bagian front end membuat tampilan forget password di Zwallet</v>
      </c>
      <c r="E269" s="42" t="str">
        <f>IFERROR(__xludf.DUMMYFUNCTION("""COMPUTED_VALUE"""),"karena mengguannakan framework material ui.. jadi agak bingung customisasi styling nya")</f>
        <v>karena mengguannakan framework material ui.. jadi agak bingung customisasi styling nya</v>
      </c>
      <c r="F269" s="42" t="str">
        <f>IFERROR(__xludf.DUMMYFUNCTION("""COMPUTED_VALUE"""),"mengikuti kegiatan seperti biasa.. dan setelah itu akan melanjutkan mengerjakan project")</f>
        <v>mengikuti kegiatan seperti biasa.. dan setelah itu akan melanjutkan mengerjakan project</v>
      </c>
    </row>
    <row r="270">
      <c r="A270" s="43">
        <f>IFERROR(__xludf.DUMMYFUNCTION("""COMPUTED_VALUE"""),44120.452954953704)</f>
        <v>44120.45295</v>
      </c>
      <c r="B270" s="42" t="str">
        <f>IFERROR(__xludf.DUMMYFUNCTION("""COMPUTED_VALUE"""),"Timotius Simanjuntak")</f>
        <v>Timotius Simanjuntak</v>
      </c>
      <c r="C270" s="44">
        <f>IFERROR(__xludf.DUMMYFUNCTION("""COMPUTED_VALUE"""),44120.0)</f>
        <v>44120</v>
      </c>
      <c r="D270" s="42" t="str">
        <f>IFERROR(__xludf.DUMMYFUNCTION("""COMPUTED_VALUE"""),"creating backend for flow user, such as register, login, and upload photo")</f>
        <v>creating backend for flow user, such as register, login, and upload photo</v>
      </c>
      <c r="E270" s="42"/>
      <c r="F270" s="42" t="str">
        <f>IFERROR(__xludf.DUMMYFUNCTION("""COMPUTED_VALUE"""),"doing another task")</f>
        <v>doing another task</v>
      </c>
    </row>
    <row r="271">
      <c r="A271" s="43">
        <f>IFERROR(__xludf.DUMMYFUNCTION("""COMPUTED_VALUE"""),44123.383202048615)</f>
        <v>44123.3832</v>
      </c>
      <c r="B271" s="42" t="str">
        <f>IFERROR(__xludf.DUMMYFUNCTION("""COMPUTED_VALUE"""),"Fahmi Aziz Ismail")</f>
        <v>Fahmi Aziz Ismail</v>
      </c>
      <c r="C271" s="44">
        <f>IFERROR(__xludf.DUMMYFUNCTION("""COMPUTED_VALUE"""),44123.0)</f>
        <v>44123</v>
      </c>
      <c r="D271" s="42" t="str">
        <f>IFERROR(__xludf.DUMMYFUNCTION("""COMPUTED_VALUE"""),"mendeploy aplikasi ke aws, membuat fungsi transfer")</f>
        <v>mendeploy aplikasi ke aws, membuat fungsi transfer</v>
      </c>
      <c r="E271" s="42"/>
      <c r="F271" s="42" t="str">
        <f>IFERROR(__xludf.DUMMYFUNCTION("""COMPUTED_VALUE"""),"membuat fungsi post profile")</f>
        <v>membuat fungsi post profile</v>
      </c>
    </row>
    <row r="272">
      <c r="A272" s="43">
        <f>IFERROR(__xludf.DUMMYFUNCTION("""COMPUTED_VALUE"""),44123.38754568287)</f>
        <v>44123.38755</v>
      </c>
      <c r="B272" s="42" t="str">
        <f>IFERROR(__xludf.DUMMYFUNCTION("""COMPUTED_VALUE"""),"Pramesti Regita Cahyani")</f>
        <v>Pramesti Regita Cahyani</v>
      </c>
      <c r="C272" s="44">
        <f>IFERROR(__xludf.DUMMYFUNCTION("""COMPUTED_VALUE"""),44123.0)</f>
        <v>44123</v>
      </c>
      <c r="D272" s="42" t="str">
        <f>IFERROR(__xludf.DUMMYFUNCTION("""COMPUTED_VALUE"""),"merapikan margin di page my booking")</f>
        <v>merapikan margin di page my booking</v>
      </c>
      <c r="E272" s="42" t="str">
        <f>IFERROR(__xludf.DUMMYFUNCTION("""COMPUTED_VALUE"""),"masih belum mirip dengan yang di mockup")</f>
        <v>masih belum mirip dengan yang di mockup</v>
      </c>
      <c r="F272" s="42" t="str">
        <f>IFERROR(__xludf.DUMMYFUNCTION("""COMPUTED_VALUE"""),"menyelesaikan slicing my booking dan menyesuaikan navbar dengan yang ada di mockup")</f>
        <v>menyelesaikan slicing my booking dan menyesuaikan navbar dengan yang ada di mockup</v>
      </c>
    </row>
    <row r="273">
      <c r="A273" s="43">
        <f>IFERROR(__xludf.DUMMYFUNCTION("""COMPUTED_VALUE"""),44123.38905266204)</f>
        <v>44123.38905</v>
      </c>
      <c r="B273" s="42" t="str">
        <f>IFERROR(__xludf.DUMMYFUNCTION("""COMPUTED_VALUE"""),"Satrio Nugroho")</f>
        <v>Satrio Nugroho</v>
      </c>
      <c r="C273" s="44">
        <f>IFERROR(__xludf.DUMMYFUNCTION("""COMPUTED_VALUE"""),44123.0)</f>
        <v>44123</v>
      </c>
      <c r="D273" s="42" t="str">
        <f>IFERROR(__xludf.DUMMYFUNCTION("""COMPUTED_VALUE"""),"Kemaren saya mengerjakam project backend ecommerce dan front end.. namun masih ada beberapa bagian juga yang masih ada error")</f>
        <v>Kemaren saya mengerjakam project backend ecommerce dan front end.. namun masih ada beberapa bagian juga yang masih ada error</v>
      </c>
      <c r="E273" s="42" t="str">
        <f>IFERROR(__xludf.DUMMYFUNCTION("""COMPUTED_VALUE"""),"Saya kendala di bagian front end terutama di redux saat pengambilan data.. saya belum terlalu memahami karena saya juga cukup ketinggalan materi ")</f>
        <v>Saya kendala di bagian front end terutama di redux saat pengambilan data.. saya belum terlalu memahami karena saya juga cukup ketinggalan materi </v>
      </c>
      <c r="F273" s="42" t="str">
        <f>IFERROR(__xludf.DUMMYFUNCTION("""COMPUTED_VALUE"""),"Saya akan mengikuti kegiatan hari ini dan akan melanjutkan mengerjakan kembali revisi project saya")</f>
        <v>Saya akan mengikuti kegiatan hari ini dan akan melanjutkan mengerjakan kembali revisi project saya</v>
      </c>
    </row>
    <row r="274">
      <c r="A274" s="43">
        <f>IFERROR(__xludf.DUMMYFUNCTION("""COMPUTED_VALUE"""),44123.39080627315)</f>
        <v>44123.39081</v>
      </c>
      <c r="B274" s="42" t="str">
        <f>IFERROR(__xludf.DUMMYFUNCTION("""COMPUTED_VALUE"""),"Timotius Simanjuntak")</f>
        <v>Timotius Simanjuntak</v>
      </c>
      <c r="C274" s="44">
        <f>IFERROR(__xludf.DUMMYFUNCTION("""COMPUTED_VALUE"""),44123.0)</f>
        <v>44123</v>
      </c>
      <c r="D274" s="42" t="str">
        <f>IFERROR(__xludf.DUMMYFUNCTION("""COMPUTED_VALUE"""),"DO CRUD FLIGHT")</f>
        <v>DO CRUD FLIGHT</v>
      </c>
      <c r="E274" s="42" t="str">
        <f>IFERROR(__xludf.DUMMYFUNCTION("""COMPUTED_VALUE"""),"Nothing yet")</f>
        <v>Nothing yet</v>
      </c>
      <c r="F274" s="42" t="str">
        <f>IFERROR(__xludf.DUMMYFUNCTION("""COMPUTED_VALUE"""),"DO ANOTHER CRUD")</f>
        <v>DO ANOTHER CRUD</v>
      </c>
    </row>
    <row r="275">
      <c r="A275" s="43">
        <f>IFERROR(__xludf.DUMMYFUNCTION("""COMPUTED_VALUE"""),44123.39717489583)</f>
        <v>44123.39717</v>
      </c>
      <c r="B275" s="42" t="str">
        <f>IFERROR(__xludf.DUMMYFUNCTION("""COMPUTED_VALUE"""),"Ahmad Asrofi")</f>
        <v>Ahmad Asrofi</v>
      </c>
      <c r="C275" s="44">
        <f>IFERROR(__xludf.DUMMYFUNCTION("""COMPUTED_VALUE"""),44123.0)</f>
        <v>44123</v>
      </c>
      <c r="D275" s="42" t="str">
        <f>IFERROR(__xludf.DUMMYFUNCTION("""COMPUTED_VALUE"""),"i did some helpers for my project team such as model, db and response.")</f>
        <v>i did some helpers for my project team such as model, db and response.</v>
      </c>
      <c r="E275" s="42" t="str">
        <f>IFERROR(__xludf.DUMMYFUNCTION("""COMPUTED_VALUE"""),"i got problem when i want to push my code to repo github, it always show permission denied. but it solved today, because my team has invite me to link repo")</f>
        <v>i got problem when i want to push my code to repo github, it always show permission denied. but it solved today, because my team has invite me to link repo</v>
      </c>
      <c r="F275" s="42" t="str">
        <f>IFERROR(__xludf.DUMMYFUNCTION("""COMPUTED_VALUE"""),"i want to push my code to link repo in my branch. create another mvc and implement what i have learned before")</f>
        <v>i want to push my code to link repo in my branch. create another mvc and implement what i have learned before</v>
      </c>
    </row>
    <row r="276">
      <c r="A276" s="43">
        <f>IFERROR(__xludf.DUMMYFUNCTION("""COMPUTED_VALUE"""),44123.405646342595)</f>
        <v>44123.40565</v>
      </c>
      <c r="B276" s="42" t="str">
        <f>IFERROR(__xludf.DUMMYFUNCTION("""COMPUTED_VALUE"""),"Muhammad")</f>
        <v>Muhammad</v>
      </c>
      <c r="C276" s="44">
        <f>IFERROR(__xludf.DUMMYFUNCTION("""COMPUTED_VALUE"""),44123.0)</f>
        <v>44123</v>
      </c>
      <c r="D276" s="42" t="str">
        <f>IFERROR(__xludf.DUMMYFUNCTION("""COMPUTED_VALUE"""),"Slicing searchResult page")</f>
        <v>Slicing searchResult page</v>
      </c>
      <c r="E276" s="42"/>
      <c r="F276" s="42" t="str">
        <f>IFERROR(__xludf.DUMMYFUNCTION("""COMPUTED_VALUE"""),"Slicing bookingDetail")</f>
        <v>Slicing bookingDetail</v>
      </c>
    </row>
    <row r="277">
      <c r="A277" s="43">
        <f>IFERROR(__xludf.DUMMYFUNCTION("""COMPUTED_VALUE"""),44123.41250096065)</f>
        <v>44123.4125</v>
      </c>
      <c r="B277" s="42" t="str">
        <f>IFERROR(__xludf.DUMMYFUNCTION("""COMPUTED_VALUE"""),"Iqbal Athorid")</f>
        <v>Iqbal Athorid</v>
      </c>
      <c r="C277" s="44">
        <f>IFERROR(__xludf.DUMMYFUNCTION("""COMPUTED_VALUE"""),44123.0)</f>
        <v>44123</v>
      </c>
      <c r="D277" s="42" t="str">
        <f>IFERROR(__xludf.DUMMYFUNCTION("""COMPUTED_VALUE"""),"slicing page pin")</f>
        <v>slicing page pin</v>
      </c>
      <c r="E277" s="42"/>
      <c r="F277" s="42" t="str">
        <f>IFERROR(__xludf.DUMMYFUNCTION("""COMPUTED_VALUE"""),"Slicing komponen graphic income &amp; expense pada halaman home,Slicing komponen Transfer to di halaman confirmation,Slicing komponen status transfer berhasil atau gagal")</f>
        <v>Slicing komponen graphic income &amp; expense pada halaman home,Slicing komponen Transfer to di halaman confirmation,Slicing komponen status transfer berhasil atau gagal</v>
      </c>
    </row>
    <row r="278">
      <c r="A278" s="43">
        <f>IFERROR(__xludf.DUMMYFUNCTION("""COMPUTED_VALUE"""),44123.412713206024)</f>
        <v>44123.41271</v>
      </c>
      <c r="B278" s="42" t="str">
        <f>IFERROR(__xludf.DUMMYFUNCTION("""COMPUTED_VALUE"""),"Muhamad Faris Alkodri")</f>
        <v>Muhamad Faris Alkodri</v>
      </c>
      <c r="C278" s="44">
        <f>IFERROR(__xludf.DUMMYFUNCTION("""COMPUTED_VALUE"""),44123.0)</f>
        <v>44123</v>
      </c>
      <c r="D278" s="42" t="str">
        <f>IFERROR(__xludf.DUMMYFUNCTION("""COMPUTED_VALUE"""),"I have deploy my e-commerce apps to aws, editing backend database and working on explore but it just stuck in the models")</f>
        <v>I have deploy my e-commerce apps to aws, editing backend database and working on explore but it just stuck in the models</v>
      </c>
      <c r="E278" s="42" t="str">
        <f>IFERROR(__xludf.DUMMYFUNCTION("""COMPUTED_VALUE"""),"The problem is to equalize our style of code")</f>
        <v>The problem is to equalize our style of code</v>
      </c>
      <c r="F278" s="42" t="str">
        <f>IFERROR(__xludf.DUMMYFUNCTION("""COMPUTED_VALUE"""),"I want to continuing on explore especially in controllers and routes")</f>
        <v>I want to continuing on explore especially in controllers and routes</v>
      </c>
    </row>
    <row r="279">
      <c r="A279" s="43">
        <f>IFERROR(__xludf.DUMMYFUNCTION("""COMPUTED_VALUE"""),44123.41472383102)</f>
        <v>44123.41472</v>
      </c>
      <c r="B279" s="42" t="str">
        <f>IFERROR(__xludf.DUMMYFUNCTION("""COMPUTED_VALUE"""),"Ahmad Fatkhul Amam")</f>
        <v>Ahmad Fatkhul Amam</v>
      </c>
      <c r="C279" s="44">
        <f>IFERROR(__xludf.DUMMYFUNCTION("""COMPUTED_VALUE"""),44123.0)</f>
        <v>44123</v>
      </c>
      <c r="D279" s="42" t="str">
        <f>IFERROR(__xludf.DUMMYFUNCTION("""COMPUTED_VALUE"""),"fixing deploy my ecommerce aplication on aws, fixing my ecommerce aplication, slicing explore page(project team)")</f>
        <v>fixing deploy my ecommerce aplication on aws, fixing my ecommerce aplication, slicing explore page(project team)</v>
      </c>
      <c r="E279" s="42" t="str">
        <f>IFERROR(__xludf.DUMMYFUNCTION("""COMPUTED_VALUE"""),"deploy my frontend aplication on aws, run the backend on aws computer")</f>
        <v>deploy my frontend aplication on aws, run the backend on aws computer</v>
      </c>
      <c r="F279" s="42" t="str">
        <f>IFERROR(__xludf.DUMMYFUNCTION("""COMPUTED_VALUE"""),"slicing search result page(project team), fixing deploy my aplication on aws")</f>
        <v>slicing search result page(project team), fixing deploy my aplication on aws</v>
      </c>
    </row>
    <row r="280">
      <c r="A280" s="43">
        <f>IFERROR(__xludf.DUMMYFUNCTION("""COMPUTED_VALUE"""),44123.417780289354)</f>
        <v>44123.41778</v>
      </c>
      <c r="B280" s="42" t="str">
        <f>IFERROR(__xludf.DUMMYFUNCTION("""COMPUTED_VALUE"""),"Furoidah Chilmi")</f>
        <v>Furoidah Chilmi</v>
      </c>
      <c r="C280" s="44">
        <f>IFERROR(__xludf.DUMMYFUNCTION("""COMPUTED_VALUE"""),44123.0)</f>
        <v>44123</v>
      </c>
      <c r="D280" s="42" t="str">
        <f>IFERROR(__xludf.DUMMYFUNCTION("""COMPUTED_VALUE"""),"mengerjakan post top up")</f>
        <v>mengerjakan post top up</v>
      </c>
      <c r="E280" s="42" t="str">
        <f>IFERROR(__xludf.DUMMYFUNCTION("""COMPUTED_VALUE"""),"~")</f>
        <v>~</v>
      </c>
      <c r="F280" s="42" t="str">
        <f>IFERROR(__xludf.DUMMYFUNCTION("""COMPUTED_VALUE"""),"history dan beberapa endpoint")</f>
        <v>history dan beberapa endpoint</v>
      </c>
    </row>
    <row r="281">
      <c r="A281" s="43">
        <f>IFERROR(__xludf.DUMMYFUNCTION("""COMPUTED_VALUE"""),44123.42023513889)</f>
        <v>44123.42024</v>
      </c>
      <c r="B281" s="42" t="str">
        <f>IFERROR(__xludf.DUMMYFUNCTION("""COMPUTED_VALUE"""),"Wahyu Ramadhan")</f>
        <v>Wahyu Ramadhan</v>
      </c>
      <c r="C281" s="44">
        <f>IFERROR(__xludf.DUMMYFUNCTION("""COMPUTED_VALUE"""),44123.0)</f>
        <v>44123</v>
      </c>
      <c r="D281" s="42" t="str">
        <f>IFERROR(__xludf.DUMMYFUNCTION("""COMPUTED_VALUE"""),"Create get profile and auth login register")</f>
        <v>Create get profile and auth login register</v>
      </c>
      <c r="E281" s="42" t="str">
        <f>IFERROR(__xludf.DUMMYFUNCTION("""COMPUTED_VALUE"""),"
In the auth section, because I don't really understand how to use JOI, but it's done")</f>
        <v>
In the auth section, because I don't really understand how to use JOI, but it's done</v>
      </c>
      <c r="F281" s="42" t="str">
        <f>IFERROR(__xludf.DUMMYFUNCTION("""COMPUTED_VALUE"""),"create update profile+patch")</f>
        <v>create update profile+patch</v>
      </c>
    </row>
    <row r="282">
      <c r="A282" s="43">
        <f>IFERROR(__xludf.DUMMYFUNCTION("""COMPUTED_VALUE"""),44123.44678484954)</f>
        <v>44123.44678</v>
      </c>
      <c r="B282" s="42" t="str">
        <f>IFERROR(__xludf.DUMMYFUNCTION("""COMPUTED_VALUE"""),"Muhammad Abdurasyid")</f>
        <v>Muhammad Abdurasyid</v>
      </c>
      <c r="C282" s="44">
        <f>IFERROR(__xludf.DUMMYFUNCTION("""COMPUTED_VALUE"""),44123.0)</f>
        <v>44123</v>
      </c>
      <c r="D282" s="42" t="str">
        <f>IFERROR(__xludf.DUMMYFUNCTION("""COMPUTED_VALUE"""),"1. Merge repo frontend
2. Deploy tugas e-commerce ke AWS
3. Slicing komponen sidebar &amp; footer
4. Slicing halaman sign-up")</f>
        <v>1. Merge repo frontend
2. Deploy tugas e-commerce ke AWS
3. Slicing komponen sidebar &amp; footer
4. Slicing halaman sign-up</v>
      </c>
      <c r="E282" s="42" t="str">
        <f>IFERROR(__xludf.DUMMYFUNCTION("""COMPUTED_VALUE"""),"Koordinasi team masih belum berjalan baik, khususnya pembagian task. Sehingga saya rasa anggota team sulit atau bingung mau mengerjakan di bagian apa. Saya sudah bilang ke PM di hari Jumat utk dituliskan saja list tugasnya, tapi masih belum, jadi saya amb"&amp;"il alih utk bagian pembagian tugasnya")</f>
        <v>Koordinasi team masih belum berjalan baik, khususnya pembagian task. Sehingga saya rasa anggota team sulit atau bingung mau mengerjakan di bagian apa. Saya sudah bilang ke PM di hari Jumat utk dituliskan saja list tugasnya, tapi masih belum, jadi saya ambil alih utk bagian pembagian tugasnya</v>
      </c>
      <c r="F282" s="42" t="str">
        <f>IFERROR(__xludf.DUMMYFUNCTION("""COMPUTED_VALUE"""),"Membagikan tugas backend ke anggota team &amp; slicing page lainnya")</f>
        <v>Membagikan tugas backend ke anggota team &amp; slicing page lainnya</v>
      </c>
    </row>
    <row r="283">
      <c r="A283" s="43">
        <f>IFERROR(__xludf.DUMMYFUNCTION("""COMPUTED_VALUE"""),44124.394085011576)</f>
        <v>44124.39409</v>
      </c>
      <c r="B283" s="42" t="str">
        <f>IFERROR(__xludf.DUMMYFUNCTION("""COMPUTED_VALUE"""),"Fahmi Aziz Ismail")</f>
        <v>Fahmi Aziz Ismail</v>
      </c>
      <c r="C283" s="44">
        <f>IFERROR(__xludf.DUMMYFUNCTION("""COMPUTED_VALUE"""),44124.0)</f>
        <v>44124</v>
      </c>
      <c r="D283" s="42" t="str">
        <f>IFERROR(__xludf.DUMMYFUNCTION("""COMPUTED_VALUE"""),"memperbaiki fungsi transfer dan fungsi  get history transfer dengan memakai query helper dan di get history ditambah dengan join")</f>
        <v>memperbaiki fungsi transfer dan fungsi  get history transfer dengan memakai query helper dan di get history ditambah dengan join</v>
      </c>
      <c r="E283" s="42" t="str">
        <f>IFERROR(__xludf.DUMMYFUNCTION("""COMPUTED_VALUE"""),"di fungsi patch edit profile data masih belum terupload")</f>
        <v>di fungsi patch edit profile data masih belum terupload</v>
      </c>
      <c r="F283" s="42" t="str">
        <f>IFERROR(__xludf.DUMMYFUNCTION("""COMPUTED_VALUE"""),"memperbaiki fungsi patch dan membuat fungsi forgot password")</f>
        <v>memperbaiki fungsi patch dan membuat fungsi forgot password</v>
      </c>
    </row>
    <row r="284">
      <c r="A284" s="43">
        <f>IFERROR(__xludf.DUMMYFUNCTION("""COMPUTED_VALUE"""),44124.53012667824)</f>
        <v>44124.53013</v>
      </c>
      <c r="B284" s="42" t="str">
        <f>IFERROR(__xludf.DUMMYFUNCTION("""COMPUTED_VALUE"""),"Ahmad Fatkhul Amam")</f>
        <v>Ahmad Fatkhul Amam</v>
      </c>
      <c r="C284" s="44">
        <f>IFERROR(__xludf.DUMMYFUNCTION("""COMPUTED_VALUE"""),44124.0)</f>
        <v>44124</v>
      </c>
      <c r="D284" s="42" t="str">
        <f>IFERROR(__xludf.DUMMYFUNCTION("""COMPUTED_VALUE"""),"slicing explore page and try to custom carousel")</f>
        <v>slicing explore page and try to custom carousel</v>
      </c>
      <c r="E284" s="42" t="str">
        <f>IFERROR(__xludf.DUMMYFUNCTION("""COMPUTED_VALUE"""),"custom carousel")</f>
        <v>custom carousel</v>
      </c>
      <c r="F284" s="42" t="str">
        <f>IFERROR(__xludf.DUMMYFUNCTION("""COMPUTED_VALUE"""),"slicing flight detail page")</f>
        <v>slicing flight detail page</v>
      </c>
    </row>
    <row r="285">
      <c r="A285" s="43">
        <f>IFERROR(__xludf.DUMMYFUNCTION("""COMPUTED_VALUE"""),44124.53509863426)</f>
        <v>44124.5351</v>
      </c>
      <c r="B285" s="42" t="str">
        <f>IFERROR(__xludf.DUMMYFUNCTION("""COMPUTED_VALUE"""),"Muhamad Faris Alkodri")</f>
        <v>Muhamad Faris Alkodri</v>
      </c>
      <c r="C285" s="44">
        <f>IFERROR(__xludf.DUMMYFUNCTION("""COMPUTED_VALUE"""),44124.0)</f>
        <v>44124</v>
      </c>
      <c r="D285" s="42" t="str">
        <f>IFERROR(__xludf.DUMMYFUNCTION("""COMPUTED_VALUE"""),"I have made search and mybooking but my friends also make the search and i just have to make my booking again")</f>
        <v>I have made search and mybooking but my friends also make the search and i just have to make my booking again</v>
      </c>
      <c r="E285" s="42" t="str">
        <f>IFERROR(__xludf.DUMMYFUNCTION("""COMPUTED_VALUE"""),"There were some task that have been done together ")</f>
        <v>There were some task that have been done together </v>
      </c>
      <c r="F285" s="42" t="str">
        <f>IFERROR(__xludf.DUMMYFUNCTION("""COMPUTED_VALUE"""),"I want to merge the files into development branch and resolve some problems")</f>
        <v>I want to merge the files into development branch and resolve some problems</v>
      </c>
    </row>
    <row r="286">
      <c r="A286" s="43">
        <f>IFERROR(__xludf.DUMMYFUNCTION("""COMPUTED_VALUE"""),44124.535962511574)</f>
        <v>44124.53596</v>
      </c>
      <c r="B286" s="42" t="str">
        <f>IFERROR(__xludf.DUMMYFUNCTION("""COMPUTED_VALUE"""),"Iqbal Athorid")</f>
        <v>Iqbal Athorid</v>
      </c>
      <c r="C286" s="44">
        <f>IFERROR(__xludf.DUMMYFUNCTION("""COMPUTED_VALUE"""),44124.0)</f>
        <v>44124</v>
      </c>
      <c r="D286" s="42" t="str">
        <f>IFERROR(__xludf.DUMMYFUNCTION("""COMPUTED_VALUE"""),"slicing page home, transfer")</f>
        <v>slicing page home, transfer</v>
      </c>
      <c r="E286" s="42"/>
      <c r="F286" s="42" t="str">
        <f>IFERROR(__xludf.DUMMYFUNCTION("""COMPUTED_VALUE"""),"move to backend")</f>
        <v>move to backend</v>
      </c>
    </row>
    <row r="287">
      <c r="A287" s="43">
        <f>IFERROR(__xludf.DUMMYFUNCTION("""COMPUTED_VALUE"""),44124.54316972222)</f>
        <v>44124.54317</v>
      </c>
      <c r="B287" s="42" t="str">
        <f>IFERROR(__xludf.DUMMYFUNCTION("""COMPUTED_VALUE"""),"Timotius Simanjuntak")</f>
        <v>Timotius Simanjuntak</v>
      </c>
      <c r="C287" s="44">
        <f>IFERROR(__xludf.DUMMYFUNCTION("""COMPUTED_VALUE"""),44124.0)</f>
        <v>44124</v>
      </c>
      <c r="D287" s="42" t="str">
        <f>IFERROR(__xludf.DUMMYFUNCTION("""COMPUTED_VALUE"""),"Creating MVC search flight, and update MVC user")</f>
        <v>Creating MVC search flight, and update MVC user</v>
      </c>
      <c r="E287" s="42"/>
      <c r="F287" s="42" t="str">
        <f>IFERROR(__xludf.DUMMYFUNCTION("""COMPUTED_VALUE"""),"creating mybooking MVC")</f>
        <v>creating mybooking MVC</v>
      </c>
    </row>
    <row r="288">
      <c r="A288" s="43">
        <f>IFERROR(__xludf.DUMMYFUNCTION("""COMPUTED_VALUE"""),44124.54419266204)</f>
        <v>44124.54419</v>
      </c>
      <c r="B288" s="42" t="str">
        <f>IFERROR(__xludf.DUMMYFUNCTION("""COMPUTED_VALUE"""),"Muhammad Abdurasyid")</f>
        <v>Muhammad Abdurasyid</v>
      </c>
      <c r="C288" s="44">
        <f>IFERROR(__xludf.DUMMYFUNCTION("""COMPUTED_VALUE"""),44124.0)</f>
        <v>44124</v>
      </c>
      <c r="D288" s="42" t="str">
        <f>IFERROR(__xludf.DUMMYFUNCTION("""COMPUTED_VALUE"""),"1. Merge repo frontend
2. Slicing halaman landing page, manage phone number, add phone number
3. Slicing komponen balance &amp; transaction history di halaman home
4. Slicing komponen search receiver di halaman transfer
5. Membagikan tugas utk team backend")</f>
        <v>1. Merge repo frontend
2. Slicing halaman landing page, manage phone number, add phone number
3. Slicing komponen balance &amp; transaction history di halaman home
4. Slicing komponen search receiver di halaman transfer
5. Membagikan tugas utk team backend</v>
      </c>
      <c r="E288" s="42"/>
      <c r="F288" s="42" t="str">
        <f>IFERROR(__xludf.DUMMYFUNCTION("""COMPUTED_VALUE"""),"1. Slicing mockup/halaman/komponen yg belum selesai
2. Membuat list task utk menghubungkan frontend &amp; backend")</f>
        <v>1. Slicing mockup/halaman/komponen yg belum selesai
2. Membuat list task utk menghubungkan frontend &amp; backend</v>
      </c>
    </row>
    <row r="289">
      <c r="A289" s="43">
        <f>IFERROR(__xludf.DUMMYFUNCTION("""COMPUTED_VALUE"""),44124.54483825232)</f>
        <v>44124.54484</v>
      </c>
      <c r="B289" s="42" t="str">
        <f>IFERROR(__xludf.DUMMYFUNCTION("""COMPUTED_VALUE"""),"Ahmad Asrofi")</f>
        <v>Ahmad Asrofi</v>
      </c>
      <c r="C289" s="44">
        <f>IFERROR(__xludf.DUMMYFUNCTION("""COMPUTED_VALUE"""),44124.0)</f>
        <v>44124</v>
      </c>
      <c r="D289" s="42" t="str">
        <f>IFERROR(__xludf.DUMMYFUNCTION("""COMPUTED_VALUE"""),"creating Signup, Login and Forgot Password pages, styling navbar")</f>
        <v>creating Signup, Login and Forgot Password pages, styling navbar</v>
      </c>
      <c r="E289" s="42"/>
      <c r="F289" s="42" t="str">
        <f>IFERROR(__xludf.DUMMYFUNCTION("""COMPUTED_VALUE"""),"creating Booking detail")</f>
        <v>creating Booking detail</v>
      </c>
    </row>
    <row r="290">
      <c r="A290" s="43">
        <f>IFERROR(__xludf.DUMMYFUNCTION("""COMPUTED_VALUE"""),44124.56698886574)</f>
        <v>44124.56699</v>
      </c>
      <c r="B290" s="42" t="str">
        <f>IFERROR(__xludf.DUMMYFUNCTION("""COMPUTED_VALUE"""),"Pramesti Regita Cahyani")</f>
        <v>Pramesti Regita Cahyani</v>
      </c>
      <c r="C290" s="44">
        <f>IFERROR(__xludf.DUMMYFUNCTION("""COMPUTED_VALUE"""),44124.0)</f>
        <v>44124</v>
      </c>
      <c r="D290" s="42" t="str">
        <f>IFERROR(__xludf.DUMMYFUNCTION("""COMPUTED_VALUE"""),"Menyelesaikan mybooking page, membuat profile detail page")</f>
        <v>Menyelesaikan mybooking page, membuat profile detail page</v>
      </c>
      <c r="E290" s="42" t="str">
        <f>IFERROR(__xludf.DUMMYFUNCTION("""COMPUTED_VALUE"""),"syling masil belum mirip")</f>
        <v>syling masil belum mirip</v>
      </c>
      <c r="F290" s="42" t="str">
        <f>IFERROR(__xludf.DUMMYFUNCTION("""COMPUTED_VALUE"""),"menyesuaikan style")</f>
        <v>menyesuaikan style</v>
      </c>
    </row>
    <row r="291">
      <c r="A291" s="43">
        <f>IFERROR(__xludf.DUMMYFUNCTION("""COMPUTED_VALUE"""),44124.758060127315)</f>
        <v>44124.75806</v>
      </c>
      <c r="B291" s="42" t="str">
        <f>IFERROR(__xludf.DUMMYFUNCTION("""COMPUTED_VALUE"""),"Muhammad")</f>
        <v>Muhammad</v>
      </c>
      <c r="C291" s="44">
        <f>IFERROR(__xludf.DUMMYFUNCTION("""COMPUTED_VALUE"""),44124.0)</f>
        <v>44124</v>
      </c>
      <c r="D291" s="42" t="str">
        <f>IFERROR(__xludf.DUMMYFUNCTION("""COMPUTED_VALUE"""),"Slicing for flight details page")</f>
        <v>Slicing for flight details page</v>
      </c>
      <c r="E291" s="42"/>
      <c r="F291" s="42" t="str">
        <f>IFERROR(__xludf.DUMMYFUNCTION("""COMPUTED_VALUE"""),"Slicing for booking details page")</f>
        <v>Slicing for booking details page</v>
      </c>
    </row>
    <row r="292">
      <c r="A292" s="43">
        <f>IFERROR(__xludf.DUMMYFUNCTION("""COMPUTED_VALUE"""),44125.379621342596)</f>
        <v>44125.37962</v>
      </c>
      <c r="B292" s="42" t="str">
        <f>IFERROR(__xludf.DUMMYFUNCTION("""COMPUTED_VALUE"""),"Wahyu Ramadhan")</f>
        <v>Wahyu Ramadhan</v>
      </c>
      <c r="C292" s="44">
        <f>IFERROR(__xludf.DUMMYFUNCTION("""COMPUTED_VALUE"""),44125.0)</f>
        <v>44125</v>
      </c>
      <c r="D292" s="42" t="str">
        <f>IFERROR(__xludf.DUMMYFUNCTION("""COMPUTED_VALUE"""),"Membuat update patch password untuk profile")</f>
        <v>Membuat update patch password untuk profile</v>
      </c>
      <c r="E292" s="42" t="str">
        <f>IFERROR(__xludf.DUMMYFUNCTION("""COMPUTED_VALUE"""),"Tidak")</f>
        <v>Tidak</v>
      </c>
      <c r="F292" s="42" t="str">
        <f>IFERROR(__xludf.DUMMYFUNCTION("""COMPUTED_VALUE"""),"Bantu temen2 yg belum selesai")</f>
        <v>Bantu temen2 yg belum selesai</v>
      </c>
    </row>
    <row r="293">
      <c r="A293" s="43">
        <f>IFERROR(__xludf.DUMMYFUNCTION("""COMPUTED_VALUE"""),44125.38750318287)</f>
        <v>44125.3875</v>
      </c>
      <c r="B293" s="42" t="str">
        <f>IFERROR(__xludf.DUMMYFUNCTION("""COMPUTED_VALUE"""),"Fahmi Aziz Ismail")</f>
        <v>Fahmi Aziz Ismail</v>
      </c>
      <c r="C293" s="44">
        <f>IFERROR(__xludf.DUMMYFUNCTION("""COMPUTED_VALUE"""),44125.0)</f>
        <v>44125</v>
      </c>
      <c r="D293" s="42" t="str">
        <f>IFERROR(__xludf.DUMMYFUNCTION("""COMPUTED_VALUE"""),"membuat fungsi patch profil, patch password, dan validasi pin")</f>
        <v>membuat fungsi patch profil, patch password, dan validasi pin</v>
      </c>
      <c r="E293" s="42" t="str">
        <f>IFERROR(__xludf.DUMMYFUNCTION("""COMPUTED_VALUE"""),"belum bisa menerapkan file limit, dan limit size di multer")</f>
        <v>belum bisa menerapkan file limit, dan limit size di multer</v>
      </c>
      <c r="F293" s="42" t="str">
        <f>IFERROR(__xludf.DUMMYFUNCTION("""COMPUTED_VALUE"""),"mencoba membuat fungsi get history transasaksi berdasarkan this week dan this month")</f>
        <v>mencoba membuat fungsi get history transasaksi berdasarkan this week dan this month</v>
      </c>
    </row>
    <row r="294">
      <c r="A294" s="43">
        <f>IFERROR(__xludf.DUMMYFUNCTION("""COMPUTED_VALUE"""),44125.387862766205)</f>
        <v>44125.38786</v>
      </c>
      <c r="B294" s="42" t="str">
        <f>IFERROR(__xludf.DUMMYFUNCTION("""COMPUTED_VALUE"""),"Ahmad Fatkhul Amam")</f>
        <v>Ahmad Fatkhul Amam</v>
      </c>
      <c r="C294" s="44">
        <f>IFERROR(__xludf.DUMMYFUNCTION("""COMPUTED_VALUE"""),44125.0)</f>
        <v>44125</v>
      </c>
      <c r="D294" s="42" t="str">
        <f>IFERROR(__xludf.DUMMYFUNCTION("""COMPUTED_VALUE"""),"slicing manage user and top up user handled by admin")</f>
        <v>slicing manage user and top up user handled by admin</v>
      </c>
      <c r="E294" s="42" t="str">
        <f>IFERROR(__xludf.DUMMYFUNCTION("""COMPUTED_VALUE"""),"I doubt which component of Reactstrapt should I use, still have a little trouble communicating with teammates and don't fully understand the use of git for teams")</f>
        <v>I doubt which component of Reactstrapt should I use, still have a little trouble communicating with teammates and don't fully understand the use of git for teams</v>
      </c>
      <c r="F294" s="42" t="str">
        <f>IFERROR(__xludf.DUMMYFUNCTION("""COMPUTED_VALUE"""),"managing data from backend to frondend use redux")</f>
        <v>managing data from backend to frondend use redux</v>
      </c>
    </row>
    <row r="295">
      <c r="A295" s="43">
        <f>IFERROR(__xludf.DUMMYFUNCTION("""COMPUTED_VALUE"""),44125.392879039355)</f>
        <v>44125.39288</v>
      </c>
      <c r="B295" s="42" t="str">
        <f>IFERROR(__xludf.DUMMYFUNCTION("""COMPUTED_VALUE"""),"Timotius Simanjuntak")</f>
        <v>Timotius Simanjuntak</v>
      </c>
      <c r="C295" s="44">
        <f>IFERROR(__xludf.DUMMYFUNCTION("""COMPUTED_VALUE"""),44125.0)</f>
        <v>44125</v>
      </c>
      <c r="D295" s="42" t="str">
        <f>IFERROR(__xludf.DUMMYFUNCTION("""COMPUTED_VALUE"""),"creating gmail account, and install package nodemailer, for send reset password to email, and patch some of manage user")</f>
        <v>creating gmail account, and install package nodemailer, for send reset password to email, and patch some of manage user</v>
      </c>
      <c r="E295" s="42"/>
      <c r="F295" s="42" t="str">
        <f>IFERROR(__xludf.DUMMYFUNCTION("""COMPUTED_VALUE"""),"connecting frontend to backend")</f>
        <v>connecting frontend to backend</v>
      </c>
    </row>
    <row r="296">
      <c r="A296" s="43">
        <f>IFERROR(__xludf.DUMMYFUNCTION("""COMPUTED_VALUE"""),44125.39398013889)</f>
        <v>44125.39398</v>
      </c>
      <c r="B296" s="42" t="str">
        <f>IFERROR(__xludf.DUMMYFUNCTION("""COMPUTED_VALUE"""),"Iqbal Athorid")</f>
        <v>Iqbal Athorid</v>
      </c>
      <c r="C296" s="44">
        <f>IFERROR(__xludf.DUMMYFUNCTION("""COMPUTED_VALUE"""),44125.0)</f>
        <v>44125</v>
      </c>
      <c r="D296" s="42" t="str">
        <f>IFERROR(__xludf.DUMMYFUNCTION("""COMPUTED_VALUE"""),"clean code on backend, and fix some bugs")</f>
        <v>clean code on backend, and fix some bugs</v>
      </c>
      <c r="E296" s="42"/>
      <c r="F296" s="42" t="str">
        <f>IFERROR(__xludf.DUMMYFUNCTION("""COMPUTED_VALUE"""),"fix bugs, deploy")</f>
        <v>fix bugs, deploy</v>
      </c>
    </row>
    <row r="297">
      <c r="A297" s="43">
        <f>IFERROR(__xludf.DUMMYFUNCTION("""COMPUTED_VALUE"""),44125.39569730324)</f>
        <v>44125.3957</v>
      </c>
      <c r="B297" s="42" t="str">
        <f>IFERROR(__xludf.DUMMYFUNCTION("""COMPUTED_VALUE"""),"Satrio Nugroho")</f>
        <v>Satrio Nugroho</v>
      </c>
      <c r="C297" s="44">
        <f>IFERROR(__xludf.DUMMYFUNCTION("""COMPUTED_VALUE"""),44125.0)</f>
        <v>44125</v>
      </c>
      <c r="D297" s="42" t="str">
        <f>IFERROR(__xludf.DUMMYFUNCTION("""COMPUTED_VALUE"""),"Kemaren saya telah menyelesaikan project team saya di front end untuk slicing beberapa komponen dan halaman")</f>
        <v>Kemaren saya telah menyelesaikan project team saya di front end untuk slicing beberapa komponen dan halaman</v>
      </c>
      <c r="E297" s="42" t="str">
        <f>IFERROR(__xludf.DUMMYFUNCTION("""COMPUTED_VALUE"""),"Pas styling ada yang janggal dikit ")</f>
        <v>Pas styling ada yang janggal dikit </v>
      </c>
      <c r="F297" s="42" t="str">
        <f>IFERROR(__xludf.DUMMYFUNCTION("""COMPUTED_VALUE"""),"Hari ini saya mengikuti kegiatan materi baru dan akan melanjutkan jika ada tugas project team lagi")</f>
        <v>Hari ini saya mengikuti kegiatan materi baru dan akan melanjutkan jika ada tugas project team lagi</v>
      </c>
    </row>
    <row r="298">
      <c r="A298" s="43">
        <f>IFERROR(__xludf.DUMMYFUNCTION("""COMPUTED_VALUE"""),44125.41319385417)</f>
        <v>44125.41319</v>
      </c>
      <c r="B298" s="42" t="str">
        <f>IFERROR(__xludf.DUMMYFUNCTION("""COMPUTED_VALUE"""),"Ahmad Asrofi")</f>
        <v>Ahmad Asrofi</v>
      </c>
      <c r="C298" s="44">
        <f>IFERROR(__xludf.DUMMYFUNCTION("""COMPUTED_VALUE"""),44125.0)</f>
        <v>44125</v>
      </c>
      <c r="D298" s="42" t="str">
        <f>IFERROR(__xludf.DUMMYFUNCTION("""COMPUTED_VALUE"""),"Creating a Carousel component for explore page")</f>
        <v>Creating a Carousel component for explore page</v>
      </c>
      <c r="E298" s="42" t="str">
        <f>IFERROR(__xludf.DUMMYFUNCTION("""COMPUTED_VALUE"""),"i got a problem when i wanted to custom carousel package. i have use many carousel package, but i got problem when i want to custom those")</f>
        <v>i got a problem when i wanted to custom carousel package. i have use many carousel package, but i got problem when i want to custom those</v>
      </c>
      <c r="F298" s="42" t="str">
        <f>IFERROR(__xludf.DUMMYFUNCTION("""COMPUTED_VALUE"""),"managing data for frontend. post data for register and login")</f>
        <v>managing data for frontend. post data for register and login</v>
      </c>
    </row>
    <row r="299">
      <c r="A299" s="43">
        <f>IFERROR(__xludf.DUMMYFUNCTION("""COMPUTED_VALUE"""),44125.41998136574)</f>
        <v>44125.41998</v>
      </c>
      <c r="B299" s="42" t="str">
        <f>IFERROR(__xludf.DUMMYFUNCTION("""COMPUTED_VALUE"""),"Muhammad Abdurasyid")</f>
        <v>Muhammad Abdurasyid</v>
      </c>
      <c r="C299" s="44">
        <f>IFERROR(__xludf.DUMMYFUNCTION("""COMPUTED_VALUE"""),44125.0)</f>
        <v>44125</v>
      </c>
      <c r="D299" s="42" t="str">
        <f>IFERROR(__xludf.DUMMYFUNCTION("""COMPUTED_VALUE"""),"1. Merge repo frontend project team
2. Slicing halaman profile, how to top up, status transfer (berhasil atau gagal)")</f>
        <v>1. Merge repo frontend project team
2. Slicing halaman profile, how to top up, status transfer (berhasil atau gagal)</v>
      </c>
      <c r="E299" s="42"/>
      <c r="F299" s="42" t="str">
        <f>IFERROR(__xludf.DUMMYFUNCTION("""COMPUTED_VALUE"""),"Mengerjakan bagian koneksi frontend ke backend / redux")</f>
        <v>Mengerjakan bagian koneksi frontend ke backend / redux</v>
      </c>
    </row>
    <row r="300">
      <c r="A300" s="43">
        <f>IFERROR(__xludf.DUMMYFUNCTION("""COMPUTED_VALUE"""),44125.42049263889)</f>
        <v>44125.42049</v>
      </c>
      <c r="B300" s="42" t="str">
        <f>IFERROR(__xludf.DUMMYFUNCTION("""COMPUTED_VALUE"""),"Muhamad Faris Alkodri")</f>
        <v>Muhamad Faris Alkodri</v>
      </c>
      <c r="C300" s="44">
        <f>IFERROR(__xludf.DUMMYFUNCTION("""COMPUTED_VALUE"""),44125.0)</f>
        <v>44125</v>
      </c>
      <c r="D300" s="42" t="str">
        <f>IFERROR(__xludf.DUMMYFUNCTION("""COMPUTED_VALUE"""),"Create mybooking and also ticketing")</f>
        <v>Create mybooking and also ticketing</v>
      </c>
      <c r="E300" s="42" t="str">
        <f>IFERROR(__xludf.DUMMYFUNCTION("""COMPUTED_VALUE"""),"My code was not too easy to understand such a long code but i give it comment to make my friends navigate easily through my code")</f>
        <v>My code was not too easy to understand such a long code but i give it comment to make my friends navigate easily through my code</v>
      </c>
      <c r="F300" s="42" t="str">
        <f>IFERROR(__xludf.DUMMYFUNCTION("""COMPUTED_VALUE"""),"I want to deploy node js to aws, and can access backend from remote")</f>
        <v>I want to deploy node js to aws, and can access backend from remote</v>
      </c>
    </row>
    <row r="301">
      <c r="A301" s="43">
        <f>IFERROR(__xludf.DUMMYFUNCTION("""COMPUTED_VALUE"""),44125.42108854167)</f>
        <v>44125.42109</v>
      </c>
      <c r="B301" s="42" t="str">
        <f>IFERROR(__xludf.DUMMYFUNCTION("""COMPUTED_VALUE"""),"Rezha Maulana Jaya")</f>
        <v>Rezha Maulana Jaya</v>
      </c>
      <c r="C301" s="44">
        <f>IFERROR(__xludf.DUMMYFUNCTION("""COMPUTED_VALUE"""),44125.0)</f>
        <v>44125</v>
      </c>
      <c r="D301" s="42" t="str">
        <f>IFERROR(__xludf.DUMMYFUNCTION("""COMPUTED_VALUE"""),"slicing komponent personal info project tim+ project personal fix localstorage ,register,rating ,checkout ")</f>
        <v>slicing komponent personal info project tim+ project personal fix localstorage ,register,rating ,checkout </v>
      </c>
      <c r="E301" s="42" t="str">
        <f>IFERROR(__xludf.DUMMYFUNCTION("""COMPUTED_VALUE"""),"deploy masih bingung di bagian backend
ada beberapa root yang delay lama")</f>
        <v>deploy masih bingung di bagian backend
ada beberapa root yang delay lama</v>
      </c>
      <c r="F301" s="42" t="str">
        <f>IFERROR(__xludf.DUMMYFUNCTION("""COMPUTED_VALUE"""),"fixing project tim")</f>
        <v>fixing project tim</v>
      </c>
    </row>
    <row r="302">
      <c r="A302" s="43">
        <f>IFERROR(__xludf.DUMMYFUNCTION("""COMPUTED_VALUE"""),44125.43286403935)</f>
        <v>44125.43286</v>
      </c>
      <c r="B302" s="42" t="str">
        <f>IFERROR(__xludf.DUMMYFUNCTION("""COMPUTED_VALUE"""),"Pramesti Regita Cahyani")</f>
        <v>Pramesti Regita Cahyani</v>
      </c>
      <c r="C302" s="44">
        <f>IFERROR(__xludf.DUMMYFUNCTION("""COMPUTED_VALUE"""),44125.0)</f>
        <v>44125</v>
      </c>
      <c r="D302" s="42" t="str">
        <f>IFERROR(__xludf.DUMMYFUNCTION("""COMPUTED_VALUE"""),"menyelesaikan styling profile detail")</f>
        <v>menyelesaikan styling profile detail</v>
      </c>
      <c r="E302" s="42" t="str">
        <f>IFERROR(__xludf.DUMMYFUNCTION("""COMPUTED_VALUE"""),"kurang komunikasi dengan teman yag lain karena gangguan jaringan")</f>
        <v>kurang komunikasi dengan teman yag lain karena gangguan jaringan</v>
      </c>
      <c r="F302" s="42" t="str">
        <f>IFERROR(__xludf.DUMMYFUNCTION("""COMPUTED_VALUE"""),"membuat advanced function di CRUD admin")</f>
        <v>membuat advanced function di CRUD admin</v>
      </c>
    </row>
    <row r="303">
      <c r="A303" s="43">
        <f>IFERROR(__xludf.DUMMYFUNCTION("""COMPUTED_VALUE"""),44125.43304175926)</f>
        <v>44125.43304</v>
      </c>
      <c r="B303" s="42" t="str">
        <f>IFERROR(__xludf.DUMMYFUNCTION("""COMPUTED_VALUE"""),"Furoidah Chilmi")</f>
        <v>Furoidah Chilmi</v>
      </c>
      <c r="C303" s="44">
        <f>IFERROR(__xludf.DUMMYFUNCTION("""COMPUTED_VALUE"""),44125.0)</f>
        <v>44125</v>
      </c>
      <c r="D303" s="42" t="str">
        <f>IFERROR(__xludf.DUMMYFUNCTION("""COMPUTED_VALUE"""),"mencoba mengerjakan page signup dan login ")</f>
        <v>mencoba mengerjakan page signup dan login </v>
      </c>
      <c r="E303" s="42" t="str">
        <f>IFERROR(__xludf.DUMMYFUNCTION("""COMPUTED_VALUE"""),"belum bisa menggunakan functional component jadi belum ada kemajuan ")</f>
        <v>belum bisa menggunakan functional component jadi belum ada kemajuan </v>
      </c>
      <c r="F303" s="42" t="str">
        <f>IFERROR(__xludf.DUMMYFUNCTION("""COMPUTED_VALUE"""),"mencoba lagi")</f>
        <v>mencoba lagi</v>
      </c>
    </row>
    <row r="304">
      <c r="A304" s="43">
        <f>IFERROR(__xludf.DUMMYFUNCTION("""COMPUTED_VALUE"""),44125.456627708336)</f>
        <v>44125.45663</v>
      </c>
      <c r="B304" s="42" t="str">
        <f>IFERROR(__xludf.DUMMYFUNCTION("""COMPUTED_VALUE"""),"Muhammad")</f>
        <v>Muhammad</v>
      </c>
      <c r="C304" s="44">
        <f>IFERROR(__xludf.DUMMYFUNCTION("""COMPUTED_VALUE"""),44125.0)</f>
        <v>44125</v>
      </c>
      <c r="D304" s="42" t="str">
        <f>IFERROR(__xludf.DUMMYFUNCTION("""COMPUTED_VALUE"""),"Slicing flight details
Slicing booking detail")</f>
        <v>Slicing flight details
Slicing booking detail</v>
      </c>
      <c r="E304" s="42" t="str">
        <f>IFERROR(__xludf.DUMMYFUNCTION("""COMPUTED_VALUE"""),"Implentation barcode")</f>
        <v>Implentation barcode</v>
      </c>
      <c r="F304" s="42" t="str">
        <f>IFERROR(__xludf.DUMMYFUNCTION("""COMPUTED_VALUE"""),"Fix component filter for searchResult page and managing data")</f>
        <v>Fix component filter for searchResult page and managing data</v>
      </c>
    </row>
    <row r="305">
      <c r="A305" s="43">
        <f>IFERROR(__xludf.DUMMYFUNCTION("""COMPUTED_VALUE"""),44126.40352186342)</f>
        <v>44126.40352</v>
      </c>
      <c r="B305" s="42" t="str">
        <f>IFERROR(__xludf.DUMMYFUNCTION("""COMPUTED_VALUE"""),"Ahmad Fatkhul Amam")</f>
        <v>Ahmad Fatkhul Amam</v>
      </c>
      <c r="C305" s="44">
        <f>IFERROR(__xludf.DUMMYFUNCTION("""COMPUTED_VALUE"""),44126.0)</f>
        <v>44126</v>
      </c>
      <c r="D305" s="42" t="str">
        <f>IFERROR(__xludf.DUMMYFUNCTION("""COMPUTED_VALUE"""),"creade admin page(manage user, manage flight page, add flight, edit flight)")</f>
        <v>creade admin page(manage user, manage flight page, add flight, edit flight)</v>
      </c>
      <c r="E305" s="42" t="str">
        <f>IFERROR(__xludf.DUMMYFUNCTION("""COMPUTED_VALUE"""),"managing data use state management redux")</f>
        <v>managing data use state management redux</v>
      </c>
      <c r="F305" s="42" t="str">
        <f>IFERROR(__xludf.DUMMYFUNCTION("""COMPUTED_VALUE"""),"managing admin data using redux")</f>
        <v>managing admin data using redux</v>
      </c>
    </row>
    <row r="306">
      <c r="A306" s="43">
        <f>IFERROR(__xludf.DUMMYFUNCTION("""COMPUTED_VALUE"""),44127.608647141205)</f>
        <v>44127.60865</v>
      </c>
      <c r="B306" s="42" t="str">
        <f>IFERROR(__xludf.DUMMYFUNCTION("""COMPUTED_VALUE"""),"Fahmi Aziz Ismail")</f>
        <v>Fahmi Aziz Ismail</v>
      </c>
      <c r="C306" s="44">
        <f>IFERROR(__xludf.DUMMYFUNCTION("""COMPUTED_VALUE"""),44127.0)</f>
        <v>44127</v>
      </c>
      <c r="D306" s="42" t="str">
        <f>IFERROR(__xludf.DUMMYFUNCTION("""COMPUTED_VALUE"""),"upload photo dan memperbaiki deploy frontend")</f>
        <v>upload photo dan memperbaiki deploy frontend</v>
      </c>
      <c r="E306" s="42" t="str">
        <f>IFERROR(__xludf.DUMMYFUNCTION("""COMPUTED_VALUE"""),"konfigurasi apache belum berjalan ")</f>
        <v>konfigurasi apache belum berjalan </v>
      </c>
      <c r="F306" s="42" t="str">
        <f>IFERROR(__xludf.DUMMYFUNCTION("""COMPUTED_VALUE"""),"menerapkan aturan multer untuk limit size dan limit file, menambahkan readme di github ")</f>
        <v>menerapkan aturan multer untuk limit size dan limit file, menambahkan readme di github </v>
      </c>
    </row>
    <row r="307">
      <c r="A307" s="43">
        <f>IFERROR(__xludf.DUMMYFUNCTION("""COMPUTED_VALUE"""),44127.6118855324)</f>
        <v>44127.61189</v>
      </c>
      <c r="B307" s="42" t="str">
        <f>IFERROR(__xludf.DUMMYFUNCTION("""COMPUTED_VALUE"""),"Iqbal Athorid")</f>
        <v>Iqbal Athorid</v>
      </c>
      <c r="C307" s="44">
        <f>IFERROR(__xludf.DUMMYFUNCTION("""COMPUTED_VALUE"""),44127.0)</f>
        <v>44127</v>
      </c>
      <c r="D307" s="42" t="str">
        <f>IFERROR(__xludf.DUMMYFUNCTION("""COMPUTED_VALUE"""),"fixed search receiver, changed layout history(add search and sort)")</f>
        <v>fixed search receiver, changed layout history(add search and sort)</v>
      </c>
      <c r="E307" s="42"/>
      <c r="F307" s="42" t="str">
        <f>IFERROR(__xludf.DUMMYFUNCTION("""COMPUTED_VALUE"""),"crated backend for search and sort history, and clean code on backend")</f>
        <v>crated backend for search and sort history, and clean code on backend</v>
      </c>
    </row>
    <row r="308">
      <c r="A308" s="43">
        <f>IFERROR(__xludf.DUMMYFUNCTION("""COMPUTED_VALUE"""),44127.6167878125)</f>
        <v>44127.61679</v>
      </c>
      <c r="B308" s="42" t="str">
        <f>IFERROR(__xludf.DUMMYFUNCTION("""COMPUTED_VALUE"""),"Ahmad Fatkhul Amam")</f>
        <v>Ahmad Fatkhul Amam</v>
      </c>
      <c r="C308" s="44">
        <f>IFERROR(__xludf.DUMMYFUNCTION("""COMPUTED_VALUE"""),44127.0)</f>
        <v>44127</v>
      </c>
      <c r="D308" s="42" t="str">
        <f>IFERROR(__xludf.DUMMYFUNCTION("""COMPUTED_VALUE"""),"fixing managing data from backend to frontend at add flight, discusion about struktur folder at frontend")</f>
        <v>fixing managing data from backend to frontend at add flight, discusion about struktur folder at frontend</v>
      </c>
      <c r="E308" s="42" t="str">
        <f>IFERROR(__xludf.DUMMYFUNCTION("""COMPUTED_VALUE"""),"some data used by the frontend, still crashes on the backend")</f>
        <v>some data used by the frontend, still crashes on the backend</v>
      </c>
      <c r="F308" s="42" t="str">
        <f>IFERROR(__xludf.DUMMYFUNCTION("""COMPUTED_VALUE"""),"managing data which admin can handle from backend and displayed to frontend")</f>
        <v>managing data which admin can handle from backend and displayed to frontend</v>
      </c>
    </row>
    <row r="309">
      <c r="A309" s="43">
        <f>IFERROR(__xludf.DUMMYFUNCTION("""COMPUTED_VALUE"""),44127.61910725695)</f>
        <v>44127.61911</v>
      </c>
      <c r="B309" s="42" t="str">
        <f>IFERROR(__xludf.DUMMYFUNCTION("""COMPUTED_VALUE"""),"Wahyu Ramadhan")</f>
        <v>Wahyu Ramadhan</v>
      </c>
      <c r="C309" s="44">
        <f>IFERROR(__xludf.DUMMYFUNCTION("""COMPUTED_VALUE"""),44127.0)</f>
        <v>44127</v>
      </c>
      <c r="D309" s="42" t="str">
        <f>IFERROR(__xludf.DUMMYFUNCTION("""COMPUTED_VALUE"""),"login admin, list all user")</f>
        <v>login admin, list all user</v>
      </c>
      <c r="E309" s="42" t="str">
        <f>IFERROR(__xludf.DUMMYFUNCTION("""COMPUTED_VALUE"""),"no")</f>
        <v>no</v>
      </c>
      <c r="F309" s="42" t="str">
        <f>IFERROR(__xludf.DUMMYFUNCTION("""COMPUTED_VALUE"""),"create user from admin, edit, and delete user")</f>
        <v>create user from admin, edit, and delete user</v>
      </c>
    </row>
    <row r="310">
      <c r="A310" s="43">
        <f>IFERROR(__xludf.DUMMYFUNCTION("""COMPUTED_VALUE"""),44127.6247649537)</f>
        <v>44127.62476</v>
      </c>
      <c r="B310" s="42" t="str">
        <f>IFERROR(__xludf.DUMMYFUNCTION("""COMPUTED_VALUE"""),"Pramesti Regita Cahyani")</f>
        <v>Pramesti Regita Cahyani</v>
      </c>
      <c r="C310" s="44">
        <f>IFERROR(__xludf.DUMMYFUNCTION("""COMPUTED_VALUE"""),44127.0)</f>
        <v>44127</v>
      </c>
      <c r="D310" s="42" t="str">
        <f>IFERROR(__xludf.DUMMYFUNCTION("""COMPUTED_VALUE"""),"alur data untuk login dan register")</f>
        <v>alur data untuk login dan register</v>
      </c>
      <c r="E310" s="42" t="str">
        <f>IFERROR(__xludf.DUMMYFUNCTION("""COMPUTED_VALUE"""),"perbedaan struktur pembuatan store redux dengan anggota tim yang lain")</f>
        <v>perbedaan struktur pembuatan store redux dengan anggota tim yang lain</v>
      </c>
      <c r="F310" s="42" t="str">
        <f>IFERROR(__xludf.DUMMYFUNCTION("""COMPUTED_VALUE"""),"membuat method logout, membuat method untuk edit data user dan avatar user, dan menampilkan data di halaman mybooking")</f>
        <v>membuat method logout, membuat method untuk edit data user dan avatar user, dan menampilkan data di halaman mybooking</v>
      </c>
    </row>
    <row r="311">
      <c r="A311" s="43">
        <f>IFERROR(__xludf.DUMMYFUNCTION("""COMPUTED_VALUE"""),44127.62553701389)</f>
        <v>44127.62554</v>
      </c>
      <c r="B311" s="42" t="str">
        <f>IFERROR(__xludf.DUMMYFUNCTION("""COMPUTED_VALUE"""),"Ahmad Asrofi")</f>
        <v>Ahmad Asrofi</v>
      </c>
      <c r="C311" s="44">
        <f>IFERROR(__xludf.DUMMYFUNCTION("""COMPUTED_VALUE"""),44127.0)</f>
        <v>44127</v>
      </c>
      <c r="D311" s="42" t="str">
        <f>IFERROR(__xludf.DUMMYFUNCTION("""COMPUTED_VALUE"""),"get profile detail for flight detail page, adding button on/off")</f>
        <v>get profile detail for flight detail page, adding button on/off</v>
      </c>
      <c r="E311" s="42"/>
      <c r="F311" s="42" t="str">
        <f>IFERROR(__xludf.DUMMYFUNCTION("""COMPUTED_VALUE"""),"process payment for booking ticket")</f>
        <v>process payment for booking ticket</v>
      </c>
    </row>
    <row r="312">
      <c r="A312" s="43">
        <f>IFERROR(__xludf.DUMMYFUNCTION("""COMPUTED_VALUE"""),44127.626883159726)</f>
        <v>44127.62688</v>
      </c>
      <c r="B312" s="42" t="str">
        <f>IFERROR(__xludf.DUMMYFUNCTION("""COMPUTED_VALUE"""),"Muhammad")</f>
        <v>Muhammad</v>
      </c>
      <c r="C312" s="44">
        <f>IFERROR(__xludf.DUMMYFUNCTION("""COMPUTED_VALUE"""),44127.0)</f>
        <v>44127</v>
      </c>
      <c r="D312" s="42" t="str">
        <f>IFERROR(__xludf.DUMMYFUNCTION("""COMPUTED_VALUE"""),"Update structure project for redux")</f>
        <v>Update structure project for redux</v>
      </c>
      <c r="E312" s="42"/>
      <c r="F312" s="42" t="str">
        <f>IFERROR(__xludf.DUMMYFUNCTION("""COMPUTED_VALUE"""),"Managing data for search flight")</f>
        <v>Managing data for search flight</v>
      </c>
    </row>
    <row r="313">
      <c r="A313" s="43">
        <f>IFERROR(__xludf.DUMMYFUNCTION("""COMPUTED_VALUE"""),44127.62840869213)</f>
        <v>44127.62841</v>
      </c>
      <c r="B313" s="42" t="str">
        <f>IFERROR(__xludf.DUMMYFUNCTION("""COMPUTED_VALUE"""),"Muhamad Faris Alkodri")</f>
        <v>Muhamad Faris Alkodri</v>
      </c>
      <c r="C313" s="44">
        <f>IFERROR(__xludf.DUMMYFUNCTION("""COMPUTED_VALUE"""),44127.0)</f>
        <v>44127</v>
      </c>
      <c r="D313" s="42" t="str">
        <f>IFERROR(__xludf.DUMMYFUNCTION("""COMPUTED_VALUE"""),"I'm fixing the backend especially in search that Timo has created (but unfortunately i ruined)")</f>
        <v>I'm fixing the backend especially in search that Timo has created (but unfortunately i ruined)</v>
      </c>
      <c r="E313" s="42" t="str">
        <f>IFERROR(__xludf.DUMMYFUNCTION("""COMPUTED_VALUE"""),"I haven't encountered any big problem yet")</f>
        <v>I haven't encountered any big problem yet</v>
      </c>
      <c r="F313" s="42" t="str">
        <f>IFERROR(__xludf.DUMMYFUNCTION("""COMPUTED_VALUE"""),"I want to make pivot table for facilities, and also make frontend for mybooking")</f>
        <v>I want to make pivot table for facilities, and also make frontend for mybooking</v>
      </c>
    </row>
    <row r="314">
      <c r="A314" s="43">
        <f>IFERROR(__xludf.DUMMYFUNCTION("""COMPUTED_VALUE"""),44127.63339512731)</f>
        <v>44127.6334</v>
      </c>
      <c r="B314" s="42" t="str">
        <f>IFERROR(__xludf.DUMMYFUNCTION("""COMPUTED_VALUE"""),"Satrio Nugroho")</f>
        <v>Satrio Nugroho</v>
      </c>
      <c r="C314" s="44">
        <f>IFERROR(__xludf.DUMMYFUNCTION("""COMPUTED_VALUE"""),44127.0)</f>
        <v>44127</v>
      </c>
      <c r="D314" s="42" t="str">
        <f>IFERROR(__xludf.DUMMYFUNCTION("""COMPUTED_VALUE"""),"saya mengerjakan untuk fixing beberapa halaman front end ")</f>
        <v>saya mengerjakan untuk fixing beberapa halaman front end </v>
      </c>
      <c r="E314" s="42"/>
      <c r="F314" s="42" t="str">
        <f>IFERROR(__xludf.DUMMYFUNCTION("""COMPUTED_VALUE"""),"hari ini saya masih mengerjakan bagian bagian komponen front end membuat alert")</f>
        <v>hari ini saya masih mengerjakan bagian bagian komponen front end membuat alert</v>
      </c>
    </row>
    <row r="315">
      <c r="A315" s="43">
        <f>IFERROR(__xludf.DUMMYFUNCTION("""COMPUTED_VALUE"""),44127.6350224537)</f>
        <v>44127.63502</v>
      </c>
      <c r="B315" s="42" t="str">
        <f>IFERROR(__xludf.DUMMYFUNCTION("""COMPUTED_VALUE"""),"Muhammad Abdurasyid")</f>
        <v>Muhammad Abdurasyid</v>
      </c>
      <c r="C315" s="44">
        <f>IFERROR(__xludf.DUMMYFUNCTION("""COMPUTED_VALUE"""),44127.0)</f>
        <v>44127</v>
      </c>
      <c r="D315" s="42" t="str">
        <f>IFERROR(__xludf.DUMMYFUNCTION("""COMPUTED_VALUE"""),"1. Setting environment React Native &amp; run aplikasinya ke physical device / HP
2. Merge repo frontend (baru dari branch Iqbal utk fungsi search receiver)")</f>
        <v>1. Setting environment React Native &amp; run aplikasinya ke physical device / HP
2. Merge repo frontend (baru dari branch Iqbal utk fungsi search receiver)</v>
      </c>
      <c r="E315" s="42"/>
      <c r="F315" s="42" t="str">
        <f>IFERROR(__xludf.DUMMYFUNCTION("""COMPUTED_VALUE"""),"Check &amp; merge repo frontend dari branch lainnya")</f>
        <v>Check &amp; merge repo frontend dari branch lainnya</v>
      </c>
    </row>
    <row r="316">
      <c r="A316" s="43">
        <f>IFERROR(__xludf.DUMMYFUNCTION("""COMPUTED_VALUE"""),44130.38787319444)</f>
        <v>44130.38787</v>
      </c>
      <c r="B316" s="42" t="str">
        <f>IFERROR(__xludf.DUMMYFUNCTION("""COMPUTED_VALUE"""),"Fahmi Aziz Ismail")</f>
        <v>Fahmi Aziz Ismail</v>
      </c>
      <c r="C316" s="44">
        <f>IFERROR(__xludf.DUMMYFUNCTION("""COMPUTED_VALUE"""),44130.0)</f>
        <v>44130</v>
      </c>
      <c r="D316" s="42" t="str">
        <f>IFERROR(__xludf.DUMMYFUNCTION("""COMPUTED_VALUE"""),"fix halaman goyang di login dan register, membuat file readme, documentasi postman, deploy aplikasi")</f>
        <v>fix halaman goyang di login dan register, membuat file readme, documentasi postman, deploy aplikasi</v>
      </c>
      <c r="E316" s="42" t="str">
        <f>IFERROR(__xludf.DUMMYFUNCTION("""COMPUTED_VALUE"""),"konfigurasi apache2 tidak berjalan")</f>
        <v>konfigurasi apache2 tidak berjalan</v>
      </c>
      <c r="F316" s="42" t="str">
        <f>IFERROR(__xludf.DUMMYFUNCTION("""COMPUTED_VALUE"""),"installasi react native")</f>
        <v>installasi react native</v>
      </c>
    </row>
    <row r="317">
      <c r="A317" s="43">
        <f>IFERROR(__xludf.DUMMYFUNCTION("""COMPUTED_VALUE"""),44130.40442076389)</f>
        <v>44130.40442</v>
      </c>
      <c r="B317" s="42" t="str">
        <f>IFERROR(__xludf.DUMMYFUNCTION("""COMPUTED_VALUE"""),"Timotius Simanjuntak")</f>
        <v>Timotius Simanjuntak</v>
      </c>
      <c r="C317" s="44">
        <f>IFERROR(__xludf.DUMMYFUNCTION("""COMPUTED_VALUE"""),44130.0)</f>
        <v>44130</v>
      </c>
      <c r="D317" s="42" t="str">
        <f>IFERROR(__xludf.DUMMYFUNCTION("""COMPUTED_VALUE""")," Create Flight for frontend admin,
Create detail flight for frontend admin,
Create Airline for frontend admin, 
create history transaction in admin,
create profile in admin,
edit some error in admin")</f>
        <v> Create Flight for frontend admin,
Create detail flight for frontend admin,
Create Airline for frontend admin, 
create history transaction in admin,
create profile in admin,
edit some error in admin</v>
      </c>
      <c r="E317" s="42"/>
      <c r="F317" s="42" t="str">
        <f>IFERROR(__xludf.DUMMYFUNCTION("""COMPUTED_VALUE"""),"Learn about react native")</f>
        <v>Learn about react native</v>
      </c>
    </row>
    <row r="318">
      <c r="A318" s="43">
        <f>IFERROR(__xludf.DUMMYFUNCTION("""COMPUTED_VALUE"""),44130.43032326389)</f>
        <v>44130.43032</v>
      </c>
      <c r="B318" s="42" t="str">
        <f>IFERROR(__xludf.DUMMYFUNCTION("""COMPUTED_VALUE"""),"Muhammad Abdurasyid")</f>
        <v>Muhammad Abdurasyid</v>
      </c>
      <c r="C318" s="44">
        <f>IFERROR(__xludf.DUMMYFUNCTION("""COMPUTED_VALUE"""),44130.0)</f>
        <v>44130</v>
      </c>
      <c r="D318" s="42" t="str">
        <f>IFERROR(__xludf.DUMMYFUNCTION("""COMPUTED_VALUE"""),"1. Merge repo frontend ke branch master
2. Format no HP &amp; balance di frontend
3. Menambahkan proses add phone number dgn menggunakan reducer edit profile
4. Menambahkan code agar ketika logout, semua reducer dikembalikan ke state awal
5. Menambahkan alert"&amp;" di bagian ganti password, update profile, tambah no HP, update PIN")</f>
        <v>1. Merge repo frontend ke branch master
2. Format no HP &amp; balance di frontend
3. Menambahkan proses add phone number dgn menggunakan reducer edit profile
4. Menambahkan code agar ketika logout, semua reducer dikembalikan ke state awal
5. Menambahkan alert di bagian ganti password, update profile, tambah no HP, update PIN</v>
      </c>
      <c r="E318" s="42" t="str">
        <f>IFERROR(__xludf.DUMMYFUNCTION("""COMPUTED_VALUE"""),"Saya belum pernah rollback commit di git, jadi saya cari referensi terlebih dahulu utk prosesnya seperti apa. 
Utk branch development juga ditemukan kendala, dimana bagian transfer menjadi kembali ke kondisi mockup")</f>
        <v>Saya belum pernah rollback commit di git, jadi saya cari referensi terlebih dahulu utk prosesnya seperti apa. 
Utk branch development juga ditemukan kendala, dimana bagian transfer menjadi kembali ke kondisi mockup</v>
      </c>
      <c r="F318" s="42" t="str">
        <f>IFERROR(__xludf.DUMMYFUNCTION("""COMPUTED_VALUE"""),"Belajar react native &amp; mencoba fixing query utk mendapatkan income dan expense dari histori transaksi")</f>
        <v>Belajar react native &amp; mencoba fixing query utk mendapatkan income dan expense dari histori transaksi</v>
      </c>
    </row>
    <row r="319">
      <c r="A319" s="43">
        <f>IFERROR(__xludf.DUMMYFUNCTION("""COMPUTED_VALUE"""),44131.38740178241)</f>
        <v>44131.3874</v>
      </c>
      <c r="B319" s="42" t="str">
        <f>IFERROR(__xludf.DUMMYFUNCTION("""COMPUTED_VALUE"""),"Rezha Maulana Jaya")</f>
        <v>Rezha Maulana Jaya</v>
      </c>
      <c r="C319" s="44">
        <f>IFERROR(__xludf.DUMMYFUNCTION("""COMPUTED_VALUE"""),44131.0)</f>
        <v>44131</v>
      </c>
      <c r="D319" s="42" t="str">
        <f>IFERROR(__xludf.DUMMYFUNCTION("""COMPUTED_VALUE"""),"tampilan login, dan mempelajari style di react native,implementasi trello buat management waktu
")</f>
        <v>tampilan login, dan mempelajari style di react native,implementasi trello buat management waktu
</v>
      </c>
      <c r="E319" s="42" t="str">
        <f>IFERROR(__xludf.DUMMYFUNCTION("""COMPUTED_VALUE"""),"buat landing page ketika masuk aplikasi")</f>
        <v>buat landing page ketika masuk aplikasi</v>
      </c>
      <c r="F319" s="42" t="str">
        <f>IFERROR(__xludf.DUMMYFUNCTION("""COMPUTED_VALUE"""),"beresin dulu tampilan ")</f>
        <v>beresin dulu tampilan </v>
      </c>
    </row>
    <row r="320">
      <c r="A320" s="43">
        <f>IFERROR(__xludf.DUMMYFUNCTION("""COMPUTED_VALUE"""),44131.4012338426)</f>
        <v>44131.40123</v>
      </c>
      <c r="B320" s="42" t="str">
        <f>IFERROR(__xludf.DUMMYFUNCTION("""COMPUTED_VALUE"""),"Muhammad Abdurasyid")</f>
        <v>Muhammad Abdurasyid</v>
      </c>
      <c r="C320" s="44">
        <f>IFERROR(__xludf.DUMMYFUNCTION("""COMPUTED_VALUE"""),44131.0)</f>
        <v>44131</v>
      </c>
      <c r="D320" s="42" t="str">
        <f>IFERROR(__xludf.DUMMYFUNCTION("""COMPUTED_VALUE"""),"Menggunakan library native base utk slicing screen login, signup, forgot password, reset password &amp; komponen footer")</f>
        <v>Menggunakan library native base utk slicing screen login, signup, forgot password, reset password &amp; komponen footer</v>
      </c>
      <c r="E320" s="42" t="str">
        <f>IFERROR(__xludf.DUMMYFUNCTION("""COMPUTED_VALUE"""),"Perlu waktu utk memahami dokumentasi dari library native base &amp; implementasinya")</f>
        <v>Perlu waktu utk memahami dokumentasi dari library native base &amp; implementasinya</v>
      </c>
      <c r="F320" s="42" t="str">
        <f>IFERROR(__xludf.DUMMYFUNCTION("""COMPUTED_VALUE"""),"Slicing halaman home, detail produk, my bag")</f>
        <v>Slicing halaman home, detail produk, my bag</v>
      </c>
    </row>
    <row r="321">
      <c r="A321" s="43">
        <f>IFERROR(__xludf.DUMMYFUNCTION("""COMPUTED_VALUE"""),44131.41948945602)</f>
        <v>44131.41949</v>
      </c>
      <c r="B321" s="42" t="str">
        <f>IFERROR(__xludf.DUMMYFUNCTION("""COMPUTED_VALUE"""),"Iqbal Athorid")</f>
        <v>Iqbal Athorid</v>
      </c>
      <c r="C321" s="44">
        <f>IFERROR(__xludf.DUMMYFUNCTION("""COMPUTED_VALUE"""),44131.0)</f>
        <v>44131</v>
      </c>
      <c r="D321" s="42" t="str">
        <f>IFERROR(__xludf.DUMMYFUNCTION("""COMPUTED_VALUE"""),"Learn layouting native base")</f>
        <v>Learn layouting native base</v>
      </c>
      <c r="E321" s="42"/>
      <c r="F321" s="42" t="str">
        <f>IFERROR(__xludf.DUMMYFUNCTION("""COMPUTED_VALUE"""),"learn redux on react native")</f>
        <v>learn redux on react native</v>
      </c>
    </row>
    <row r="322">
      <c r="A322" s="43">
        <f>IFERROR(__xludf.DUMMYFUNCTION("""COMPUTED_VALUE"""),44131.527705092594)</f>
        <v>44131.52771</v>
      </c>
      <c r="B322" s="42" t="str">
        <f>IFERROR(__xludf.DUMMYFUNCTION("""COMPUTED_VALUE"""),"Timotius Simanjuntak")</f>
        <v>Timotius Simanjuntak</v>
      </c>
      <c r="C322" s="44">
        <f>IFERROR(__xludf.DUMMYFUNCTION("""COMPUTED_VALUE"""),44131.0)</f>
        <v>44131</v>
      </c>
      <c r="D322" s="42" t="str">
        <f>IFERROR(__xludf.DUMMYFUNCTION("""COMPUTED_VALUE"""),"Create login page demo with react native, android studio.
Start to create login page for ecommerce.")</f>
        <v>Create login page demo with react native, android studio.
Start to create login page for ecommerce.</v>
      </c>
      <c r="E322" s="42" t="str">
        <f>IFERROR(__xludf.DUMMYFUNCTION("""COMPUTED_VALUE"""),"maybe lack with my devices")</f>
        <v>maybe lack with my devices</v>
      </c>
      <c r="F322" s="42" t="str">
        <f>IFERROR(__xludf.DUMMYFUNCTION("""COMPUTED_VALUE"""),"Creating more pages for ecommerce")</f>
        <v>Creating more pages for ecommerce</v>
      </c>
    </row>
    <row r="323">
      <c r="A323" s="43">
        <f>IFERROR(__xludf.DUMMYFUNCTION("""COMPUTED_VALUE"""),44131.52921877315)</f>
        <v>44131.52922</v>
      </c>
      <c r="B323" s="42" t="str">
        <f>IFERROR(__xludf.DUMMYFUNCTION("""COMPUTED_VALUE"""),"Muhammad")</f>
        <v>Muhammad</v>
      </c>
      <c r="C323" s="44">
        <f>IFERROR(__xludf.DUMMYFUNCTION("""COMPUTED_VALUE"""),44131.0)</f>
        <v>44131</v>
      </c>
      <c r="D323" s="42" t="str">
        <f>IFERROR(__xludf.DUMMYFUNCTION("""COMPUTED_VALUE"""),"trying to understand about component in react native
trying to understand about react navigation
trying to understand about native base
trying to understand about styled component in react native")</f>
        <v>trying to understand about component in react native
trying to understand about react navigation
trying to understand about native base
trying to understand about styled component in react native</v>
      </c>
      <c r="E323" s="42"/>
      <c r="F323" s="42" t="str">
        <f>IFERROR(__xludf.DUMMYFUNCTION("""COMPUTED_VALUE"""),"Slicing Component from mockup")</f>
        <v>Slicing Component from mockup</v>
      </c>
    </row>
    <row r="324">
      <c r="A324" s="43">
        <f>IFERROR(__xludf.DUMMYFUNCTION("""COMPUTED_VALUE"""),44131.53247219908)</f>
        <v>44131.53247</v>
      </c>
      <c r="B324" s="42" t="str">
        <f>IFERROR(__xludf.DUMMYFUNCTION("""COMPUTED_VALUE"""),"Fahmi Aziz Ismail")</f>
        <v>Fahmi Aziz Ismail</v>
      </c>
      <c r="C324" s="44">
        <f>IFERROR(__xludf.DUMMYFUNCTION("""COMPUTED_VALUE"""),44131.0)</f>
        <v>44131</v>
      </c>
      <c r="D324" s="42" t="str">
        <f>IFERROR(__xludf.DUMMYFUNCTION("""COMPUTED_VALUE"""),"membuat mockup halaman login dengan styling native base")</f>
        <v>membuat mockup halaman login dengan styling native base</v>
      </c>
      <c r="E324" s="42" t="str">
        <f>IFERROR(__xludf.DUMMYFUNCTION("""COMPUTED_VALUE"""),"masih belum terbiasa dengan cara styling, halaman masih acak acakan")</f>
        <v>masih belum terbiasa dengan cara styling, halaman masih acak acakan</v>
      </c>
      <c r="F324" s="42" t="str">
        <f>IFERROR(__xludf.DUMMYFUNCTION("""COMPUTED_VALUE"""),"slicing halaman login, register, home, dan memperbaiki backend")</f>
        <v>slicing halaman login, register, home, dan memperbaiki backend</v>
      </c>
    </row>
    <row r="325">
      <c r="A325" s="43">
        <f>IFERROR(__xludf.DUMMYFUNCTION("""COMPUTED_VALUE"""),44131.535604247685)</f>
        <v>44131.5356</v>
      </c>
      <c r="B325" s="42" t="str">
        <f>IFERROR(__xludf.DUMMYFUNCTION("""COMPUTED_VALUE"""),"Ahmad Fatkhul Amam")</f>
        <v>Ahmad Fatkhul Amam</v>
      </c>
      <c r="C325" s="44">
        <f>IFERROR(__xludf.DUMMYFUNCTION("""COMPUTED_VALUE"""),44131.0)</f>
        <v>44131</v>
      </c>
      <c r="D325" s="42" t="str">
        <f>IFERROR(__xludf.DUMMYFUNCTION("""COMPUTED_VALUE"""),"fixed android sdk package to run the react-native program, trying to create views with React Native")</f>
        <v>fixed android sdk package to run the react-native program, trying to create views with React Native</v>
      </c>
      <c r="E325" s="42" t="str">
        <f>IFERROR(__xludf.DUMMYFUNCTION("""COMPUTED_VALUE"""),"my react native project cannot run in emulator")</f>
        <v>my react native project cannot run in emulator</v>
      </c>
      <c r="F325" s="42" t="str">
        <f>IFERROR(__xludf.DUMMYFUNCTION("""COMPUTED_VALUE"""),"runs the react native project in the emulator, creates login and sign-in pages of the ecommerce app")</f>
        <v>runs the react native project in the emulator, creates login and sign-in pages of the ecommerce app</v>
      </c>
    </row>
    <row r="326">
      <c r="A326" s="43">
        <f>IFERROR(__xludf.DUMMYFUNCTION("""COMPUTED_VALUE"""),44131.5361666088)</f>
        <v>44131.53617</v>
      </c>
      <c r="B326" s="42" t="str">
        <f>IFERROR(__xludf.DUMMYFUNCTION("""COMPUTED_VALUE"""),"Pramesti Regita Cahyani")</f>
        <v>Pramesti Regita Cahyani</v>
      </c>
      <c r="C326" s="44">
        <f>IFERROR(__xludf.DUMMYFUNCTION("""COMPUTED_VALUE"""),44131.0)</f>
        <v>44131</v>
      </c>
      <c r="D326" s="42" t="str">
        <f>IFERROR(__xludf.DUMMYFUNCTION("""COMPUTED_VALUE"""),"Berhasil menampilkan welcome page dari react-native di emulator")</f>
        <v>Berhasil menampilkan welcome page dari react-native di emulator</v>
      </c>
      <c r="E326" s="42" t="str">
        <f>IFERROR(__xludf.DUMMYFUNCTION("""COMPUTED_VALUE"""),"masih mempelajari cara pengimplementasian native base")</f>
        <v>masih mempelajari cara pengimplementasian native base</v>
      </c>
      <c r="F326" s="42" t="str">
        <f>IFERROR(__xludf.DUMMYFUNCTION("""COMPUTED_VALUE"""),"mulai untuk slicing page sign up, login, dan forgot password")</f>
        <v>mulai untuk slicing page sign up, login, dan forgot password</v>
      </c>
    </row>
    <row r="327">
      <c r="A327" s="43">
        <f>IFERROR(__xludf.DUMMYFUNCTION("""COMPUTED_VALUE"""),44131.54184709491)</f>
        <v>44131.54185</v>
      </c>
      <c r="B327" s="42" t="str">
        <f>IFERROR(__xludf.DUMMYFUNCTION("""COMPUTED_VALUE"""),"Muhamad Faris Alkodri")</f>
        <v>Muhamad Faris Alkodri</v>
      </c>
      <c r="C327" s="44">
        <f>IFERROR(__xludf.DUMMYFUNCTION("""COMPUTED_VALUE"""),44131.0)</f>
        <v>44131</v>
      </c>
      <c r="D327" s="42" t="str">
        <f>IFERROR(__xludf.DUMMYFUNCTION("""COMPUTED_VALUE"""),"I do exploring how to use react-native and also working on my backend especially for linter")</f>
        <v>I do exploring how to use react-native and also working on my backend especially for linter</v>
      </c>
      <c r="E327" s="42" t="str">
        <f>IFERROR(__xludf.DUMMYFUNCTION("""COMPUTED_VALUE"""),"my problems are my phone's memory are nearly full so it took a long time to connect to react-native")</f>
        <v>my problems are my phone's memory are nearly full so it took a long time to connect to react-native</v>
      </c>
      <c r="F327" s="42" t="str">
        <f>IFERROR(__xludf.DUMMYFUNCTION("""COMPUTED_VALUE"""),"I want to exploring the bootstrap-like features on react-native so i can do things easily")</f>
        <v>I want to exploring the bootstrap-like features on react-native so i can do things easily</v>
      </c>
    </row>
    <row r="328">
      <c r="A328" s="43">
        <f>IFERROR(__xludf.DUMMYFUNCTION("""COMPUTED_VALUE"""),44131.544800648146)</f>
        <v>44131.5448</v>
      </c>
      <c r="B328" s="42" t="str">
        <f>IFERROR(__xludf.DUMMYFUNCTION("""COMPUTED_VALUE"""),"Furoidah Chilmi")</f>
        <v>Furoidah Chilmi</v>
      </c>
      <c r="C328" s="44">
        <f>IFERROR(__xludf.DUMMYFUNCTION("""COMPUTED_VALUE"""),44131.0)</f>
        <v>44131</v>
      </c>
      <c r="D328" s="42" t="str">
        <f>IFERROR(__xludf.DUMMYFUNCTION("""COMPUTED_VALUE"""),"menyelesaikan page register dan login")</f>
        <v>menyelesaikan page register dan login</v>
      </c>
      <c r="E328" s="42" t="str">
        <f>IFERROR(__xludf.DUMMYFUNCTION("""COMPUTED_VALUE"""),"terlalu berat di laptop saya jadi semua proses membutuhkan waktu yg sangat lama, belum familiar dengan react native")</f>
        <v>terlalu berat di laptop saya jadi semua proses membutuhkan waktu yg sangat lama, belum familiar dengan react native</v>
      </c>
      <c r="F328" s="42" t="str">
        <f>IFERROR(__xludf.DUMMYFUNCTION("""COMPUTED_VALUE"""),"slicing page yg lain")</f>
        <v>slicing page yg lain</v>
      </c>
    </row>
    <row r="329">
      <c r="A329" s="43">
        <f>IFERROR(__xludf.DUMMYFUNCTION("""COMPUTED_VALUE"""),44131.550031192135)</f>
        <v>44131.55003</v>
      </c>
      <c r="B329" s="42" t="str">
        <f>IFERROR(__xludf.DUMMYFUNCTION("""COMPUTED_VALUE"""),"Ahmad Asrofi")</f>
        <v>Ahmad Asrofi</v>
      </c>
      <c r="C329" s="44">
        <f>IFERROR(__xludf.DUMMYFUNCTION("""COMPUTED_VALUE"""),44131.0)</f>
        <v>44131</v>
      </c>
      <c r="D329" s="42" t="str">
        <f>IFERROR(__xludf.DUMMYFUNCTION("""COMPUTED_VALUE"""),"init project ecommerce mobile")</f>
        <v>init project ecommerce mobile</v>
      </c>
      <c r="E329" s="42" t="str">
        <f>IFERROR(__xludf.DUMMYFUNCTION("""COMPUTED_VALUE"""),"when i want to run android, there is a error for gradle")</f>
        <v>when i want to run android, there is a error for gradle</v>
      </c>
      <c r="F329" s="42" t="str">
        <f>IFERROR(__xludf.DUMMYFUNCTION("""COMPUTED_VALUE"""),"i want to try creating page from Mockup")</f>
        <v>i want to try creating page from Mockup</v>
      </c>
    </row>
    <row r="330">
      <c r="A330" s="43">
        <f>IFERROR(__xludf.DUMMYFUNCTION("""COMPUTED_VALUE"""),44131.55007253472)</f>
        <v>44131.55007</v>
      </c>
      <c r="B330" s="42" t="str">
        <f>IFERROR(__xludf.DUMMYFUNCTION("""COMPUTED_VALUE"""),"Satrio Nugroho")</f>
        <v>Satrio Nugroho</v>
      </c>
      <c r="C330" s="44">
        <f>IFERROR(__xludf.DUMMYFUNCTION("""COMPUTED_VALUE"""),44131.0)</f>
        <v>44131</v>
      </c>
      <c r="D330" s="42" t="str">
        <f>IFERROR(__xludf.DUMMYFUNCTION("""COMPUTED_VALUE"""),"masih melakukan instalasi environment di react native")</f>
        <v>masih melakukan instalasi environment di react native</v>
      </c>
      <c r="E330" s="42" t="str">
        <f>IFERROR(__xludf.DUMMYFUNCTION("""COMPUTED_VALUE"""),"masih belum solve dalam instalasi react native")</f>
        <v>masih belum solve dalam instalasi react native</v>
      </c>
      <c r="F330" s="42" t="str">
        <f>IFERROR(__xludf.DUMMYFUNCTION("""COMPUTED_VALUE"""),"hari ini saya akan menyelesaikan untuk instalasi supaya bisa melanjutkan project react native")</f>
        <v>hari ini saya akan menyelesaikan untuk instalasi supaya bisa melanjutkan project react native</v>
      </c>
    </row>
    <row r="331">
      <c r="A331" s="43">
        <f>IFERROR(__xludf.DUMMYFUNCTION("""COMPUTED_VALUE"""),44131.67536775463)</f>
        <v>44131.67537</v>
      </c>
      <c r="B331" s="42" t="str">
        <f>IFERROR(__xludf.DUMMYFUNCTION("""COMPUTED_VALUE"""),"Wahyu Ramadhan")</f>
        <v>Wahyu Ramadhan</v>
      </c>
      <c r="C331" s="44">
        <f>IFERROR(__xludf.DUMMYFUNCTION("""COMPUTED_VALUE"""),44131.0)</f>
        <v>44131</v>
      </c>
      <c r="D331" s="42" t="str">
        <f>IFERROR(__xludf.DUMMYFUNCTION("""COMPUTED_VALUE"""),"Slicing screen login")</f>
        <v>Slicing screen login</v>
      </c>
      <c r="E331" s="42" t="str">
        <f>IFERROR(__xludf.DUMMYFUNCTION("""COMPUTED_VALUE"""),"no")</f>
        <v>no</v>
      </c>
      <c r="F331" s="42" t="str">
        <f>IFERROR(__xludf.DUMMYFUNCTION("""COMPUTED_VALUE"""),"Slicing screen register")</f>
        <v>Slicing screen register</v>
      </c>
    </row>
    <row r="332">
      <c r="A332" s="43">
        <f>IFERROR(__xludf.DUMMYFUNCTION("""COMPUTED_VALUE"""),44134.41476421297)</f>
        <v>44134.41476</v>
      </c>
      <c r="B332" s="42" t="str">
        <f>IFERROR(__xludf.DUMMYFUNCTION("""COMPUTED_VALUE"""),"Fahmi Aziz Ismail")</f>
        <v>Fahmi Aziz Ismail</v>
      </c>
      <c r="C332" s="44">
        <f>IFERROR(__xludf.DUMMYFUNCTION("""COMPUTED_VALUE"""),44134.0)</f>
        <v>44134</v>
      </c>
      <c r="D332" s="42" t="str">
        <f>IFERROR(__xludf.DUMMYFUNCTION("""COMPUTED_VALUE"""),"membuat halaman login, register,  forgot password, dan fungsi login ")</f>
        <v>membuat halaman login, register,  forgot password, dan fungsi login </v>
      </c>
      <c r="E332" s="42"/>
      <c r="F332" s="42" t="str">
        <f>IFERROR(__xludf.DUMMYFUNCTION("""COMPUTED_VALUE"""),"membuat fungsi register , membuat halaman home")</f>
        <v>membuat fungsi register , membuat halaman home</v>
      </c>
    </row>
    <row r="333">
      <c r="A333" s="43">
        <f>IFERROR(__xludf.DUMMYFUNCTION("""COMPUTED_VALUE"""),44135.42505077546)</f>
        <v>44135.42505</v>
      </c>
      <c r="B333" s="42" t="str">
        <f>IFERROR(__xludf.DUMMYFUNCTION("""COMPUTED_VALUE"""),"Fahmi Aziz Ismail")</f>
        <v>Fahmi Aziz Ismail</v>
      </c>
      <c r="C333" s="44">
        <f>IFERROR(__xludf.DUMMYFUNCTION("""COMPUTED_VALUE"""),44135.0)</f>
        <v>44135</v>
      </c>
      <c r="D333" s="42" t="str">
        <f>IFERROR(__xludf.DUMMYFUNCTION("""COMPUTED_VALUE"""),"slicing halaman home")</f>
        <v>slicing halaman home</v>
      </c>
      <c r="E333" s="42" t="str">
        <f>IFERROR(__xludf.DUMMYFUNCTION("""COMPUTED_VALUE"""),"carousel belum bisa di styling")</f>
        <v>carousel belum bisa di styling</v>
      </c>
      <c r="F333" s="42" t="str">
        <f>IFERROR(__xludf.DUMMYFUNCTION("""COMPUTED_VALUE"""),"slicing halaman detail product, catalog, dan cart")</f>
        <v>slicing halaman detail product, catalog, dan cart</v>
      </c>
    </row>
    <row r="334">
      <c r="A334" s="43">
        <f>IFERROR(__xludf.DUMMYFUNCTION("""COMPUTED_VALUE"""),44137.331610636575)</f>
        <v>44137.33161</v>
      </c>
      <c r="B334" s="42" t="str">
        <f>IFERROR(__xludf.DUMMYFUNCTION("""COMPUTED_VALUE"""),"Muhammad Abdurasyid")</f>
        <v>Muhammad Abdurasyid</v>
      </c>
      <c r="C334" s="44">
        <f>IFERROR(__xludf.DUMMYFUNCTION("""COMPUTED_VALUE"""),44137.0)</f>
        <v>44137</v>
      </c>
      <c r="D334" s="42" t="str">
        <f>IFERROR(__xludf.DUMMYFUNCTION("""COMPUTED_VALUE"""),"Slicing screen: 
1. Home utk bagian new product &amp; popular product
2. Screen bagian shop, utk memilih kategori produk belanja
3. Screen catalog produk berdasarkan kategori yg dilihat
4. Screen cart atau my bag
5. Screen profile
6. Screen detail produk
7. S"&amp;"creen checkout
8. Screen ketika success checkout/order
9. Screen list shipping address
10. Screen tambah shipping address baru
11. Screen edit shipping address
12. Screen settings
13. Screen update password 
14. Screen update profile")</f>
        <v>Slicing screen: 
1. Home utk bagian new product &amp; popular product
2. Screen bagian shop, utk memilih kategori produk belanja
3. Screen catalog produk berdasarkan kategori yg dilihat
4. Screen cart atau my bag
5. Screen profile
6. Screen detail produk
7. Screen checkout
8. Screen ketika success checkout/order
9. Screen list shipping address
10. Screen tambah shipping address baru
11. Screen edit shipping address
12. Screen settings
13. Screen update password 
14. Screen update profile</v>
      </c>
      <c r="E334" s="42"/>
      <c r="F334" s="42" t="str">
        <f>IFERROR(__xludf.DUMMYFUNCTION("""COMPUTED_VALUE"""),"- Menambahkan redux utk proses login, register &amp; menampilkan home
- Menggunakan redux-persist")</f>
        <v>- Menambahkan redux utk proses login, register &amp; menampilkan home
- Menggunakan redux-persist</v>
      </c>
    </row>
    <row r="335">
      <c r="A335" s="43">
        <f>IFERROR(__xludf.DUMMYFUNCTION("""COMPUTED_VALUE"""),44137.365457974534)</f>
        <v>44137.36546</v>
      </c>
      <c r="B335" s="42" t="str">
        <f>IFERROR(__xludf.DUMMYFUNCTION("""COMPUTED_VALUE"""),"Furoidah Chilmi")</f>
        <v>Furoidah Chilmi</v>
      </c>
      <c r="C335" s="44">
        <f>IFERROR(__xludf.DUMMYFUNCTION("""COMPUTED_VALUE"""),44137.0)</f>
        <v>44137</v>
      </c>
      <c r="D335" s="42" t="str">
        <f>IFERROR(__xludf.DUMMYFUNCTION("""COMPUTED_VALUE"""),"slicing page dan get dari backend")</f>
        <v>slicing page dan get dari backend</v>
      </c>
      <c r="E335" s="42" t="str">
        <f>IFERROR(__xludf.DUMMYFUNCTION("""COMPUTED_VALUE"""),"masih banyak error. ")</f>
        <v>masih banyak error. </v>
      </c>
      <c r="F335" s="42" t="str">
        <f>IFERROR(__xludf.DUMMYFUNCTION("""COMPUTED_VALUE"""),"fixing error dan menyelesaikan flow utama")</f>
        <v>fixing error dan menyelesaikan flow utama</v>
      </c>
    </row>
    <row r="336">
      <c r="A336" s="43">
        <f>IFERROR(__xludf.DUMMYFUNCTION("""COMPUTED_VALUE"""),44137.37831533565)</f>
        <v>44137.37832</v>
      </c>
      <c r="B336" s="42" t="str">
        <f>IFERROR(__xludf.DUMMYFUNCTION("""COMPUTED_VALUE"""),"Pramesti Regita Cahyani")</f>
        <v>Pramesti Regita Cahyani</v>
      </c>
      <c r="C336" s="44">
        <f>IFERROR(__xludf.DUMMYFUNCTION("""COMPUTED_VALUE"""),44137.0)</f>
        <v>44137</v>
      </c>
      <c r="D336" s="42" t="str">
        <f>IFERROR(__xludf.DUMMYFUNCTION("""COMPUTED_VALUE"""),"Slicing screen yang ada di tab profile, membuat method untuk login dan menampilkan avatar, nama, email, order history, dan address menggunakan redung")</f>
        <v>Slicing screen yang ada di tab profile, membuat method untuk login dan menampilkan avatar, nama, email, order history, dan address menggunakan redung</v>
      </c>
      <c r="E336" s="42" t="str">
        <f>IFERROR(__xludf.DUMMYFUNCTION("""COMPUTED_VALUE"""),"belum mencari cara agar bisa scroll ke bawah, saat slicing masih lama dan masih mempelajari lagi, ada beberapa component yang stylenya setelah dimasukkan data kurang pas")</f>
        <v>belum mencari cara agar bisa scroll ke bawah, saat slicing masih lama dan masih mempelajari lagi, ada beberapa component yang stylenya setelah dimasukkan data kurang pas</v>
      </c>
      <c r="F336" s="42" t="str">
        <f>IFERROR(__xludf.DUMMYFUNCTION("""COMPUTED_VALUE"""),"merevisi style yang masih belum pas, karena belum membuat screen landing page saya akan membuatnya hari ini, sekaligus implementasi method sign up")</f>
        <v>merevisi style yang masih belum pas, karena belum membuat screen landing page saya akan membuatnya hari ini, sekaligus implementasi method sign up</v>
      </c>
    </row>
    <row r="337">
      <c r="A337" s="43">
        <f>IFERROR(__xludf.DUMMYFUNCTION("""COMPUTED_VALUE"""),44137.38029792824)</f>
        <v>44137.3803</v>
      </c>
      <c r="B337" s="42" t="str">
        <f>IFERROR(__xludf.DUMMYFUNCTION("""COMPUTED_VALUE"""),"Muhammad")</f>
        <v>Muhammad</v>
      </c>
      <c r="C337" s="44">
        <f>IFERROR(__xludf.DUMMYFUNCTION("""COMPUTED_VALUE"""),44137.0)</f>
        <v>44137</v>
      </c>
      <c r="D337" s="42" t="str">
        <f>IFERROR(__xludf.DUMMYFUNCTION("""COMPUTED_VALUE"""),"Slicing all screens on mockup")</f>
        <v>Slicing all screens on mockup</v>
      </c>
      <c r="E337" s="42"/>
      <c r="F337" s="42" t="str">
        <f>IFERROR(__xludf.DUMMYFUNCTION("""COMPUTED_VALUE"""),"Fix advance components and managing data for home screen")</f>
        <v>Fix advance components and managing data for home screen</v>
      </c>
    </row>
    <row r="338">
      <c r="A338" s="43">
        <f>IFERROR(__xludf.DUMMYFUNCTION("""COMPUTED_VALUE"""),44137.384983958334)</f>
        <v>44137.38498</v>
      </c>
      <c r="B338" s="42" t="str">
        <f>IFERROR(__xludf.DUMMYFUNCTION("""COMPUTED_VALUE"""),"Ahmad Asrofi")</f>
        <v>Ahmad Asrofi</v>
      </c>
      <c r="C338" s="44">
        <f>IFERROR(__xludf.DUMMYFUNCTION("""COMPUTED_VALUE"""),44137.0)</f>
        <v>44137</v>
      </c>
      <c r="D338" s="42" t="str">
        <f>IFERROR(__xludf.DUMMYFUNCTION("""COMPUTED_VALUE"""),"creating Signup, Login and Profile root Screen")</f>
        <v>creating Signup, Login and Profile root Screen</v>
      </c>
      <c r="E338" s="42" t="str">
        <f>IFERROR(__xludf.DUMMYFUNCTION("""COMPUTED_VALUE"""),"i want to implement icon from react native vector icons Material Community Icons. when i run react-native link, the icon is different from source or nothing to show. but when i run npx react-native link react-native-vector-icons, it runs normally")</f>
        <v>i want to implement icon from react native vector icons Material Community Icons. when i run react-native link, the icon is different from source or nothing to show. but when i run npx react-native link react-native-vector-icons, it runs normally</v>
      </c>
      <c r="F338" s="42" t="str">
        <f>IFERROR(__xludf.DUMMYFUNCTION("""COMPUTED_VALUE"""),"creating profile My Orders, change password, Home Screen")</f>
        <v>creating profile My Orders, change password, Home Screen</v>
      </c>
    </row>
    <row r="339">
      <c r="A339" s="43">
        <f>IFERROR(__xludf.DUMMYFUNCTION("""COMPUTED_VALUE"""),44137.3857430787)</f>
        <v>44137.38574</v>
      </c>
      <c r="B339" s="42" t="str">
        <f>IFERROR(__xludf.DUMMYFUNCTION("""COMPUTED_VALUE"""),"Muhamad Faris Alkodri")</f>
        <v>Muhamad Faris Alkodri</v>
      </c>
      <c r="C339" s="44">
        <f>IFERROR(__xludf.DUMMYFUNCTION("""COMPUTED_VALUE"""),44137.0)</f>
        <v>44137</v>
      </c>
      <c r="D339" s="42" t="str">
        <f>IFERROR(__xludf.DUMMYFUNCTION("""COMPUTED_VALUE"""),"I dont do much on react native instead i was preparing my backend because my back end is too much mess and unfortunately the job is done on sunday so i just start my react native apps and now is working on login forgot password and home screen")</f>
        <v>I dont do much on react native instead i was preparing my backend because my back end is too much mess and unfortunately the job is done on sunday so i just start my react native apps and now is working on login forgot password and home screen</v>
      </c>
      <c r="E339" s="42" t="str">
        <f>IFERROR(__xludf.DUMMYFUNCTION("""COMPUTED_VALUE"""),"There is an error with running main with roottag 1, invariant violation main has nkt been registered and i dont know how to solve that")</f>
        <v>There is an error with running main with roottag 1, invariant violation main has nkt been registered and i dont know how to solve that</v>
      </c>
      <c r="F339" s="42" t="str">
        <f>IFERROR(__xludf.DUMMYFUNCTION("""COMPUTED_VALUE"""),"I want to solve the error on the react app and slicing all the screen that i could do today")</f>
        <v>I want to solve the error on the react app and slicing all the screen that i could do today</v>
      </c>
    </row>
    <row r="340">
      <c r="A340" s="43">
        <f>IFERROR(__xludf.DUMMYFUNCTION("""COMPUTED_VALUE"""),44137.38765664352)</f>
        <v>44137.38766</v>
      </c>
      <c r="B340" s="42" t="str">
        <f>IFERROR(__xludf.DUMMYFUNCTION("""COMPUTED_VALUE"""),"Fahmi Aziz Ismail")</f>
        <v>Fahmi Aziz Ismail</v>
      </c>
      <c r="C340" s="44">
        <f>IFERROR(__xludf.DUMMYFUNCTION("""COMPUTED_VALUE"""),44137.0)</f>
        <v>44137</v>
      </c>
      <c r="D340" s="42" t="str">
        <f>IFERROR(__xludf.DUMMYFUNCTION("""COMPUTED_VALUE"""),"slicing halaman catalog, cart, checkout, success,  Detail Product, Category memperbaiki carousel, ")</f>
        <v>slicing halaman catalog, cart, checkout, success,  Detail Product, Category memperbaiki carousel, </v>
      </c>
      <c r="E340" s="42" t="str">
        <f>IFERROR(__xludf.DUMMYFUNCTION("""COMPUTED_VALUE"""),"env masih belum berfungsi")</f>
        <v>env masih belum berfungsi</v>
      </c>
      <c r="F340" s="42" t="str">
        <f>IFERROR(__xludf.DUMMYFUNCTION("""COMPUTED_VALUE"""),"membuat slicing halaman profile, dan halaman my order, membuat fungsi register, menampilkan item di halaman home")</f>
        <v>membuat slicing halaman profile, dan halaman my order, membuat fungsi register, menampilkan item di halaman home</v>
      </c>
    </row>
    <row r="341">
      <c r="A341" s="43">
        <f>IFERROR(__xludf.DUMMYFUNCTION("""COMPUTED_VALUE"""),44137.39319387732)</f>
        <v>44137.39319</v>
      </c>
      <c r="B341" s="42" t="str">
        <f>IFERROR(__xludf.DUMMYFUNCTION("""COMPUTED_VALUE"""),"Ahmad Fatkhul Amam")</f>
        <v>Ahmad Fatkhul Amam</v>
      </c>
      <c r="C341" s="44">
        <f>IFERROR(__xludf.DUMMYFUNCTION("""COMPUTED_VALUE"""),44137.0)</f>
        <v>44137</v>
      </c>
      <c r="D341" s="42" t="str">
        <f>IFERROR(__xludf.DUMMYFUNCTION("""COMPUTED_VALUE"""),"customization bottom tab,a and customization header from native-base")</f>
        <v>customization bottom tab,a and customization header from native-base</v>
      </c>
      <c r="E341" s="42" t="str">
        <f>IFERROR(__xludf.DUMMYFUNCTION("""COMPUTED_VALUE"""),"still not familiar with using react-native and nativebase components")</f>
        <v>still not familiar with using react-native and nativebase components</v>
      </c>
      <c r="F341" s="42" t="str">
        <f>IFERROR(__xludf.DUMMYFUNCTION("""COMPUTED_VALUE"""),"slicing frontend mobile screen from blanja ecommerce aplication using react native and native base")</f>
        <v>slicing frontend mobile screen from blanja ecommerce aplication using react native and native base</v>
      </c>
    </row>
    <row r="342">
      <c r="A342" s="43">
        <f>IFERROR(__xludf.DUMMYFUNCTION("""COMPUTED_VALUE"""),44137.3936062037)</f>
        <v>44137.39361</v>
      </c>
      <c r="B342" s="42" t="str">
        <f>IFERROR(__xludf.DUMMYFUNCTION("""COMPUTED_VALUE"""),"Wahyu Ramadhan")</f>
        <v>Wahyu Ramadhan</v>
      </c>
      <c r="C342" s="44">
        <f>IFERROR(__xludf.DUMMYFUNCTION("""COMPUTED_VALUE"""),44137.0)</f>
        <v>44137</v>
      </c>
      <c r="D342" s="42" t="str">
        <f>IFERROR(__xludf.DUMMYFUNCTION("""COMPUTED_VALUE"""),"slicing screen bag, profile, cart, category, shop")</f>
        <v>slicing screen bag, profile, cart, category, shop</v>
      </c>
      <c r="E342" s="42" t="str">
        <f>IFERROR(__xludf.DUMMYFUNCTION("""COMPUTED_VALUE"""),"create flatlist")</f>
        <v>create flatlist</v>
      </c>
      <c r="F342" s="42" t="str">
        <f>IFERROR(__xludf.DUMMYFUNCTION("""COMPUTED_VALUE"""),"slicing checkout, shipping address, change address, detail product")</f>
        <v>slicing checkout, shipping address, change address, detail product</v>
      </c>
    </row>
    <row r="343">
      <c r="A343" s="43">
        <f>IFERROR(__xludf.DUMMYFUNCTION("""COMPUTED_VALUE"""),44137.39799394676)</f>
        <v>44137.39799</v>
      </c>
      <c r="B343" s="42" t="str">
        <f>IFERROR(__xludf.DUMMYFUNCTION("""COMPUTED_VALUE"""),"Timotius Simanjuntak")</f>
        <v>Timotius Simanjuntak</v>
      </c>
      <c r="C343" s="44">
        <f>IFERROR(__xludf.DUMMYFUNCTION("""COMPUTED_VALUE"""),44137.0)</f>
        <v>44137</v>
      </c>
      <c r="D343" s="42" t="str">
        <f>IFERROR(__xludf.DUMMYFUNCTION("""COMPUTED_VALUE"""),"yesterday i create product detail page, my profile page, my order , setting page")</f>
        <v>yesterday i create product detail page, my profile page, my order , setting page</v>
      </c>
      <c r="E343" s="42"/>
      <c r="F343" s="42" t="str">
        <f>IFERROR(__xludf.DUMMYFUNCTION("""COMPUTED_VALUE"""),"connect it to backend with redux")</f>
        <v>connect it to backend with redux</v>
      </c>
    </row>
    <row r="344">
      <c r="A344" s="43">
        <f>IFERROR(__xludf.DUMMYFUNCTION("""COMPUTED_VALUE"""),44137.40286)</f>
        <v>44137.40286</v>
      </c>
      <c r="B344" s="42" t="str">
        <f>IFERROR(__xludf.DUMMYFUNCTION("""COMPUTED_VALUE"""),"Rezha Maulana Jaya")</f>
        <v>Rezha Maulana Jaya</v>
      </c>
      <c r="C344" s="44">
        <f>IFERROR(__xludf.DUMMYFUNCTION("""COMPUTED_VALUE"""),44137.0)</f>
        <v>44137</v>
      </c>
      <c r="D344" s="42" t="str">
        <f>IFERROR(__xludf.DUMMYFUNCTION("""COMPUTED_VALUE"""),"fix backend , nyesuai tampilan mobile sesuai mockup")</f>
        <v>fix backend , nyesuai tampilan mobile sesuai mockup</v>
      </c>
      <c r="E344" s="42" t="str">
        <f>IFERROR(__xludf.DUMMYFUNCTION("""COMPUTED_VALUE"""),"filter foto dengan kamera ,sama data gamsuk  masih ngulik")</f>
        <v>filter foto dengan kamera ,sama data gamsuk  masih ngulik</v>
      </c>
      <c r="F344" s="42" t="str">
        <f>IFERROR(__xludf.DUMMYFUNCTION("""COMPUTED_VALUE"""),"membereskan projek sesuai target")</f>
        <v>membereskan projek sesuai target</v>
      </c>
    </row>
    <row r="345">
      <c r="A345" s="43">
        <f>IFERROR(__xludf.DUMMYFUNCTION("""COMPUTED_VALUE"""),44138.37461111111)</f>
        <v>44138.37461</v>
      </c>
      <c r="B345" s="42" t="str">
        <f>IFERROR(__xludf.DUMMYFUNCTION("""COMPUTED_VALUE"""),"Pramesti Regita Cahyani")</f>
        <v>Pramesti Regita Cahyani</v>
      </c>
      <c r="C345" s="44">
        <f>IFERROR(__xludf.DUMMYFUNCTION("""COMPUTED_VALUE"""),44138.0)</f>
        <v>44138</v>
      </c>
      <c r="D345" s="42" t="str">
        <f>IFERROR(__xludf.DUMMYFUNCTION("""COMPUTED_VALUE"""),"memperbaiki style myorder dan myaddress, membuat landingpage dan method untuk signup")</f>
        <v>memperbaiki style myorder dan myaddress, membuat landingpage dan method untuk signup</v>
      </c>
      <c r="E345" s="42" t="str">
        <f>IFERROR(__xludf.DUMMYFUNCTION("""COMPUTED_VALUE"""),"saat ip laptopnya ganti harus ganti env dulu, tapi setelah diganti ketika login udah bisa tapi ketika get profile masih pake url yang lama, harus reload sama restart laptop berkali-kali, dan laptopnya akhir-akhir ini lemot, udah dicoba mau ditambah ram la"&amp;"gi tapi kata teknisi masalahnya jaringan internetnya yang kurang stabil")</f>
        <v>saat ip laptopnya ganti harus ganti env dulu, tapi setelah diganti ketika login udah bisa tapi ketika get profile masih pake url yang lama, harus reload sama restart laptop berkali-kali, dan laptopnya akhir-akhir ini lemot, udah dicoba mau ditambah ram lagi tapi kata teknisi masalahnya jaringan internetnya yang kurang stabil</v>
      </c>
      <c r="F345" s="42" t="str">
        <f>IFERROR(__xludf.DUMMYFUNCTION("""COMPUTED_VALUE"""),"membuat slicing screen mybag dan shop beserta datanya")</f>
        <v>membuat slicing screen mybag dan shop beserta datanya</v>
      </c>
    </row>
    <row r="346">
      <c r="A346" s="43">
        <f>IFERROR(__xludf.DUMMYFUNCTION("""COMPUTED_VALUE"""),44138.381629641204)</f>
        <v>44138.38163</v>
      </c>
      <c r="B346" s="42" t="str">
        <f>IFERROR(__xludf.DUMMYFUNCTION("""COMPUTED_VALUE"""),"Muhammad Abdurasyid")</f>
        <v>Muhammad Abdurasyid</v>
      </c>
      <c r="C346" s="44">
        <f>IFERROR(__xludf.DUMMYFUNCTION("""COMPUTED_VALUE"""),44138.0)</f>
        <v>44138</v>
      </c>
      <c r="D346" s="42" t="str">
        <f>IFERROR(__xludf.DUMMYFUNCTION("""COMPUTED_VALUE"""),"1. Menambahkan redux di bagian proses login &amp; logout
2. Menggunakan redux-persist utk menyimpan state/store ")</f>
        <v>1. Menambahkan redux di bagian proses login &amp; logout
2. Menggunakan redux-persist utk menyimpan state/store </v>
      </c>
      <c r="E346" s="42" t="str">
        <f>IFERROR(__xludf.DUMMYFUNCTION("""COMPUTED_VALUE"""),"Kemarin di saya sempat muncul error dgn notifikasi kira-kira menyatakan bahwa gagal menghubungkan ke store redux, saya sempat berjam-jam mencari tau knp. Tapi setelah mengikuti video tutorial di kelas kemarin dimana App.js dipindah ke Main.js, hasilnya bi"&amp;"sa tanpa ada error.
Kemudian terkadang saya tidak tau package/library mana saja yg harus dilakukan proses link, contohnya ketika menambahkan AsyncStorage utk menyimpan redux-persist.
Atau di saya sempat muncul error masalah @env config tidak terbaca, solu"&amp;"si di-reset cache-nya")</f>
        <v>Kemarin di saya sempat muncul error dgn notifikasi kira-kira menyatakan bahwa gagal menghubungkan ke store redux, saya sempat berjam-jam mencari tau knp. Tapi setelah mengikuti video tutorial di kelas kemarin dimana App.js dipindah ke Main.js, hasilnya bisa tanpa ada error.
Kemudian terkadang saya tidak tau package/library mana saja yg harus dilakukan proses link, contohnya ketika menambahkan AsyncStorage utk menyimpan redux-persist.
Atau di saya sempat muncul error masalah @env config tidak terbaca, solusi di-reset cache-nya</v>
      </c>
      <c r="F346" s="42" t="str">
        <f>IFERROR(__xludf.DUMMYFUNCTION("""COMPUTED_VALUE"""),"Menambahkan proses register, tampilan home, kategori, detail item")</f>
        <v>Menambahkan proses register, tampilan home, kategori, detail item</v>
      </c>
    </row>
    <row r="347">
      <c r="A347" s="43">
        <f>IFERROR(__xludf.DUMMYFUNCTION("""COMPUTED_VALUE"""),44138.39007652778)</f>
        <v>44138.39008</v>
      </c>
      <c r="B347" s="42" t="str">
        <f>IFERROR(__xludf.DUMMYFUNCTION("""COMPUTED_VALUE"""),"Iqbal Athorid")</f>
        <v>Iqbal Athorid</v>
      </c>
      <c r="C347" s="44">
        <f>IFERROR(__xludf.DUMMYFUNCTION("""COMPUTED_VALUE"""),44138.0)</f>
        <v>44138</v>
      </c>
      <c r="D347" s="42" t="str">
        <f>IFERROR(__xludf.DUMMYFUNCTION("""COMPUTED_VALUE"""),"slicing login,register,forgot")</f>
        <v>slicing login,register,forgot</v>
      </c>
      <c r="E347" s="42" t="str">
        <f>IFERROR(__xludf.DUMMYFUNCTION("""COMPUTED_VALUE"""),"kurang semangat, input width can't 100%")</f>
        <v>kurang semangat, input width can't 100%</v>
      </c>
      <c r="F347" s="42" t="str">
        <f>IFERROR(__xludf.DUMMYFUNCTION("""COMPUTED_VALUE"""),"slicing page")</f>
        <v>slicing page</v>
      </c>
    </row>
    <row r="348">
      <c r="A348" s="43">
        <f>IFERROR(__xludf.DUMMYFUNCTION("""COMPUTED_VALUE"""),44138.39376265046)</f>
        <v>44138.39376</v>
      </c>
      <c r="B348" s="42" t="str">
        <f>IFERROR(__xludf.DUMMYFUNCTION("""COMPUTED_VALUE"""),"Ahmad Fatkhul Amam")</f>
        <v>Ahmad Fatkhul Amam</v>
      </c>
      <c r="C348" s="44">
        <f>IFERROR(__xludf.DUMMYFUNCTION("""COMPUTED_VALUE"""),44138.0)</f>
        <v>44138</v>
      </c>
      <c r="D348" s="42" t="str">
        <f>IFERROR(__xludf.DUMMYFUNCTION("""COMPUTED_VALUE"""),"slicing and styling home paga, shop page, bag page, profile page, sign up page, register page")</f>
        <v>slicing and styling home paga, shop page, bag page, profile page, sign up page, register page</v>
      </c>
      <c r="E348" s="42" t="str">
        <f>IFERROR(__xludf.DUMMYFUNCTION("""COMPUTED_VALUE"""),"the navigation flow of the mobile design on the mockup, component positioning, component dimensions")</f>
        <v>the navigation flow of the mobile design on the mockup, component positioning, component dimensions</v>
      </c>
      <c r="F348" s="42" t="str">
        <f>IFERROR(__xludf.DUMMYFUNCTION("""COMPUTED_VALUE"""),"managing data( product and user profile )")</f>
        <v>managing data( product and user profile )</v>
      </c>
    </row>
    <row r="349">
      <c r="A349" s="43">
        <f>IFERROR(__xludf.DUMMYFUNCTION("""COMPUTED_VALUE"""),44138.40186938657)</f>
        <v>44138.40187</v>
      </c>
      <c r="B349" s="42" t="str">
        <f>IFERROR(__xludf.DUMMYFUNCTION("""COMPUTED_VALUE"""),"Muhamad Faris Alkodri")</f>
        <v>Muhamad Faris Alkodri</v>
      </c>
      <c r="C349" s="44">
        <f>IFERROR(__xludf.DUMMYFUNCTION("""COMPUTED_VALUE"""),44138.0)</f>
        <v>44138</v>
      </c>
      <c r="D349" s="42" t="str">
        <f>IFERROR(__xludf.DUMMYFUNCTION("""COMPUTED_VALUE"""),"I'm not doing much, wasting my time just build and rebuild my apps. So I doesnt have time for developing my apps. I just already cleared the login, signup, forgot password and working on home page")</f>
        <v>I'm not doing much, wasting my time just build and rebuild my apps. So I doesnt have time for developing my apps. I just already cleared the login, signup, forgot password and working on home page</v>
      </c>
      <c r="E349" s="42" t="str">
        <f>IFERROR(__xludf.DUMMYFUNCTION("""COMPUTED_VALUE"""),"The error is always coming back and it frustrates me, also building and rebuild app make me wasting so much time that I can do for development")</f>
        <v>The error is always coming back and it frustrates me, also building and rebuild app make me wasting so much time that I can do for development</v>
      </c>
      <c r="F349" s="42" t="str">
        <f>IFERROR(__xludf.DUMMYFUNCTION("""COMPUTED_VALUE"""),"I want to slicing profile page, detail item and checkout pages")</f>
        <v>I want to slicing profile page, detail item and checkout pages</v>
      </c>
    </row>
    <row r="350">
      <c r="A350" s="43">
        <f>IFERROR(__xludf.DUMMYFUNCTION("""COMPUTED_VALUE"""),44138.423011203704)</f>
        <v>44138.42301</v>
      </c>
      <c r="B350" s="42" t="str">
        <f>IFERROR(__xludf.DUMMYFUNCTION("""COMPUTED_VALUE"""),"Fahmi Aziz Ismail")</f>
        <v>Fahmi Aziz Ismail</v>
      </c>
      <c r="C350" s="44">
        <f>IFERROR(__xludf.DUMMYFUNCTION("""COMPUTED_VALUE"""),44138.0)</f>
        <v>44138</v>
      </c>
      <c r="D350" s="42" t="str">
        <f>IFERROR(__xludf.DUMMYFUNCTION("""COMPUTED_VALUE"""),"membuat fungsi login dan register, dan membuat bottom navigator")</f>
        <v>membuat fungsi login dan register, dan membuat bottom navigator</v>
      </c>
      <c r="E350" s="42"/>
      <c r="F350" s="42" t="str">
        <f>IFERROR(__xludf.DUMMYFUNCTION("""COMPUTED_VALUE"""),"membuat halaman my profile, dan order ,membuat fungsi update profile")</f>
        <v>membuat halaman my profile, dan order ,membuat fungsi update profile</v>
      </c>
    </row>
    <row r="351">
      <c r="A351" s="43">
        <f>IFERROR(__xludf.DUMMYFUNCTION("""COMPUTED_VALUE"""),44138.426757152774)</f>
        <v>44138.42676</v>
      </c>
      <c r="B351" s="42" t="str">
        <f>IFERROR(__xludf.DUMMYFUNCTION("""COMPUTED_VALUE"""),"Timotius Simanjuntak")</f>
        <v>Timotius Simanjuntak</v>
      </c>
      <c r="C351" s="44">
        <f>IFERROR(__xludf.DUMMYFUNCTION("""COMPUTED_VALUE"""),44138.0)</f>
        <v>44138</v>
      </c>
      <c r="D351" s="42" t="str">
        <f>IFERROR(__xludf.DUMMYFUNCTION("""COMPUTED_VALUE"""),"Fixing bottom tabs, stack nav, and create redux folder, and try to make login with redux to backend")</f>
        <v>Fixing bottom tabs, stack nav, and create redux folder, and try to make login with redux to backend</v>
      </c>
      <c r="E351" s="42" t="str">
        <f>IFERROR(__xludf.DUMMYFUNCTION("""COMPUTED_VALUE"""),"i stuck with network error when try to connect with redux")</f>
        <v>i stuck with network error when try to connect with redux</v>
      </c>
      <c r="F351" s="42" t="str">
        <f>IFERROR(__xludf.DUMMYFUNCTION("""COMPUTED_VALUE"""),"integrate backend to my project")</f>
        <v>integrate backend to my project</v>
      </c>
    </row>
    <row r="352">
      <c r="A352" s="43">
        <f>IFERROR(__xludf.DUMMYFUNCTION("""COMPUTED_VALUE"""),44138.42902505787)</f>
        <v>44138.42903</v>
      </c>
      <c r="B352" s="42" t="str">
        <f>IFERROR(__xludf.DUMMYFUNCTION("""COMPUTED_VALUE"""),"Muhammad")</f>
        <v>Muhammad</v>
      </c>
      <c r="C352" s="44">
        <f>IFERROR(__xludf.DUMMYFUNCTION("""COMPUTED_VALUE"""),44138.0)</f>
        <v>44138</v>
      </c>
      <c r="D352" s="42" t="str">
        <f>IFERROR(__xludf.DUMMYFUNCTION("""COMPUTED_VALUE"""),"Fix components and icons
Implentation navigation")</f>
        <v>Fix components and icons
Implentation navigation</v>
      </c>
      <c r="E352" s="42"/>
      <c r="F352" s="42" t="str">
        <f>IFERROR(__xludf.DUMMYFUNCTION("""COMPUTED_VALUE"""),"Managing data for home and product card screen")</f>
        <v>Managing data for home and product card screen</v>
      </c>
    </row>
    <row r="353">
      <c r="A353" s="43">
        <f>IFERROR(__xludf.DUMMYFUNCTION("""COMPUTED_VALUE"""),44138.43058143518)</f>
        <v>44138.43058</v>
      </c>
      <c r="B353" s="42" t="str">
        <f>IFERROR(__xludf.DUMMYFUNCTION("""COMPUTED_VALUE"""),"Satrio Nugroho")</f>
        <v>Satrio Nugroho</v>
      </c>
      <c r="C353" s="44">
        <f>IFERROR(__xludf.DUMMYFUNCTION("""COMPUTED_VALUE"""),44138.0)</f>
        <v>44138</v>
      </c>
      <c r="D353" s="42" t="str">
        <f>IFERROR(__xludf.DUMMYFUNCTION("""COMPUTED_VALUE"""),"saya membuat bagian tabscreen dan masih di slicing beberapa halaman")</f>
        <v>saya membuat bagian tabscreen dan masih di slicing beberapa halaman</v>
      </c>
      <c r="E353" s="42" t="str">
        <f>IFERROR(__xludf.DUMMYFUNCTION("""COMPUTED_VALUE"""),"masih bingun di bagian react naviagtion penggunaan stack screen")</f>
        <v>masih bingun di bagian react naviagtion penggunaan stack screen</v>
      </c>
      <c r="F353" s="42" t="str">
        <f>IFERROR(__xludf.DUMMYFUNCTION("""COMPUTED_VALUE"""),"hari ini saya mengikuti kegiatan daily standup dan kembali mengerjakan project")</f>
        <v>hari ini saya mengikuti kegiatan daily standup dan kembali mengerjakan project</v>
      </c>
    </row>
    <row r="354">
      <c r="A354" s="43">
        <f>IFERROR(__xludf.DUMMYFUNCTION("""COMPUTED_VALUE"""),44138.436045891205)</f>
        <v>44138.43605</v>
      </c>
      <c r="B354" s="42" t="str">
        <f>IFERROR(__xludf.DUMMYFUNCTION("""COMPUTED_VALUE"""),"Rezha Maulana Jaya")</f>
        <v>Rezha Maulana Jaya</v>
      </c>
      <c r="C354" s="44">
        <f>IFERROR(__xludf.DUMMYFUNCTION("""COMPUTED_VALUE"""),44138.0)</f>
        <v>44138</v>
      </c>
      <c r="D354" s="42" t="str">
        <f>IFERROR(__xludf.DUMMYFUNCTION("""COMPUTED_VALUE"""),"membereskan tampilan home memberikan carousel di new da popular,scroll udah bisa perpindahan screens udah bisa,belum nyambung ke backend juga")</f>
        <v>membereskan tampilan home memberikan carousel di new da popular,scroll udah bisa perpindahan screens udah bisa,belum nyambung ke backend juga</v>
      </c>
      <c r="E354" s="42" t="str">
        <f>IFERROR(__xludf.DUMMYFUNCTION("""COMPUTED_VALUE"""),"iconnya ga muncul sedang di ulik,")</f>
        <v>iconnya ga muncul sedang di ulik,</v>
      </c>
      <c r="F354" s="42" t="str">
        <f>IFERROR(__xludf.DUMMYFUNCTION("""COMPUTED_VALUE"""),"membereskan screen yang belum ")</f>
        <v>membereskan screen yang belum </v>
      </c>
    </row>
    <row r="355">
      <c r="A355" s="43">
        <f>IFERROR(__xludf.DUMMYFUNCTION("""COMPUTED_VALUE"""),44139.38650769676)</f>
        <v>44139.38651</v>
      </c>
      <c r="B355" s="42" t="str">
        <f>IFERROR(__xludf.DUMMYFUNCTION("""COMPUTED_VALUE"""),"Fahmi Aziz Ismail")</f>
        <v>Fahmi Aziz Ismail</v>
      </c>
      <c r="C355" s="44">
        <f>IFERROR(__xludf.DUMMYFUNCTION("""COMPUTED_VALUE"""),44139.0)</f>
        <v>44139</v>
      </c>
      <c r="D355" s="42" t="str">
        <f>IFERROR(__xludf.DUMMYFUNCTION("""COMPUTED_VALUE"""),"slicing halaman profile, dan order, membuat Stack navigator")</f>
        <v>slicing halaman profile, dan order, membuat Stack navigator</v>
      </c>
      <c r="E355" s="42"/>
      <c r="F355" s="42" t="str">
        <f>IFERROR(__xludf.DUMMYFUNCTION("""COMPUTED_VALUE"""),"menyambungkan data backend ke frontend")</f>
        <v>menyambungkan data backend ke frontend</v>
      </c>
    </row>
    <row r="356">
      <c r="A356" s="43">
        <f>IFERROR(__xludf.DUMMYFUNCTION("""COMPUTED_VALUE"""),44139.38729491898)</f>
        <v>44139.38729</v>
      </c>
      <c r="B356" s="42" t="str">
        <f>IFERROR(__xludf.DUMMYFUNCTION("""COMPUTED_VALUE"""),"Muhammad Abdurasyid")</f>
        <v>Muhammad Abdurasyid</v>
      </c>
      <c r="C356" s="44">
        <f>IFERROR(__xludf.DUMMYFUNCTION("""COMPUTED_VALUE"""),44139.0)</f>
        <v>44139</v>
      </c>
      <c r="D356" s="42" t="str">
        <f>IFERROR(__xludf.DUMMYFUNCTION("""COMPUTED_VALUE"""),"Menggunakan redux utk menampilkan produk terbaru &amp; popular di screen home dan list category di screen shopping")</f>
        <v>Menggunakan redux utk menampilkan produk terbaru &amp; popular di screen home dan list category di screen shopping</v>
      </c>
      <c r="E356" s="42"/>
      <c r="F356" s="42" t="str">
        <f>IFERROR(__xludf.DUMMYFUNCTION("""COMPUTED_VALUE"""),"Menambahkan proses registrasi, detail item, add to cart")</f>
        <v>Menambahkan proses registrasi, detail item, add to cart</v>
      </c>
    </row>
    <row r="357">
      <c r="A357" s="43">
        <f>IFERROR(__xludf.DUMMYFUNCTION("""COMPUTED_VALUE"""),44139.38890528935)</f>
        <v>44139.38891</v>
      </c>
      <c r="B357" s="42" t="str">
        <f>IFERROR(__xludf.DUMMYFUNCTION("""COMPUTED_VALUE"""),"Rezha Maulana Jaya")</f>
        <v>Rezha Maulana Jaya</v>
      </c>
      <c r="C357" s="44">
        <f>IFERROR(__xludf.DUMMYFUNCTION("""COMPUTED_VALUE"""),44139.0)</f>
        <v>44139</v>
      </c>
      <c r="D357" s="42" t="str">
        <f>IFERROR(__xludf.DUMMYFUNCTION("""COMPUTED_VALUE"""),"mengerjakan tampilan setting dan profile")</f>
        <v>mengerjakan tampilan setting dan profile</v>
      </c>
      <c r="E357" s="42" t="str">
        <f>IFERROR(__xludf.DUMMYFUNCTION("""COMPUTED_VALUE"""),"minder dan kurang semangat")</f>
        <v>minder dan kurang semangat</v>
      </c>
      <c r="F357" s="42" t="str">
        <f>IFERROR(__xludf.DUMMYFUNCTION("""COMPUTED_VALUE"""),"membereskan yang belum")</f>
        <v>membereskan yang belum</v>
      </c>
    </row>
    <row r="358">
      <c r="A358" s="43">
        <f>IFERROR(__xludf.DUMMYFUNCTION("""COMPUTED_VALUE"""),44139.39767125)</f>
        <v>44139.39767</v>
      </c>
      <c r="B358" s="42" t="str">
        <f>IFERROR(__xludf.DUMMYFUNCTION("""COMPUTED_VALUE"""),"Furoidah Chilmi")</f>
        <v>Furoidah Chilmi</v>
      </c>
      <c r="C358" s="44">
        <f>IFERROR(__xludf.DUMMYFUNCTION("""COMPUTED_VALUE"""),44139.0)</f>
        <v>44139</v>
      </c>
      <c r="D358" s="42" t="str">
        <f>IFERROR(__xludf.DUMMYFUNCTION("""COMPUTED_VALUE"""),"mengerjakan mybag dan fixing shipping page")</f>
        <v>mengerjakan mybag dan fixing shipping page</v>
      </c>
      <c r="E358" s="42" t="str">
        <f>IFERROR(__xludf.DUMMYFUNCTION("""COMPUTED_VALUE"""),"masih ada error saat mengerjakan page product. halaman selalu reload ketika data diupdate")</f>
        <v>masih ada error saat mengerjakan page product. halaman selalu reload ketika data diupdate</v>
      </c>
      <c r="F358" s="42" t="str">
        <f>IFERROR(__xludf.DUMMYFUNCTION("""COMPUTED_VALUE"""),"page produk, add to mybag, checkout")</f>
        <v>page produk, add to mybag, checkout</v>
      </c>
    </row>
    <row r="359">
      <c r="A359" s="43">
        <f>IFERROR(__xludf.DUMMYFUNCTION("""COMPUTED_VALUE"""),44139.398272025464)</f>
        <v>44139.39827</v>
      </c>
      <c r="B359" s="42" t="str">
        <f>IFERROR(__xludf.DUMMYFUNCTION("""COMPUTED_VALUE"""),"Ahmad Fatkhul Amam")</f>
        <v>Ahmad Fatkhul Amam</v>
      </c>
      <c r="C359" s="44">
        <f>IFERROR(__xludf.DUMMYFUNCTION("""COMPUTED_VALUE"""),44139.0)</f>
        <v>44139</v>
      </c>
      <c r="D359" s="42" t="str">
        <f>IFERROR(__xludf.DUMMYFUNCTION("""COMPUTED_VALUE"""),"slicing all screen of mobile page")</f>
        <v>slicing all screen of mobile page</v>
      </c>
      <c r="E359" s="42" t="str">
        <f>IFERROR(__xludf.DUMMYFUNCTION("""COMPUTED_VALUE"""),"the styling is not 100% compatible with the mockup")</f>
        <v>the styling is not 100% compatible with the mockup</v>
      </c>
      <c r="F359" s="42" t="str">
        <f>IFERROR(__xludf.DUMMYFUNCTION("""COMPUTED_VALUE"""),"manages data from the backend and displays on the frontend")</f>
        <v>manages data from the backend and displays on the frontend</v>
      </c>
    </row>
    <row r="360">
      <c r="A360" s="43">
        <f>IFERROR(__xludf.DUMMYFUNCTION("""COMPUTED_VALUE"""),44139.39904576389)</f>
        <v>44139.39905</v>
      </c>
      <c r="B360" s="42" t="str">
        <f>IFERROR(__xludf.DUMMYFUNCTION("""COMPUTED_VALUE"""),"Iqbal Athorid")</f>
        <v>Iqbal Athorid</v>
      </c>
      <c r="C360" s="44">
        <f>IFERROR(__xludf.DUMMYFUNCTION("""COMPUTED_VALUE"""),44139.0)</f>
        <v>44139</v>
      </c>
      <c r="D360" s="42" t="str">
        <f>IFERROR(__xludf.DUMMYFUNCTION("""COMPUTED_VALUE"""),"slicig home,my bag")</f>
        <v>slicig home,my bag</v>
      </c>
      <c r="E360" s="42" t="str">
        <f>IFERROR(__xludf.DUMMYFUNCTION("""COMPUTED_VALUE"""),"banner on home page")</f>
        <v>banner on home page</v>
      </c>
      <c r="F360" s="42" t="str">
        <f>IFERROR(__xludf.DUMMYFUNCTION("""COMPUTED_VALUE"""),"slicing page")</f>
        <v>slicing page</v>
      </c>
    </row>
    <row r="361">
      <c r="A361" s="43">
        <f>IFERROR(__xludf.DUMMYFUNCTION("""COMPUTED_VALUE"""),44139.400968194444)</f>
        <v>44139.40097</v>
      </c>
      <c r="B361" s="42" t="str">
        <f>IFERROR(__xludf.DUMMYFUNCTION("""COMPUTED_VALUE"""),"Wahyu Ramadhan")</f>
        <v>Wahyu Ramadhan</v>
      </c>
      <c r="C361" s="44">
        <f>IFERROR(__xludf.DUMMYFUNCTION("""COMPUTED_VALUE"""),44139.0)</f>
        <v>44139</v>
      </c>
      <c r="D361" s="42" t="str">
        <f>IFERROR(__xludf.DUMMYFUNCTION("""COMPUTED_VALUE"""),"create all screen for customer")</f>
        <v>create all screen for customer</v>
      </c>
      <c r="E361" s="42" t="str">
        <f>IFERROR(__xludf.DUMMYFUNCTION("""COMPUTED_VALUE"""),"create bottom sheet")</f>
        <v>create bottom sheet</v>
      </c>
      <c r="F361" s="42" t="str">
        <f>IFERROR(__xludf.DUMMYFUNCTION("""COMPUTED_VALUE"""),"connect with database/backend")</f>
        <v>connect with database/backend</v>
      </c>
    </row>
    <row r="362">
      <c r="A362" s="43">
        <f>IFERROR(__xludf.DUMMYFUNCTION("""COMPUTED_VALUE"""),44139.401645694445)</f>
        <v>44139.40165</v>
      </c>
      <c r="B362" s="42" t="str">
        <f>IFERROR(__xludf.DUMMYFUNCTION("""COMPUTED_VALUE"""),"Timotius Simanjuntak")</f>
        <v>Timotius Simanjuntak</v>
      </c>
      <c r="C362" s="44">
        <f>IFERROR(__xludf.DUMMYFUNCTION("""COMPUTED_VALUE"""),44139.0)</f>
        <v>44139</v>
      </c>
      <c r="D362" s="42" t="str">
        <f>IFERROR(__xludf.DUMMYFUNCTION("""COMPUTED_VALUE"""),"Fixing Something error in backend, using redux in login, read about redux persist")</f>
        <v>Fixing Something error in backend, using redux in login, read about redux persist</v>
      </c>
      <c r="E362" s="42" t="str">
        <f>IFERROR(__xludf.DUMMYFUNCTION("""COMPUTED_VALUE"""),"still stuck in redux persist, how to save state, token, in localstorage")</f>
        <v>still stuck in redux persist, how to save state, token, in localstorage</v>
      </c>
      <c r="F362" s="42" t="str">
        <f>IFERROR(__xludf.DUMMYFUNCTION("""COMPUTED_VALUE"""),"try to solve how to save state and token in localstorage")</f>
        <v>try to solve how to save state and token in localstorage</v>
      </c>
    </row>
    <row r="363">
      <c r="A363" s="43">
        <f>IFERROR(__xludf.DUMMYFUNCTION("""COMPUTED_VALUE"""),44139.40258809028)</f>
        <v>44139.40259</v>
      </c>
      <c r="B363" s="42" t="str">
        <f>IFERROR(__xludf.DUMMYFUNCTION("""COMPUTED_VALUE"""),"Pramesti Regita Cahyani")</f>
        <v>Pramesti Regita Cahyani</v>
      </c>
      <c r="C363" s="44">
        <f>IFERROR(__xludf.DUMMYFUNCTION("""COMPUTED_VALUE"""),44139.0)</f>
        <v>44139</v>
      </c>
      <c r="D363" s="42" t="str">
        <f>IFERROR(__xludf.DUMMYFUNCTION("""COMPUTED_VALUE"""),"slicing screen Home, category, detail category, my bag, checkout, success, product detail baru setengah")</f>
        <v>slicing screen Home, category, detail category, my bag, checkout, success, product detail baru setengah</v>
      </c>
      <c r="E363" s="42" t="str">
        <f>IFERROR(__xludf.DUMMYFUNCTION("""COMPUTED_VALUE"""),"belum slicing untuk advanced function dan pilih size karena belum selesai untuk screen-nya")</f>
        <v>belum slicing untuk advanced function dan pilih size karena belum selesai untuk screen-nya</v>
      </c>
      <c r="F363" s="42" t="str">
        <f>IFERROR(__xludf.DUMMYFUNCTION("""COMPUTED_VALUE"""),"menyelesaikan slicing product detail dan mengimplementasikan redux")</f>
        <v>menyelesaikan slicing product detail dan mengimplementasikan redux</v>
      </c>
    </row>
    <row r="364">
      <c r="A364" s="43">
        <f>IFERROR(__xludf.DUMMYFUNCTION("""COMPUTED_VALUE"""),44139.40411773148)</f>
        <v>44139.40412</v>
      </c>
      <c r="B364" s="42" t="str">
        <f>IFERROR(__xludf.DUMMYFUNCTION("""COMPUTED_VALUE"""),"Muhammad")</f>
        <v>Muhammad</v>
      </c>
      <c r="C364" s="44">
        <f>IFERROR(__xludf.DUMMYFUNCTION("""COMPUTED_VALUE"""),44139.0)</f>
        <v>44139</v>
      </c>
      <c r="D364" s="42" t="str">
        <f>IFERROR(__xludf.DUMMYFUNCTION("""COMPUTED_VALUE"""),"Managing data for home screens")</f>
        <v>Managing data for home screens</v>
      </c>
      <c r="E364" s="42"/>
      <c r="F364" s="42" t="str">
        <f>IFERROR(__xludf.DUMMYFUNCTION("""COMPUTED_VALUE"""),"Managing data for all screens")</f>
        <v>Managing data for all screens</v>
      </c>
    </row>
    <row r="365">
      <c r="A365" s="43">
        <f>IFERROR(__xludf.DUMMYFUNCTION("""COMPUTED_VALUE"""),44139.40863866898)</f>
        <v>44139.40864</v>
      </c>
      <c r="B365" s="42" t="str">
        <f>IFERROR(__xludf.DUMMYFUNCTION("""COMPUTED_VALUE"""),"Muhamad Faris Alkodri")</f>
        <v>Muhamad Faris Alkodri</v>
      </c>
      <c r="C365" s="44">
        <f>IFERROR(__xludf.DUMMYFUNCTION("""COMPUTED_VALUE"""),44139.0)</f>
        <v>44139</v>
      </c>
      <c r="D365" s="42" t="str">
        <f>IFERROR(__xludf.DUMMYFUNCTION("""COMPUTED_VALUE"""),"Slicing home, address, categories, search")</f>
        <v>Slicing home, address, categories, search</v>
      </c>
      <c r="E365" s="42" t="str">
        <f>IFERROR(__xludf.DUMMYFUNCTION("""COMPUTED_VALUE"""),"I always encounter never-ending-create bundle-loop on metro bundler, resolve the problem by reopen the apps on emulator")</f>
        <v>I always encounter never-ending-create bundle-loop on metro bundler, resolve the problem by reopen the apps on emulator</v>
      </c>
      <c r="F365" s="42" t="str">
        <f>IFERROR(__xludf.DUMMYFUNCTION("""COMPUTED_VALUE"""),"I want to slicing my profile, orders, order information and other pages")</f>
        <v>I want to slicing my profile, orders, order information and other pages</v>
      </c>
    </row>
    <row r="366">
      <c r="A366" s="43">
        <f>IFERROR(__xludf.DUMMYFUNCTION("""COMPUTED_VALUE"""),44139.419723009254)</f>
        <v>44139.41972</v>
      </c>
      <c r="B366" s="42" t="str">
        <f>IFERROR(__xludf.DUMMYFUNCTION("""COMPUTED_VALUE"""),"Ahmad Asrofi")</f>
        <v>Ahmad Asrofi</v>
      </c>
      <c r="C366" s="44">
        <f>IFERROR(__xludf.DUMMYFUNCTION("""COMPUTED_VALUE"""),44139.0)</f>
        <v>44139</v>
      </c>
      <c r="D366" s="42" t="str">
        <f>IFERROR(__xludf.DUMMYFUNCTION("""COMPUTED_VALUE"""),"creating My bag, Checkout, Adding shipping address and Success Screen")</f>
        <v>creating My bag, Checkout, Adding shipping address and Success Screen</v>
      </c>
      <c r="E366" s="42"/>
      <c r="F366" s="42" t="str">
        <f>IFERROR(__xludf.DUMMYFUNCTION("""COMPUTED_VALUE"""),"implement Auth flow, redux for managing state and making a flow transaction")</f>
        <v>implement Auth flow, redux for managing state and making a flow transaction</v>
      </c>
    </row>
    <row r="367">
      <c r="A367" s="43">
        <f>IFERROR(__xludf.DUMMYFUNCTION("""COMPUTED_VALUE"""),44140.30027199074)</f>
        <v>44140.30027</v>
      </c>
      <c r="B367" s="42" t="str">
        <f>IFERROR(__xludf.DUMMYFUNCTION("""COMPUTED_VALUE"""),"Muhammad Abdurasyid")</f>
        <v>Muhammad Abdurasyid</v>
      </c>
      <c r="C367" s="44">
        <f>IFERROR(__xludf.DUMMYFUNCTION("""COMPUTED_VALUE"""),44140.0)</f>
        <v>44140</v>
      </c>
      <c r="D367" s="42" t="str">
        <f>IFERROR(__xludf.DUMMYFUNCTION("""COMPUTED_VALUE"""),"1. Menghubungkan backend di screen home (popular &amp; new product)
2. Menghubungkan backend di screen shopping utk melihat kategori
3. Menghubungkan backend di screen item utk melihat produk berdasarkan kategori
4. Menghubungkan backend utk menampilkan detai"&amp;"l item yg dilihat
5. Menghubungkan backend utk menampilkan daftar produk di my bag
6. Menghubungkan backend utk menampilkan foto profil, nama, email di screen profile
7. Menghubungkan backend utk menampilkan nama &amp; tgl lahir di personal information
8. Men"&amp;"ghubungkan backend utk menampilkan data profil di form sewaktu update profile (belum bisa update profil)")</f>
        <v>1. Menghubungkan backend di screen home (popular &amp; new product)
2. Menghubungkan backend di screen shopping utk melihat kategori
3. Menghubungkan backend di screen item utk melihat produk berdasarkan kategori
4. Menghubungkan backend utk menampilkan detail item yg dilihat
5. Menghubungkan backend utk menampilkan daftar produk di my bag
6. Menghubungkan backend utk menampilkan foto profil, nama, email di screen profile
7. Menghubungkan backend utk menampilkan nama &amp; tgl lahir di personal information
8. Menghubungkan backend utk menampilkan data profil di form sewaktu update profile (belum bisa update profil)</v>
      </c>
      <c r="E367" s="42"/>
      <c r="F367" s="42" t="str">
        <f>IFERROR(__xludf.DUMMYFUNCTION("""COMPUTED_VALUE"""),"Mengerjakan bagian proses registrasi, tambah ke cart, update profil")</f>
        <v>Mengerjakan bagian proses registrasi, tambah ke cart, update profil</v>
      </c>
    </row>
    <row r="368">
      <c r="A368" s="43">
        <f>IFERROR(__xludf.DUMMYFUNCTION("""COMPUTED_VALUE"""),44144.3510883912)</f>
        <v>44144.35109</v>
      </c>
      <c r="B368" s="42" t="str">
        <f>IFERROR(__xludf.DUMMYFUNCTION("""COMPUTED_VALUE"""),"Muhammad Abdurasyid")</f>
        <v>Muhammad Abdurasyid</v>
      </c>
      <c r="C368" s="44">
        <f>IFERROR(__xludf.DUMMYFUNCTION("""COMPUTED_VALUE"""),44144.0)</f>
        <v>44144</v>
      </c>
      <c r="D368" s="42" t="str">
        <f>IFERROR(__xludf.DUMMYFUNCTION("""COMPUTED_VALUE"""),"Membuat backend utk mobile news portal dgn endpoint yg sudah dibuat sebagai berikut: 
1. Public route
- GET All news dgn advance function (pagination &amp; search)
- POST Login
- POST Register
2. User (Private)
- GET User profile
- PATCH Profile dgn fungsi ut"&amp;"k upload foto profile
3. News (Private)
- POST News dgn fungsi utk upload 1 foto
- PATCH News dgn fungsi utk upload 1 foto
- DELETE News
- GET News (berita yg dibuat oleh user yg sedang Login, terdapat advance function pagination &amp; search juga)")</f>
        <v>Membuat backend utk mobile news portal dgn endpoint yg sudah dibuat sebagai berikut: 
1. Public route
- GET All news dgn advance function (pagination &amp; search)
- POST Login
- POST Register
2. User (Private)
- GET User profile
- PATCH Profile dgn fungsi utk upload foto profile
3. News (Private)
- POST News dgn fungsi utk upload 1 foto
- PATCH News dgn fungsi utk upload 1 foto
- DELETE News
- GET News (berita yg dibuat oleh user yg sedang Login, terdapat advance function pagination &amp; search juga)</v>
      </c>
      <c r="E368" s="42" t="str">
        <f>IFERROR(__xludf.DUMMYFUNCTION("""COMPUTED_VALUE"""),"Harus memahami dokumentasi sequelize terlebih dahulu utk penggunaannya, khususnya ketika ingin menambahkan relasi pada table atau melakukan perubahan pada tabel (alter table), termasuk cara penggunaan association pada sequelize")</f>
        <v>Harus memahami dokumentasi sequelize terlebih dahulu utk penggunaannya, khususnya ketika ingin menambahkan relasi pada table atau melakukan perubahan pada tabel (alter table), termasuk cara penggunaan association pada sequelize</v>
      </c>
      <c r="F368" s="42" t="str">
        <f>IFERROR(__xludf.DUMMYFUNCTION("""COMPUTED_VALUE"""),"Menambahkan endpoint utk forgot password &amp; update password")</f>
        <v>Menambahkan endpoint utk forgot password &amp; update password</v>
      </c>
    </row>
    <row r="369">
      <c r="A369" s="43">
        <f>IFERROR(__xludf.DUMMYFUNCTION("""COMPUTED_VALUE"""),44144.35502659722)</f>
        <v>44144.35503</v>
      </c>
      <c r="B369" s="42" t="str">
        <f>IFERROR(__xludf.DUMMYFUNCTION("""COMPUTED_VALUE"""),"Fahmi Aziz Ismail")</f>
        <v>Fahmi Aziz Ismail</v>
      </c>
      <c r="C369" s="44">
        <f>IFERROR(__xludf.DUMMYFUNCTION("""COMPUTED_VALUE"""),44144.0)</f>
        <v>44144</v>
      </c>
      <c r="D369" s="42" t="str">
        <f>IFERROR(__xludf.DUMMYFUNCTION("""COMPUTED_VALUE"""),"membuat fungsi login, register, expire token, edit profile, upload photo, post news, search news, get news, edit news")</f>
        <v>membuat fungsi login, register, expire token, edit profile, upload photo, post news, search news, get news, edit news</v>
      </c>
      <c r="E369" s="42" t="str">
        <f>IFERROR(__xludf.DUMMYFUNCTION("""COMPUTED_VALUE"""),"belum mengerti cara menggunakan associate, pencarian belum bisa dinamis")</f>
        <v>belum mengerti cara menggunakan associate, pencarian belum bisa dinamis</v>
      </c>
      <c r="F369" s="42" t="str">
        <f>IFERROR(__xludf.DUMMYFUNCTION("""COMPUTED_VALUE"""),"membuat tampilan login, register, dan home")</f>
        <v>membuat tampilan login, register, dan home</v>
      </c>
    </row>
    <row r="370">
      <c r="A370" s="43">
        <f>IFERROR(__xludf.DUMMYFUNCTION("""COMPUTED_VALUE"""),44144.39517832176)</f>
        <v>44144.39518</v>
      </c>
      <c r="B370" s="42" t="str">
        <f>IFERROR(__xludf.DUMMYFUNCTION("""COMPUTED_VALUE"""),"Muhammad")</f>
        <v>Muhammad</v>
      </c>
      <c r="C370" s="44">
        <f>IFERROR(__xludf.DUMMYFUNCTION("""COMPUTED_VALUE"""),44144.0)</f>
        <v>44144</v>
      </c>
      <c r="D370" s="42" t="str">
        <f>IFERROR(__xludf.DUMMYFUNCTION("""COMPUTED_VALUE"""),"Create database newsportal
Create backend newsportal")</f>
        <v>Create database newsportal
Create backend newsportal</v>
      </c>
      <c r="E370" s="42"/>
      <c r="F370" s="42" t="str">
        <f>IFERROR(__xludf.DUMMYFUNCTION("""COMPUTED_VALUE"""),"Deploy backend
Slicing newsportal mobile app")</f>
        <v>Deploy backend
Slicing newsportal mobile app</v>
      </c>
    </row>
    <row r="371">
      <c r="A371" s="43">
        <f>IFERROR(__xludf.DUMMYFUNCTION("""COMPUTED_VALUE"""),44144.39703940973)</f>
        <v>44144.39704</v>
      </c>
      <c r="B371" s="42" t="str">
        <f>IFERROR(__xludf.DUMMYFUNCTION("""COMPUTED_VALUE"""),"Furoidah Chilmi")</f>
        <v>Furoidah Chilmi</v>
      </c>
      <c r="C371" s="44">
        <f>IFERROR(__xludf.DUMMYFUNCTION("""COMPUTED_VALUE"""),44144.0)</f>
        <v>44144</v>
      </c>
      <c r="D371" s="42" t="str">
        <f>IFERROR(__xludf.DUMMYFUNCTION("""COMPUTED_VALUE"""),"menyelesaikan route untuk news, user, bookmark dan category")</f>
        <v>menyelesaikan route untuk news, user, bookmark dan category</v>
      </c>
      <c r="E371" s="42" t="str">
        <f>IFERROR(__xludf.DUMMYFUNCTION("""COMPUTED_VALUE"""),"masih belum familiar dengan sequelize jadi butuh waktu lama memahami ")</f>
        <v>masih belum familiar dengan sequelize jadi butuh waktu lama memahami </v>
      </c>
      <c r="F371" s="42" t="str">
        <f>IFERROR(__xludf.DUMMYFUNCTION("""COMPUTED_VALUE"""),"fungsi search, sort dan pagination")</f>
        <v>fungsi search, sort dan pagination</v>
      </c>
    </row>
    <row r="372">
      <c r="A372" s="43">
        <f>IFERROR(__xludf.DUMMYFUNCTION("""COMPUTED_VALUE"""),44144.39732069444)</f>
        <v>44144.39732</v>
      </c>
      <c r="B372" s="42" t="str">
        <f>IFERROR(__xludf.DUMMYFUNCTION("""COMPUTED_VALUE"""),"Iqbal Athorid")</f>
        <v>Iqbal Athorid</v>
      </c>
      <c r="C372" s="44">
        <f>IFERROR(__xludf.DUMMYFUNCTION("""COMPUTED_VALUE"""),44144.0)</f>
        <v>44144</v>
      </c>
      <c r="D372" s="42" t="str">
        <f>IFERROR(__xludf.DUMMYFUNCTION("""COMPUTED_VALUE"""),"CRUD user,news,loginflow with jwt, upload image using multer")</f>
        <v>CRUD user,news,loginflow with jwt, upload image using multer</v>
      </c>
      <c r="E372" s="42" t="str">
        <f>IFERROR(__xludf.DUMMYFUNCTION("""COMPUTED_VALUE"""),"when changing the model in sequelize for relation could not migrate")</f>
        <v>when changing the model in sequelize for relation could not migrate</v>
      </c>
      <c r="F372" s="42" t="str">
        <f>IFERROR(__xludf.DUMMYFUNCTION("""COMPUTED_VALUE"""),"create ui")</f>
        <v>create ui</v>
      </c>
    </row>
    <row r="373">
      <c r="A373" s="43">
        <f>IFERROR(__xludf.DUMMYFUNCTION("""COMPUTED_VALUE"""),44144.398254178246)</f>
        <v>44144.39825</v>
      </c>
      <c r="B373" s="42" t="str">
        <f>IFERROR(__xludf.DUMMYFUNCTION("""COMPUTED_VALUE"""),"Pramesti Regita Cahyani")</f>
        <v>Pramesti Regita Cahyani</v>
      </c>
      <c r="C373" s="44">
        <f>IFERROR(__xludf.DUMMYFUNCTION("""COMPUTED_VALUE"""),44144.0)</f>
        <v>44144</v>
      </c>
      <c r="D373" s="42" t="str">
        <f>IFERROR(__xludf.DUMMYFUNCTION("""COMPUTED_VALUE"""),"membuat CRUD  untuk user dan admin, user dapat membuat berita disertai dengan upload gambar, user dapat mengubah profile, sudah ada login dan register")</f>
        <v>membuat CRUD  untuk user dan admin, user dapat membuat berita disertai dengan upload gambar, user dapat mengubah profile, sudah ada login dan register</v>
      </c>
      <c r="E373" s="42" t="str">
        <f>IFERROR(__xludf.DUMMYFUNCTION("""COMPUTED_VALUE"""),"belum bisa mengimplementasikan association, kemarin belum solve problem nya jadi ditinggal dulu untuk menggerjakan yang lain.
user belum bisa upload avatar, untuk helpernya sudah ada, tinggal dibuat controllernya.
masih belum tau apakah pemisahan tabel is"&amp;"i berita dan gambarnya adalah hal yang efektif.
semua sudah terhubung dengan userId atau roleId atau postId, cuma tinggal implementasi join supaya angkanya berubah value")</f>
        <v>belum bisa mengimplementasikan association, kemarin belum solve problem nya jadi ditinggal dulu untuk menggerjakan yang lain.
user belum bisa upload avatar, untuk helpernya sudah ada, tinggal dibuat controllernya.
masih belum tau apakah pemisahan tabel isi berita dan gambarnya adalah hal yang efektif.
semua sudah terhubung dengan userId atau roleId atau postId, cuma tinggal implementasi join supaya angkanya berubah value</v>
      </c>
      <c r="F373" s="42" t="str">
        <f>IFERROR(__xludf.DUMMYFUNCTION("""COMPUTED_VALUE"""),"menyelesaikan CRUD untuk UserProfile yang berisi detail user, mencoba solve masalah association")</f>
        <v>menyelesaikan CRUD untuk UserProfile yang berisi detail user, mencoba solve masalah association</v>
      </c>
    </row>
    <row r="374">
      <c r="A374" s="43">
        <f>IFERROR(__xludf.DUMMYFUNCTION("""COMPUTED_VALUE"""),44144.39866585648)</f>
        <v>44144.39867</v>
      </c>
      <c r="B374" s="42" t="str">
        <f>IFERROR(__xludf.DUMMYFUNCTION("""COMPUTED_VALUE"""),"Muhamad Faris Alkodri")</f>
        <v>Muhamad Faris Alkodri</v>
      </c>
      <c r="C374" s="44">
        <f>IFERROR(__xludf.DUMMYFUNCTION("""COMPUTED_VALUE"""),44144.0)</f>
        <v>44144</v>
      </c>
      <c r="D374" s="42" t="str">
        <f>IFERROR(__xludf.DUMMYFUNCTION("""COMPUTED_VALUE"""),"I was creating mcv for CRUD especially on:
Auth (sign in, log in, forgot password, reset password)
User (patch profile, delete user, get all user, change password, verification email)
Article (get all article, get article by id, get article by user, creat"&amp;"e article, edit article, delete article, add image body for article, delete image body for article,  bulking patch/add image body for article)
Comments and comment replies(get all comment, get comment by id, patch comment, delete comment)")</f>
        <v>I was creating mcv for CRUD especially on:
Auth (sign in, log in, forgot password, reset password)
User (patch profile, delete user, get all user, change password, verification email)
Article (get all article, get article by id, get article by user, create article, edit article, delete article, add image body for article, delete image body for article,  bulking patch/add image body for article)
Comments and comment replies(get all comment, get comment by id, patch comment, delete comment)</v>
      </c>
      <c r="E374" s="42" t="str">
        <f>IFERROR(__xludf.DUMMYFUNCTION("""COMPUTED_VALUE"""),"I have a problem and stuck for get count for every child table (like i have a category tables that has hasMany association with article, i want to get all category and also get the total number of articles in the category, but i failed)")</f>
        <v>I have a problem and stuck for get count for every child table (like i have a category tables that has hasMany association with article, i want to get all category and also get the total number of articles in the category, but i failed)</v>
      </c>
      <c r="F374" s="42" t="str">
        <f>IFERROR(__xludf.DUMMYFUNCTION("""COMPUTED_VALUE"""),"I want to add likes, comment likes and comment replies likes")</f>
        <v>I want to add likes, comment likes and comment replies likes</v>
      </c>
    </row>
    <row r="375">
      <c r="A375" s="43">
        <f>IFERROR(__xludf.DUMMYFUNCTION("""COMPUTED_VALUE"""),44144.39890650463)</f>
        <v>44144.39891</v>
      </c>
      <c r="B375" s="42" t="str">
        <f>IFERROR(__xludf.DUMMYFUNCTION("""COMPUTED_VALUE"""),"Ahmad Fatkhul Amam")</f>
        <v>Ahmad Fatkhul Amam</v>
      </c>
      <c r="C375" s="44">
        <f>IFERROR(__xludf.DUMMYFUNCTION("""COMPUTED_VALUE"""),44144.0)</f>
        <v>44144</v>
      </c>
      <c r="D375" s="42" t="str">
        <f>IFERROR(__xludf.DUMMYFUNCTION("""COMPUTED_VALUE"""),"edit partial profile, add auth middleware, add upload helper")</f>
        <v>edit partial profile, add auth middleware, add upload helper</v>
      </c>
      <c r="E375" s="42" t="str">
        <f>IFERROR(__xludf.DUMMYFUNCTION("""COMPUTED_VALUE"""),"i am still hesitant to identify what features i should make")</f>
        <v>i am still hesitant to identify what features i should make</v>
      </c>
      <c r="F375" s="42" t="str">
        <f>IFERROR(__xludf.DUMMYFUNCTION("""COMPUTED_VALUE"""),"make news portal desain to implementation to be frontend")</f>
        <v>make news portal desain to implementation to be frontend</v>
      </c>
    </row>
    <row r="376">
      <c r="A376" s="43">
        <f>IFERROR(__xludf.DUMMYFUNCTION("""COMPUTED_VALUE"""),44144.40083333333)</f>
        <v>44144.40083</v>
      </c>
      <c r="B376" s="42" t="str">
        <f>IFERROR(__xludf.DUMMYFUNCTION("""COMPUTED_VALUE"""),"Wahyu Ramadhan")</f>
        <v>Wahyu Ramadhan</v>
      </c>
      <c r="C376" s="44">
        <f>IFERROR(__xludf.DUMMYFUNCTION("""COMPUTED_VALUE"""),44144.0)</f>
        <v>44144</v>
      </c>
      <c r="D376" s="42" t="str">
        <f>IFERROR(__xludf.DUMMYFUNCTION("""COMPUTED_VALUE"""),"create auth and validate, update with image or not in news and profile, search")</f>
        <v>create auth and validate, update with image or not in news and profile, search</v>
      </c>
      <c r="E376" s="42" t="str">
        <f>IFERROR(__xludf.DUMMYFUNCTION("""COMPUTED_VALUE"""),"how to join table in sequelize")</f>
        <v>how to join table in sequelize</v>
      </c>
      <c r="F376" s="42" t="str">
        <f>IFERROR(__xludf.DUMMYFUNCTION("""COMPUTED_VALUE"""),"try to join table with sequelize")</f>
        <v>try to join table with sequelize</v>
      </c>
    </row>
    <row r="377">
      <c r="A377" s="43">
        <f>IFERROR(__xludf.DUMMYFUNCTION("""COMPUTED_VALUE"""),44144.40787980324)</f>
        <v>44144.40788</v>
      </c>
      <c r="B377" s="42" t="str">
        <f>IFERROR(__xludf.DUMMYFUNCTION("""COMPUTED_VALUE"""),"Ahmad Asrofi")</f>
        <v>Ahmad Asrofi</v>
      </c>
      <c r="C377" s="44">
        <f>IFERROR(__xludf.DUMMYFUNCTION("""COMPUTED_VALUE"""),44144.0)</f>
        <v>44144</v>
      </c>
      <c r="D377" s="42" t="str">
        <f>IFERROR(__xludf.DUMMYFUNCTION("""COMPUTED_VALUE"""),"creating model for news, implement search news by headline")</f>
        <v>creating model for news, implement search news by headline</v>
      </c>
      <c r="E377" s="42"/>
      <c r="F377" s="42" t="str">
        <f>IFERROR(__xludf.DUMMYFUNCTION("""COMPUTED_VALUE"""),"creating a new project mobile")</f>
        <v>creating a new project mobile</v>
      </c>
    </row>
    <row r="378">
      <c r="A378" s="43">
        <f>IFERROR(__xludf.DUMMYFUNCTION("""COMPUTED_VALUE"""),44144.40806618056)</f>
        <v>44144.40807</v>
      </c>
      <c r="B378" s="42" t="str">
        <f>IFERROR(__xludf.DUMMYFUNCTION("""COMPUTED_VALUE"""),"Timotius Simanjuntak")</f>
        <v>Timotius Simanjuntak</v>
      </c>
      <c r="C378" s="44">
        <f>IFERROR(__xludf.DUMMYFUNCTION("""COMPUTED_VALUE"""),44144.0)</f>
        <v>44144</v>
      </c>
      <c r="D378" s="42" t="str">
        <f>IFERROR(__xludf.DUMMYFUNCTION("""COMPUTED_VALUE"""),"Creating controller, route for Add news with image, category news")</f>
        <v>Creating controller, route for Add news with image, category news</v>
      </c>
      <c r="E378" s="42" t="str">
        <f>IFERROR(__xludf.DUMMYFUNCTION("""COMPUTED_VALUE"""),"still dont know how to use association in sequelize")</f>
        <v>still dont know how to use association in sequelize</v>
      </c>
      <c r="F378" s="42" t="str">
        <f>IFERROR(__xludf.DUMMYFUNCTION("""COMPUTED_VALUE"""),"finish the backend")</f>
        <v>finish the backend</v>
      </c>
    </row>
    <row r="379">
      <c r="A379" s="43">
        <f>IFERROR(__xludf.DUMMYFUNCTION("""COMPUTED_VALUE"""),44145.356267696756)</f>
        <v>44145.35627</v>
      </c>
      <c r="B379" s="42" t="str">
        <f>IFERROR(__xludf.DUMMYFUNCTION("""COMPUTED_VALUE"""),"Iqbal Athorid")</f>
        <v>Iqbal Athorid</v>
      </c>
      <c r="C379" s="44">
        <f>IFERROR(__xludf.DUMMYFUNCTION("""COMPUTED_VALUE"""),44145.0)</f>
        <v>44145</v>
      </c>
      <c r="D379" s="42" t="str">
        <f>IFERROR(__xludf.DUMMYFUNCTION("""COMPUTED_VALUE"""),"fixed backend, configuration react native app")</f>
        <v>fixed backend, configuration react native app</v>
      </c>
      <c r="E379" s="42" t="str">
        <f>IFERROR(__xludf.DUMMYFUNCTION("""COMPUTED_VALUE"""),"still unfamiliar with a sequelize")</f>
        <v>still unfamiliar with a sequelize</v>
      </c>
      <c r="F379" s="42" t="str">
        <f>IFERROR(__xludf.DUMMYFUNCTION("""COMPUTED_VALUE"""),"create ui")</f>
        <v>create ui</v>
      </c>
    </row>
    <row r="380">
      <c r="A380" s="43">
        <f>IFERROR(__xludf.DUMMYFUNCTION("""COMPUTED_VALUE"""),44145.39185944444)</f>
        <v>44145.39186</v>
      </c>
      <c r="B380" s="42" t="str">
        <f>IFERROR(__xludf.DUMMYFUNCTION("""COMPUTED_VALUE"""),"Rezha Maulana Jaya")</f>
        <v>Rezha Maulana Jaya</v>
      </c>
      <c r="C380" s="44">
        <f>IFERROR(__xludf.DUMMYFUNCTION("""COMPUTED_VALUE"""),44145.0)</f>
        <v>44145</v>
      </c>
      <c r="D380" s="42" t="str">
        <f>IFERROR(__xludf.DUMMYFUNCTION("""COMPUTED_VALUE"""),"admin dan user login beres ,register,get user,update,delete, post news,edit,delete, ")</f>
        <v>admin dan user login beres ,register,get user,update,delete, post news,edit,delete, </v>
      </c>
      <c r="E380" s="42" t="str">
        <f>IFERROR(__xludf.DUMMYFUNCTION("""COMPUTED_VALUE"""),"join tabel belum sempet liat tutorial dari rekaman, terus register role idnya 0 terus dalam peroses pengerjaan, benerin response, req.paramsnya ga jalan skrg lagi di benerin")</f>
        <v>join tabel belum sempet liat tutorial dari rekaman, terus register role idnya 0 terus dalam peroses pengerjaan, benerin response, req.paramsnya ga jalan skrg lagi di benerin</v>
      </c>
      <c r="F380" s="42" t="str">
        <f>IFERROR(__xludf.DUMMYFUNCTION("""COMPUTED_VALUE"""),"beresin error edit dan fix in semua ")</f>
        <v>beresin error edit dan fix in semua </v>
      </c>
    </row>
    <row r="381">
      <c r="A381" s="43">
        <f>IFERROR(__xludf.DUMMYFUNCTION("""COMPUTED_VALUE"""),44145.3933225)</f>
        <v>44145.39332</v>
      </c>
      <c r="B381" s="42" t="str">
        <f>IFERROR(__xludf.DUMMYFUNCTION("""COMPUTED_VALUE"""),"Fahmi Aziz Ismail")</f>
        <v>Fahmi Aziz Ismail</v>
      </c>
      <c r="C381" s="44">
        <f>IFERROR(__xludf.DUMMYFUNCTION("""COMPUTED_VALUE"""),44145.0)</f>
        <v>44145</v>
      </c>
      <c r="D381" s="42" t="str">
        <f>IFERROR(__xludf.DUMMYFUNCTION("""COMPUTED_VALUE"""),"slicing halaman login, trending, dan home")</f>
        <v>slicing halaman login, trending, dan home</v>
      </c>
      <c r="E381" s="42"/>
      <c r="F381" s="42" t="str">
        <f>IFERROR(__xludf.DUMMYFUNCTION("""COMPUTED_VALUE"""),"slicing halaman register, bookmark, detail news, dan menyambungkan backend ")</f>
        <v>slicing halaman register, bookmark, detail news, dan menyambungkan backend </v>
      </c>
    </row>
    <row r="382">
      <c r="A382" s="43">
        <f>IFERROR(__xludf.DUMMYFUNCTION("""COMPUTED_VALUE"""),44145.39340613426)</f>
        <v>44145.39341</v>
      </c>
      <c r="B382" s="42" t="str">
        <f>IFERROR(__xludf.DUMMYFUNCTION("""COMPUTED_VALUE"""),"Furoidah Chilmi")</f>
        <v>Furoidah Chilmi</v>
      </c>
      <c r="C382" s="44">
        <f>IFERROR(__xludf.DUMMYFUNCTION("""COMPUTED_VALUE"""),44145.0)</f>
        <v>44145</v>
      </c>
      <c r="D382" s="42" t="str">
        <f>IFERROR(__xludf.DUMMYFUNCTION("""COMPUTED_VALUE"""),"slicing page home dan menu")</f>
        <v>slicing page home dan menu</v>
      </c>
      <c r="E382" s="42" t="str">
        <f>IFERROR(__xludf.DUMMYFUNCTION("""COMPUTED_VALUE"""),"-")</f>
        <v>-</v>
      </c>
      <c r="F382" s="42" t="str">
        <f>IFERROR(__xludf.DUMMYFUNCTION("""COMPUTED_VALUE"""),"melanjutkan slicing page profile dan managing data")</f>
        <v>melanjutkan slicing page profile dan managing data</v>
      </c>
    </row>
    <row r="383">
      <c r="A383" s="43">
        <f>IFERROR(__xludf.DUMMYFUNCTION("""COMPUTED_VALUE"""),44145.3934960301)</f>
        <v>44145.3935</v>
      </c>
      <c r="B383" s="42" t="str">
        <f>IFERROR(__xludf.DUMMYFUNCTION("""COMPUTED_VALUE"""),"Satrio Nugroho")</f>
        <v>Satrio Nugroho</v>
      </c>
      <c r="C383" s="44">
        <f>IFERROR(__xludf.DUMMYFUNCTION("""COMPUTED_VALUE"""),44145.0)</f>
        <v>44145</v>
      </c>
      <c r="D383" s="42" t="str">
        <f>IFERROR(__xludf.DUMMYFUNCTION("""COMPUTED_VALUE"""),"saya menyelesaikan beberapa kekurangan dibackend dan mengerjakan slicing halaman di react native namun baru sedikit progres di frontend nya")</f>
        <v>saya menyelesaikan beberapa kekurangan dibackend dan mengerjakan slicing halaman di react native namun baru sedikit progres di frontend nya</v>
      </c>
      <c r="E383" s="42"/>
      <c r="F383" s="42" t="str">
        <f>IFERROR(__xludf.DUMMYFUNCTION("""COMPUTED_VALUE"""),"hari ini setelah daily standup saya akan melanjutkan perkerjaan frontend saya ")</f>
        <v>hari ini setelah daily standup saya akan melanjutkan perkerjaan frontend saya </v>
      </c>
    </row>
    <row r="384">
      <c r="A384" s="43">
        <f>IFERROR(__xludf.DUMMYFUNCTION("""COMPUTED_VALUE"""),44145.39370777778)</f>
        <v>44145.39371</v>
      </c>
      <c r="B384" s="42" t="str">
        <f>IFERROR(__xludf.DUMMYFUNCTION("""COMPUTED_VALUE"""),"Pramesti Regita Cahyani")</f>
        <v>Pramesti Regita Cahyani</v>
      </c>
      <c r="C384" s="44">
        <f>IFERROR(__xludf.DUMMYFUNCTION("""COMPUTED_VALUE"""),44145.0)</f>
        <v>44145</v>
      </c>
      <c r="D384" s="42" t="str">
        <f>IFERROR(__xludf.DUMMYFUNCTION("""COMPUTED_VALUE"""),"Membuat association dan membuat beberapa screen yaitu landingpage, login, dan signup")</f>
        <v>Membuat association dan membuat beberapa screen yaitu landingpage, login, dan signup</v>
      </c>
      <c r="E384" s="42" t="str">
        <f>IFERROR(__xludf.DUMMYFUNCTION("""COMPUTED_VALUE"""),"Backend belum selesai untuk tambahan-tambahan lain tapi secara garis besar sudah ada untuk crud profile dan crud post. Untuk tambahan lainnya nanti saya coba kerjakan lagi, karena kemarin masih bingung harus ikut tampilan mobile yang mana dan setiap tampi"&amp;"lan punya kebutuhan masing-masing. Tapi sekarang sudah selesai memilih
Frontend baru mengerjakan landingpage, login, dan signup karena mencoba mengimplementasikan formik, awalnya belum paham tapi sekarang sudah selesai")</f>
        <v>Backend belum selesai untuk tambahan-tambahan lain tapi secara garis besar sudah ada untuk crud profile dan crud post. Untuk tambahan lainnya nanti saya coba kerjakan lagi, karena kemarin masih bingung harus ikut tampilan mobile yang mana dan setiap tampilan punya kebutuhan masing-masing. Tapi sekarang sudah selesai memilih
Frontend baru mengerjakan landingpage, login, dan signup karena mencoba mengimplementasikan formik, awalnya belum paham tapi sekarang sudah selesai</v>
      </c>
      <c r="F384" s="42" t="str">
        <f>IFERROR(__xludf.DUMMYFUNCTION("""COMPUTED_VALUE"""),"Menyelesaikan screen yang nanti dibagi menjadi 4 buttom tab yaitu home, topics, my post, my profile")</f>
        <v>Menyelesaikan screen yang nanti dibagi menjadi 4 buttom tab yaitu home, topics, my post, my profile</v>
      </c>
    </row>
    <row r="385">
      <c r="A385" s="43">
        <f>IFERROR(__xludf.DUMMYFUNCTION("""COMPUTED_VALUE"""),44145.393771331015)</f>
        <v>44145.39377</v>
      </c>
      <c r="B385" s="42" t="str">
        <f>IFERROR(__xludf.DUMMYFUNCTION("""COMPUTED_VALUE"""),"Ahmad Asrofi")</f>
        <v>Ahmad Asrofi</v>
      </c>
      <c r="C385" s="44">
        <f>IFERROR(__xludf.DUMMYFUNCTION("""COMPUTED_VALUE"""),44145.0)</f>
        <v>44145</v>
      </c>
      <c r="D385" s="42" t="str">
        <f>IFERROR(__xludf.DUMMYFUNCTION("""COMPUTED_VALUE"""),"init project mobile, create welcome signup and login screen. implement redux and redux persist")</f>
        <v>init project mobile, create welcome signup and login screen. implement redux and redux persist</v>
      </c>
      <c r="E385" s="42"/>
      <c r="F385" s="42" t="str">
        <f>IFERROR(__xludf.DUMMYFUNCTION("""COMPUTED_VALUE"""),"create home, detail news, post news, and profile screen")</f>
        <v>create home, detail news, post news, and profile screen</v>
      </c>
    </row>
    <row r="386">
      <c r="A386" s="43">
        <f>IFERROR(__xludf.DUMMYFUNCTION("""COMPUTED_VALUE"""),44145.39984416666)</f>
        <v>44145.39984</v>
      </c>
      <c r="B386" s="42" t="str">
        <f>IFERROR(__xludf.DUMMYFUNCTION("""COMPUTED_VALUE"""),"Muhamad Faris Alkodri")</f>
        <v>Muhamad Faris Alkodri</v>
      </c>
      <c r="C386" s="44">
        <f>IFERROR(__xludf.DUMMYFUNCTION("""COMPUTED_VALUE"""),44145.0)</f>
        <v>44145</v>
      </c>
      <c r="D386" s="42" t="str">
        <f>IFERROR(__xludf.DUMMYFUNCTION("""COMPUTED_VALUE"""),"Done slicing article, create article, edit profile, forgot password, home, login, my profile, signup")</f>
        <v>Done slicing article, create article, edit profile, forgot password, home, login, my profile, signup</v>
      </c>
      <c r="E386" s="42" t="str">
        <f>IFERROR(__xludf.DUMMYFUNCTION("""COMPUTED_VALUE"""),"I have a problem on keyboard avoiding view, i thought it was not working well because my input does not shown when i want to change the input")</f>
        <v>I have a problem on keyboard avoiding view, i thought it was not working well because my input does not shown when i want to change the input</v>
      </c>
      <c r="F386" s="42" t="str">
        <f>IFERROR(__xludf.DUMMYFUNCTION("""COMPUTED_VALUE"""),"I want to do slicing and create the navigation and also i want to connect it to my backend with redux")</f>
        <v>I want to do slicing and create the navigation and also i want to connect it to my backend with redux</v>
      </c>
    </row>
    <row r="387">
      <c r="A387" s="43">
        <f>IFERROR(__xludf.DUMMYFUNCTION("""COMPUTED_VALUE"""),44145.40092215278)</f>
        <v>44145.40092</v>
      </c>
      <c r="B387" s="42" t="str">
        <f>IFERROR(__xludf.DUMMYFUNCTION("""COMPUTED_VALUE"""),"Muhammad Abdurasyid")</f>
        <v>Muhammad Abdurasyid</v>
      </c>
      <c r="C387" s="44">
        <f>IFERROR(__xludf.DUMMYFUNCTION("""COMPUTED_VALUE"""),44145.0)</f>
        <v>44145</v>
      </c>
      <c r="D387" s="42" t="str">
        <f>IFERROR(__xludf.DUMMYFUNCTION("""COMPUTED_VALUE"""),"Backend: 
1. Memindahkan code association dari controller ke model
2. Menambahkan endpoint utk get detail news
Frontend: 
1. Slicing screen register, login, home sebelum login, home setelah login, detail news, my article, add article, edit article, my pr"&amp;"ofile, edit profile")</f>
        <v>Backend: 
1. Memindahkan code association dari controller ke model
2. Menambahkan endpoint utk get detail news
Frontend: 
1. Slicing screen register, login, home sebelum login, home setelah login, detail news, my article, add article, edit article, my profile, edit profile</v>
      </c>
      <c r="E387" s="42"/>
      <c r="F387" s="42" t="str">
        <f>IFERROR(__xludf.DUMMYFUNCTION("""COMPUTED_VALUE"""),"Menghubungkan ke backend dgn menggunakan redux")</f>
        <v>Menghubungkan ke backend dgn menggunakan redux</v>
      </c>
    </row>
    <row r="388">
      <c r="A388" s="43">
        <f>IFERROR(__xludf.DUMMYFUNCTION("""COMPUTED_VALUE"""),44145.40778646991)</f>
        <v>44145.40779</v>
      </c>
      <c r="B388" s="42" t="str">
        <f>IFERROR(__xludf.DUMMYFUNCTION("""COMPUTED_VALUE"""),"Ahmad Fatkhul Amam")</f>
        <v>Ahmad Fatkhul Amam</v>
      </c>
      <c r="C388" s="44">
        <f>IFERROR(__xludf.DUMMYFUNCTION("""COMPUTED_VALUE"""),44145.0)</f>
        <v>44145</v>
      </c>
      <c r="D388" s="42" t="str">
        <f>IFERROR(__xludf.DUMMYFUNCTION("""COMPUTED_VALUE"""),"slicing page for news portal mobile app")</f>
        <v>slicing page for news portal mobile app</v>
      </c>
      <c r="E388" s="42" t="str">
        <f>IFERROR(__xludf.DUMMYFUNCTION("""COMPUTED_VALUE"""),"create a front end that matches the backend that we have created")</f>
        <v>create a front end that matches the backend that we have created</v>
      </c>
      <c r="F388" s="42" t="str">
        <f>IFERROR(__xludf.DUMMYFUNCTION("""COMPUTED_VALUE"""),"managing data from backed to fronted and imporove the backend dan frontend")</f>
        <v>managing data from backed to fronted and imporove the backend dan frontend</v>
      </c>
    </row>
    <row r="389">
      <c r="A389" s="43">
        <f>IFERROR(__xludf.DUMMYFUNCTION("""COMPUTED_VALUE"""),44145.41860209491)</f>
        <v>44145.4186</v>
      </c>
      <c r="B389" s="42" t="str">
        <f>IFERROR(__xludf.DUMMYFUNCTION("""COMPUTED_VALUE"""),"Timotius Simanjuntak")</f>
        <v>Timotius Simanjuntak</v>
      </c>
      <c r="C389" s="44">
        <f>IFERROR(__xludf.DUMMYFUNCTION("""COMPUTED_VALUE"""),44145.0)</f>
        <v>44145</v>
      </c>
      <c r="D389" s="42" t="str">
        <f>IFERROR(__xludf.DUMMYFUNCTION("""COMPUTED_VALUE"""),"Finishing backend")</f>
        <v>Finishing backend</v>
      </c>
      <c r="E389" s="42" t="str">
        <f>IFERROR(__xludf.DUMMYFUNCTION("""COMPUTED_VALUE"""),"maybe, i still dont know to how to use transaction properly")</f>
        <v>maybe, i still dont know to how to use transaction properly</v>
      </c>
      <c r="F389" s="42" t="str">
        <f>IFERROR(__xludf.DUMMYFUNCTION("""COMPUTED_VALUE"""),"completing frontend")</f>
        <v>completing frontend</v>
      </c>
    </row>
    <row r="390">
      <c r="A390" s="43">
        <f>IFERROR(__xludf.DUMMYFUNCTION("""COMPUTED_VALUE"""),44145.42347825231)</f>
        <v>44145.42348</v>
      </c>
      <c r="B390" s="42" t="str">
        <f>IFERROR(__xludf.DUMMYFUNCTION("""COMPUTED_VALUE"""),"Muhammad")</f>
        <v>Muhammad</v>
      </c>
      <c r="C390" s="44">
        <f>IFERROR(__xludf.DUMMYFUNCTION("""COMPUTED_VALUE"""),44145.0)</f>
        <v>44145</v>
      </c>
      <c r="D390" s="42" t="str">
        <f>IFERROR(__xludf.DUMMYFUNCTION("""COMPUTED_VALUE"""),"Try to fix problem on backend
Initialize newsportal mobile app")</f>
        <v>Try to fix problem on backend
Initialize newsportal mobile app</v>
      </c>
      <c r="E390" s="42" t="str">
        <f>IFERROR(__xludf.DUMMYFUNCTION("""COMPUTED_VALUE"""),"How to count row on association sequelize table?
How to get only one column on association sequelize table?")</f>
        <v>How to count row on association sequelize table?
How to get only one column on association sequelize table?</v>
      </c>
      <c r="F390" s="42" t="str">
        <f>IFERROR(__xludf.DUMMYFUNCTION("""COMPUTED_VALUE"""),"Slicing main, topics, and profile screens")</f>
        <v>Slicing main, topics, and profile screens</v>
      </c>
    </row>
    <row r="391">
      <c r="A391" s="43">
        <f>IFERROR(__xludf.DUMMYFUNCTION("""COMPUTED_VALUE"""),44146.37735905092)</f>
        <v>44146.37736</v>
      </c>
      <c r="B391" s="42" t="str">
        <f>IFERROR(__xludf.DUMMYFUNCTION("""COMPUTED_VALUE"""),"Muhammad Abdurasyid")</f>
        <v>Muhammad Abdurasyid</v>
      </c>
      <c r="C391" s="44">
        <f>IFERROR(__xludf.DUMMYFUNCTION("""COMPUTED_VALUE"""),44146.0)</f>
        <v>44146</v>
      </c>
      <c r="D391" s="42" t="str">
        <f>IFERROR(__xludf.DUMMYFUNCTION("""COMPUTED_VALUE"""),"Menghubungkan frontend ke backend di bagian register, login, get all news, get detail news, get profile")</f>
        <v>Menghubungkan frontend ke backend di bagian register, login, get all news, get detail news, get profile</v>
      </c>
      <c r="E391" s="42"/>
      <c r="F391" s="42" t="str">
        <f>IFERROR(__xludf.DUMMYFUNCTION("""COMPUTED_VALUE"""),"Menghubungkan frontend ke backend di bagian edit profile, get news by user, add news, edit news, delete news")</f>
        <v>Menghubungkan frontend ke backend di bagian edit profile, get news by user, add news, edit news, delete news</v>
      </c>
    </row>
    <row r="392">
      <c r="A392" s="43">
        <f>IFERROR(__xludf.DUMMYFUNCTION("""COMPUTED_VALUE"""),44146.391222743056)</f>
        <v>44146.39122</v>
      </c>
      <c r="B392" s="42" t="str">
        <f>IFERROR(__xludf.DUMMYFUNCTION("""COMPUTED_VALUE"""),"Iqbal Athorid")</f>
        <v>Iqbal Athorid</v>
      </c>
      <c r="C392" s="44">
        <f>IFERROR(__xludf.DUMMYFUNCTION("""COMPUTED_VALUE"""),44146.0)</f>
        <v>44146</v>
      </c>
      <c r="D392" s="42" t="str">
        <f>IFERROR(__xludf.DUMMYFUNCTION("""COMPUTED_VALUE"""),"slicing login,register,forgot,home,settings,editprofile,navigation using drawer react navigation")</f>
        <v>slicing login,register,forgot,home,settings,editprofile,navigation using drawer react navigation</v>
      </c>
      <c r="E392" s="42" t="str">
        <f>IFERROR(__xludf.DUMMYFUNCTION("""COMPUTED_VALUE"""),"moving between screen so weird")</f>
        <v>moving between screen so weird</v>
      </c>
      <c r="F392" s="42" t="str">
        <f>IFERROR(__xludf.DUMMYFUNCTION("""COMPUTED_VALUE"""),"management data from api")</f>
        <v>management data from api</v>
      </c>
    </row>
    <row r="393">
      <c r="A393" s="43">
        <f>IFERROR(__xludf.DUMMYFUNCTION("""COMPUTED_VALUE"""),44146.39488730324)</f>
        <v>44146.39489</v>
      </c>
      <c r="B393" s="42" t="str">
        <f>IFERROR(__xludf.DUMMYFUNCTION("""COMPUTED_VALUE"""),"Fahmi Aziz Ismail")</f>
        <v>Fahmi Aziz Ismail</v>
      </c>
      <c r="C393" s="44">
        <f>IFERROR(__xludf.DUMMYFUNCTION("""COMPUTED_VALUE"""),44146.0)</f>
        <v>44146</v>
      </c>
      <c r="D393" s="42" t="str">
        <f>IFERROR(__xludf.DUMMYFUNCTION("""COMPUTED_VALUE"""),"slicing halaman register, bookmark, menu, setting, edit profile, detail news, deploy backend, ")</f>
        <v>slicing halaman register, bookmark, menu, setting, edit profile, detail news, deploy backend, </v>
      </c>
      <c r="E393" s="42"/>
      <c r="F393" s="42" t="str">
        <f>IFERROR(__xludf.DUMMYFUNCTION("""COMPUTED_VALUE"""),"menghubungkan backend ke frontend mobile")</f>
        <v>menghubungkan backend ke frontend mobile</v>
      </c>
    </row>
    <row r="394">
      <c r="A394" s="43">
        <f>IFERROR(__xludf.DUMMYFUNCTION("""COMPUTED_VALUE"""),44146.39534887731)</f>
        <v>44146.39535</v>
      </c>
      <c r="B394" s="42" t="str">
        <f>IFERROR(__xludf.DUMMYFUNCTION("""COMPUTED_VALUE"""),"Pramesti Regita Cahyani")</f>
        <v>Pramesti Regita Cahyani</v>
      </c>
      <c r="C394" s="44">
        <f>IFERROR(__xludf.DUMMYFUNCTION("""COMPUTED_VALUE"""),44146.0)</f>
        <v>44146</v>
      </c>
      <c r="D394" s="42" t="str">
        <f>IFERROR(__xludf.DUMMYFUNCTION("""COMPUTED_VALUE"""),"Menyelesaikan slicing screen")</f>
        <v>Menyelesaikan slicing screen</v>
      </c>
      <c r="E394" s="42" t="str">
        <f>IFERROR(__xludf.DUMMYFUNCTION("""COMPUTED_VALUE"""),"Belum slicing untuk create news dan edit news, karena belum mencari tahu form untuk input banyak paragraf, untuk upload imagenya belum dicoba")</f>
        <v>Belum slicing untuk create news dan edit news, karena belum mencari tahu form untuk input banyak paragraf, untuk upload imagenya belum dicoba</v>
      </c>
      <c r="F394" s="42" t="str">
        <f>IFERROR(__xludf.DUMMYFUNCTION("""COMPUTED_VALUE"""),"mengimplementasikan redux untuk login, register, get news, dan get my profile, kemudian edit profile dan change password")</f>
        <v>mengimplementasikan redux untuk login, register, get news, dan get my profile, kemudian edit profile dan change password</v>
      </c>
    </row>
    <row r="395">
      <c r="A395" s="43">
        <f>IFERROR(__xludf.DUMMYFUNCTION("""COMPUTED_VALUE"""),44146.39638344907)</f>
        <v>44146.39638</v>
      </c>
      <c r="B395" s="42" t="str">
        <f>IFERROR(__xludf.DUMMYFUNCTION("""COMPUTED_VALUE"""),"Furoidah Chilmi")</f>
        <v>Furoidah Chilmi</v>
      </c>
      <c r="C395" s="44">
        <f>IFERROR(__xludf.DUMMYFUNCTION("""COMPUTED_VALUE"""),44146.0)</f>
        <v>44146</v>
      </c>
      <c r="D395" s="42" t="str">
        <f>IFERROR(__xludf.DUMMYFUNCTION("""COMPUTED_VALUE"""),"slicing beberapa page, button tab, login function, get data profile, edit data profile")</f>
        <v>slicing beberapa page, button tab, login function, get data profile, edit data profile</v>
      </c>
      <c r="E395" s="42" t="str">
        <f>IFERROR(__xludf.DUMMYFUNCTION("""COMPUTED_VALUE"""),"upload image belum berhasil")</f>
        <v>upload image belum berhasil</v>
      </c>
      <c r="F395" s="42" t="str">
        <f>IFERROR(__xludf.DUMMYFUNCTION("""COMPUTED_VALUE"""),"show my article, edit my article, upload image (article dan profile)")</f>
        <v>show my article, edit my article, upload image (article dan profile)</v>
      </c>
    </row>
    <row r="396">
      <c r="A396" s="43">
        <f>IFERROR(__xludf.DUMMYFUNCTION("""COMPUTED_VALUE"""),44146.396552025464)</f>
        <v>44146.39655</v>
      </c>
      <c r="B396" s="42" t="str">
        <f>IFERROR(__xludf.DUMMYFUNCTION("""COMPUTED_VALUE"""),"Timotius Simanjuntak")</f>
        <v>Timotius Simanjuntak</v>
      </c>
      <c r="C396" s="44">
        <f>IFERROR(__xludf.DUMMYFUNCTION("""COMPUTED_VALUE"""),44146.0)</f>
        <v>44146</v>
      </c>
      <c r="D396" s="42" t="str">
        <f>IFERROR(__xludf.DUMMYFUNCTION("""COMPUTED_VALUE"""),"Creating screens for login, signup, forgot password, home")</f>
        <v>Creating screens for login, signup, forgot password, home</v>
      </c>
      <c r="E396" s="42"/>
      <c r="F396" s="42" t="str">
        <f>IFERROR(__xludf.DUMMYFUNCTION("""COMPUTED_VALUE"""),"Will finishing all the screen and connect to backend, and implement notification")</f>
        <v>Will finishing all the screen and connect to backend, and implement notification</v>
      </c>
    </row>
    <row r="397">
      <c r="A397" s="43">
        <f>IFERROR(__xludf.DUMMYFUNCTION("""COMPUTED_VALUE"""),44146.39690841435)</f>
        <v>44146.39691</v>
      </c>
      <c r="B397" s="42" t="str">
        <f>IFERROR(__xludf.DUMMYFUNCTION("""COMPUTED_VALUE"""),"Wahyu Ramadhan")</f>
        <v>Wahyu Ramadhan</v>
      </c>
      <c r="C397" s="44">
        <f>IFERROR(__xludf.DUMMYFUNCTION("""COMPUTED_VALUE"""),44146.0)</f>
        <v>44146</v>
      </c>
      <c r="D397" s="42" t="str">
        <f>IFERROR(__xludf.DUMMYFUNCTION("""COMPUTED_VALUE"""),"slicing proofile, edit profile, login, register, fix home screen, use drawer in stack")</f>
        <v>slicing proofile, edit profile, login, register, fix home screen, use drawer in stack</v>
      </c>
      <c r="E397" s="42" t="str">
        <f>IFERROR(__xludf.DUMMYFUNCTION("""COMPUTED_VALUE"""),"not yet")</f>
        <v>not yet</v>
      </c>
      <c r="F397" s="42" t="str">
        <f>IFERROR(__xludf.DUMMYFUNCTION("""COMPUTED_VALUE"""),"slicing all and use redux")</f>
        <v>slicing all and use redux</v>
      </c>
    </row>
    <row r="398">
      <c r="A398" s="43">
        <f>IFERROR(__xludf.DUMMYFUNCTION("""COMPUTED_VALUE"""),44146.39848037037)</f>
        <v>44146.39848</v>
      </c>
      <c r="B398" s="42" t="str">
        <f>IFERROR(__xludf.DUMMYFUNCTION("""COMPUTED_VALUE"""),"Muhamad Faris Alkodri")</f>
        <v>Muhamad Faris Alkodri</v>
      </c>
      <c r="C398" s="44">
        <f>IFERROR(__xludf.DUMMYFUNCTION("""COMPUTED_VALUE"""),44146.0)</f>
        <v>44146</v>
      </c>
      <c r="D398" s="42" t="str">
        <f>IFERROR(__xludf.DUMMYFUNCTION("""COMPUTED_VALUE"""),"Done slicing all necessary screens, on going navigating all the screens")</f>
        <v>Done slicing all necessary screens, on going navigating all the screens</v>
      </c>
      <c r="E398" s="42" t="str">
        <f>IFERROR(__xludf.DUMMYFUNCTION("""COMPUTED_VALUE"""),"My problem is i can't click TouchableOpacity component that overflowing its parent")</f>
        <v>My problem is i can't click TouchableOpacity component that overflowing its parent</v>
      </c>
      <c r="F398" s="42" t="str">
        <f>IFERROR(__xludf.DUMMYFUNCTION("""COMPUTED_VALUE"""),"Navigating the screens, connect to redux and backend and also connect to notification")</f>
        <v>Navigating the screens, connect to redux and backend and also connect to notification</v>
      </c>
    </row>
    <row r="399">
      <c r="A399" s="43">
        <f>IFERROR(__xludf.DUMMYFUNCTION("""COMPUTED_VALUE"""),44146.398965879634)</f>
        <v>44146.39897</v>
      </c>
      <c r="B399" s="42" t="str">
        <f>IFERROR(__xludf.DUMMYFUNCTION("""COMPUTED_VALUE"""),"Muhammad")</f>
        <v>Muhammad</v>
      </c>
      <c r="C399" s="44">
        <f>IFERROR(__xludf.DUMMYFUNCTION("""COMPUTED_VALUE"""),44146.0)</f>
        <v>44146</v>
      </c>
      <c r="D399" s="42" t="str">
        <f>IFERROR(__xludf.DUMMYFUNCTION("""COMPUTED_VALUE"""),"Slicing all screens")</f>
        <v>Slicing all screens</v>
      </c>
      <c r="E399" s="42"/>
      <c r="F399" s="42" t="str">
        <f>IFERROR(__xludf.DUMMYFUNCTION("""COMPUTED_VALUE"""),"Navigated and managing data all screens")</f>
        <v>Navigated and managing data all screens</v>
      </c>
    </row>
    <row r="400">
      <c r="A400" s="43">
        <f>IFERROR(__xludf.DUMMYFUNCTION("""COMPUTED_VALUE"""),44146.39967594907)</f>
        <v>44146.39968</v>
      </c>
      <c r="B400" s="42" t="str">
        <f>IFERROR(__xludf.DUMMYFUNCTION("""COMPUTED_VALUE"""),"Ahmad Fatkhul Amam")</f>
        <v>Ahmad Fatkhul Amam</v>
      </c>
      <c r="C400" s="44">
        <f>IFERROR(__xludf.DUMMYFUNCTION("""COMPUTED_VALUE"""),44146.0)</f>
        <v>44146</v>
      </c>
      <c r="D400" s="42" t="str">
        <f>IFERROR(__xludf.DUMMYFUNCTION("""COMPUTED_VALUE"""),"add search and sort features in backend, managing data, navigation, and fix styling in login and sign up frontend")</f>
        <v>add search and sort features in backend, managing data, navigation, and fix styling in login and sign up frontend</v>
      </c>
      <c r="E400" s="42" t="str">
        <f>IFERROR(__xludf.DUMMYFUNCTION("""COMPUTED_VALUE"""),"still very basic in implementing state management (redux) in React Native, so it took a while to resolve errors")</f>
        <v>still very basic in implementing state management (redux) in React Native, so it took a while to resolve errors</v>
      </c>
      <c r="F400" s="42" t="str">
        <f>IFERROR(__xludf.DUMMYFUNCTION("""COMPUTED_VALUE"""),"managing news data, fix style for show news, edit profile on frontend")</f>
        <v>managing news data, fix style for show news, edit profile on frontend</v>
      </c>
    </row>
    <row r="401">
      <c r="A401" s="43">
        <f>IFERROR(__xludf.DUMMYFUNCTION("""COMPUTED_VALUE"""),44146.41980585648)</f>
        <v>44146.41981</v>
      </c>
      <c r="B401" s="42" t="str">
        <f>IFERROR(__xludf.DUMMYFUNCTION("""COMPUTED_VALUE"""),"Ahmad Asrofi")</f>
        <v>Ahmad Asrofi</v>
      </c>
      <c r="C401" s="44">
        <f>IFERROR(__xludf.DUMMYFUNCTION("""COMPUTED_VALUE"""),44146.0)</f>
        <v>44146</v>
      </c>
      <c r="D401" s="42" t="str">
        <f>IFERROR(__xludf.DUMMYFUNCTION("""COMPUTED_VALUE"""),"create profile page, implement redux in signup and login page")</f>
        <v>create profile page, implement redux in signup and login page</v>
      </c>
      <c r="E401" s="42"/>
      <c r="F401" s="42" t="str">
        <f>IFERROR(__xludf.DUMMYFUNCTION("""COMPUTED_VALUE"""),"create home, post and adding profile")</f>
        <v>create home, post and adding profile</v>
      </c>
    </row>
    <row r="402">
      <c r="A402" s="43">
        <f>IFERROR(__xludf.DUMMYFUNCTION("""COMPUTED_VALUE"""),44146.48943541667)</f>
        <v>44146.48944</v>
      </c>
      <c r="B402" s="42" t="str">
        <f>IFERROR(__xludf.DUMMYFUNCTION("""COMPUTED_VALUE"""),"Rezha Maulana Jaya")</f>
        <v>Rezha Maulana Jaya</v>
      </c>
      <c r="C402" s="44">
        <f>IFERROR(__xludf.DUMMYFUNCTION("""COMPUTED_VALUE"""),44146.0)</f>
        <v>44146</v>
      </c>
      <c r="D402" s="42" t="str">
        <f>IFERROR(__xludf.DUMMYFUNCTION("""COMPUTED_VALUE"""),"buat upload profile ,get profile, forgot password")</f>
        <v>buat upload profile ,get profile, forgot password</v>
      </c>
      <c r="E402" s="42" t="str">
        <f>IFERROR(__xludf.DUMMYFUNCTION("""COMPUTED_VALUE"""),"kondisi badan ga memadai ")</f>
        <v>kondisi badan ga memadai </v>
      </c>
      <c r="F402" s="42" t="str">
        <f>IFERROR(__xludf.DUMMYFUNCTION("""COMPUTED_VALUE"""),"fix backend ,slicing moble, dan koneksikan backend ke mobile
")</f>
        <v>fix backend ,slicing moble, dan koneksikan backend ke mobile
</v>
      </c>
    </row>
    <row r="403">
      <c r="A403" s="43">
        <f>IFERROR(__xludf.DUMMYFUNCTION("""COMPUTED_VALUE"""),44147.39236745371)</f>
        <v>44147.39237</v>
      </c>
      <c r="B403" s="42" t="str">
        <f>IFERROR(__xludf.DUMMYFUNCTION("""COMPUTED_VALUE"""),"Muhammad Abdurasyid")</f>
        <v>Muhammad Abdurasyid</v>
      </c>
      <c r="C403" s="44">
        <f>IFERROR(__xludf.DUMMYFUNCTION("""COMPUTED_VALUE"""),44147.0)</f>
        <v>44147</v>
      </c>
      <c r="D403" s="42" t="str">
        <f>IFERROR(__xludf.DUMMYFUNCTION("""COMPUTED_VALUE"""),"1. Menghubungkan ke backend di bagian edit profile, get article berdasarkan user yg login, delete article, edit article dan post article
2. Menambahkan fungsi utk upload image ketika post article, edit article, &amp; edit profile
3. Menambahkan action pull to"&amp;" refresh di screen home &amp; my article
4. Menambahkan fungsi search di screen home &amp; my article
5. Menambahkan infinite scroll di screen home &amp; my article")</f>
        <v>1. Menghubungkan ke backend di bagian edit profile, get article berdasarkan user yg login, delete article, edit article dan post article
2. Menambahkan fungsi utk upload image ketika post article, edit article, &amp; edit profile
3. Menambahkan action pull to refresh di screen home &amp; my article
4. Menambahkan fungsi search di screen home &amp; my article
5. Menambahkan infinite scroll di screen home &amp; my article</v>
      </c>
      <c r="E403" s="42"/>
      <c r="F403" s="42" t="str">
        <f>IFERROR(__xludf.DUMMYFUNCTION("""COMPUTED_VALUE"""),"Mencoba menambahkan notification")</f>
        <v>Mencoba menambahkan notification</v>
      </c>
    </row>
    <row r="404">
      <c r="A404" s="43">
        <f>IFERROR(__xludf.DUMMYFUNCTION("""COMPUTED_VALUE"""),44148.38979884259)</f>
        <v>44148.3898</v>
      </c>
      <c r="B404" s="42" t="str">
        <f>IFERROR(__xludf.DUMMYFUNCTION("""COMPUTED_VALUE"""),"Muhammad Abdurasyid")</f>
        <v>Muhammad Abdurasyid</v>
      </c>
      <c r="C404" s="44">
        <f>IFERROR(__xludf.DUMMYFUNCTION("""COMPUTED_VALUE"""),44148.0)</f>
        <v>44148</v>
      </c>
      <c r="D404" s="42" t="str">
        <f>IFERROR(__xludf.DUMMYFUNCTION("""COMPUTED_VALUE"""),"1. Setelah dilakukan pengetesan, utk upload image dgn menggunakan camera sudah bisa. Dengan catatan utk HP saya, app camera yg digunakan harus camera LineageOS. Pada saat demo kemarin, app camera yg digunakan adalah GCam Mod yg tidak bisa digunakan sebaga"&amp;"i camera jika diakses dari apps lain (code upload image tidak ada berubah)
2. Menambahkan splash screen dgn menggunakan react-native-splash-screen
3. Mengubah nama aplikasi menjadi Balbalan
4. Mengubah icon aplikasi")</f>
        <v>1. Setelah dilakukan pengetesan, utk upload image dgn menggunakan camera sudah bisa. Dengan catatan utk HP saya, app camera yg digunakan harus camera LineageOS. Pada saat demo kemarin, app camera yg digunakan adalah GCam Mod yg tidak bisa digunakan sebagai camera jika diakses dari apps lain (code upload image tidak ada berubah)
2. Menambahkan splash screen dgn menggunakan react-native-splash-screen
3. Mengubah nama aplikasi menjadi Balbalan
4. Mengubah icon aplikasi</v>
      </c>
      <c r="E404" s="42"/>
      <c r="F404" s="42" t="str">
        <f>IFERROR(__xludf.DUMMYFUNCTION("""COMPUTED_VALUE"""),"1. Menambahkan truncate content utk get all news &amp; get news by user di backend
2. Menambahkan fitur update password &amp; forgot password
3. Menambahkan alert ketika terjadi reject")</f>
        <v>1. Menambahkan truncate content utk get all news &amp; get news by user di backend
2. Menambahkan fitur update password &amp; forgot password
3. Menambahkan alert ketika terjadi reject</v>
      </c>
    </row>
    <row r="405">
      <c r="A405" s="43">
        <f>IFERROR(__xludf.DUMMYFUNCTION("""COMPUTED_VALUE"""),44148.56738825231)</f>
        <v>44148.56739</v>
      </c>
      <c r="B405" s="42" t="str">
        <f>IFERROR(__xludf.DUMMYFUNCTION("""COMPUTED_VALUE"""),"Iqbal Athorid")</f>
        <v>Iqbal Athorid</v>
      </c>
      <c r="C405" s="44">
        <f>IFERROR(__xludf.DUMMYFUNCTION("""COMPUTED_VALUE"""),44148.0)</f>
        <v>44148</v>
      </c>
      <c r="D405" s="42" t="str">
        <f>IFERROR(__xludf.DUMMYFUNCTION("""COMPUTED_VALUE"""),"fixed create news and upload image backend ,learn how to upload image in react-native, fixed bug on flatlist ")</f>
        <v>fixed create news and upload image backend ,learn how to upload image in react-native, fixed bug on flatlist </v>
      </c>
      <c r="E405" s="42"/>
      <c r="F405" s="42" t="str">
        <f>IFERROR(__xludf.DUMMYFUNCTION("""COMPUTED_VALUE"""),"mengikuti instruksi kang irul")</f>
        <v>mengikuti instruksi kang irul</v>
      </c>
    </row>
    <row r="406">
      <c r="A406" s="43">
        <f>IFERROR(__xludf.DUMMYFUNCTION("""COMPUTED_VALUE"""),44148.58051864583)</f>
        <v>44148.58052</v>
      </c>
      <c r="B406" s="42" t="str">
        <f>IFERROR(__xludf.DUMMYFUNCTION("""COMPUTED_VALUE"""),"Wahyu Ramadhan")</f>
        <v>Wahyu Ramadhan</v>
      </c>
      <c r="C406" s="44">
        <f>IFERROR(__xludf.DUMMYFUNCTION("""COMPUTED_VALUE"""),44148.0)</f>
        <v>44148</v>
      </c>
      <c r="D406" s="42" t="str">
        <f>IFERROR(__xludf.DUMMYFUNCTION("""COMPUTED_VALUE"""),"Slicing create news, edit news, use image-picker")</f>
        <v>Slicing create news, edit news, use image-picker</v>
      </c>
      <c r="E406" s="42" t="str">
        <f>IFERROR(__xludf.DUMMYFUNCTION("""COMPUTED_VALUE"""),"buttom sheet")</f>
        <v>buttom sheet</v>
      </c>
      <c r="F406" s="42" t="str">
        <f>IFERROR(__xludf.DUMMYFUNCTION("""COMPUTED_VALUE"""),"change icon adn then try to connect backend use redux")</f>
        <v>change icon adn then try to connect backend use redux</v>
      </c>
    </row>
    <row r="407">
      <c r="A407" s="43">
        <f>IFERROR(__xludf.DUMMYFUNCTION("""COMPUTED_VALUE"""),44148.58498467592)</f>
        <v>44148.58498</v>
      </c>
      <c r="B407" s="42" t="str">
        <f>IFERROR(__xludf.DUMMYFUNCTION("""COMPUTED_VALUE"""),"Pramesti Regita Cahyani")</f>
        <v>Pramesti Regita Cahyani</v>
      </c>
      <c r="C407" s="44">
        <f>IFERROR(__xludf.DUMMYFUNCTION("""COMPUTED_VALUE"""),44148.0)</f>
        <v>44148</v>
      </c>
      <c r="D407" s="42" t="str">
        <f>IFERROR(__xludf.DUMMYFUNCTION("""COMPUTED_VALUE"""),"Menginstal react-native-image-picture dan memngimplementasikan")</f>
        <v>Menginstal react-native-image-picture dan memngimplementasikan</v>
      </c>
      <c r="E407" s="42" t="str">
        <f>IFERROR(__xludf.DUMMYFUNCTION("""COMPUTED_VALUE"""),"Sudah bisa memilih dan menampilkan gambar, tapi masalahnya karena ketika upload gambar memerlukan id dari newsnya jadi masih bingung cara ambilnya gimana. Mungkin nanti saya ganti dulu controllernya jadi nanti ngirimnya langsung ke dua tabel yang berbeda")</f>
        <v>Sudah bisa memilih dan menampilkan gambar, tapi masalahnya karena ketika upload gambar memerlukan id dari newsnya jadi masih bingung cara ambilnya gimana. Mungkin nanti saya ganti dulu controllernya jadi nanti ngirimnya langsung ke dua tabel yang berbeda</v>
      </c>
      <c r="F407" s="42" t="str">
        <f>IFERROR(__xludf.DUMMYFUNCTION("""COMPUTED_VALUE"""),"Merevisi backend sesuai kebutuhan create news dan edit news")</f>
        <v>Merevisi backend sesuai kebutuhan create news dan edit news</v>
      </c>
    </row>
    <row r="408">
      <c r="A408" s="43">
        <f>IFERROR(__xludf.DUMMYFUNCTION("""COMPUTED_VALUE"""),44148.588715509264)</f>
        <v>44148.58872</v>
      </c>
      <c r="B408" s="42" t="str">
        <f>IFERROR(__xludf.DUMMYFUNCTION("""COMPUTED_VALUE"""),"Muhamad Faris Alkodri")</f>
        <v>Muhamad Faris Alkodri</v>
      </c>
      <c r="C408" s="44">
        <f>IFERROR(__xludf.DUMMYFUNCTION("""COMPUTED_VALUE"""),44148.0)</f>
        <v>44148</v>
      </c>
      <c r="D408" s="42" t="str">
        <f>IFERROR(__xludf.DUMMYFUNCTION("""COMPUTED_VALUE"""),"I thought windows OS doesn't help me much on writing code so I was going to install ubuntu but when i'm going to install it, the laptop said that boot error and when i rewrite the flashdisk it says ldlinux.c32 is not found")</f>
        <v>I thought windows OS doesn't help me much on writing code so I was going to install ubuntu but when i'm going to install it, the laptop said that boot error and when i rewrite the flashdisk it says ldlinux.c32 is not found</v>
      </c>
      <c r="E408" s="42" t="str">
        <f>IFERROR(__xludf.DUMMYFUNCTION("""COMPUTED_VALUE"""),"The problem is when i decided to install linux on my laptop")</f>
        <v>The problem is when i decided to install linux on my laptop</v>
      </c>
      <c r="F408" s="42" t="str">
        <f>IFERROR(__xludf.DUMMYFUNCTION("""COMPUTED_VALUE"""),"I was going to check and recheck my code especially on the redux, i was aware of my redux implementation but i implent the redux code in the way that Kang Irul showed to us. Kang Irul also said that my code just alright and told me to clean the react-nati"&amp;"ve project and build again. But my laptop cannot be booted so i was going to resolve my laptop's problem first")</f>
        <v>I was going to check and recheck my code especially on the redux, i was aware of my redux implementation but i implent the redux code in the way that Kang Irul showed to us. Kang Irul also said that my code just alright and told me to clean the react-native project and build again. But my laptop cannot be booted so i was going to resolve my laptop's problem first</v>
      </c>
    </row>
    <row r="409">
      <c r="A409" s="43">
        <f>IFERROR(__xludf.DUMMYFUNCTION("""COMPUTED_VALUE"""),44148.59641637732)</f>
        <v>44148.59642</v>
      </c>
      <c r="B409" s="42" t="str">
        <f>IFERROR(__xludf.DUMMYFUNCTION("""COMPUTED_VALUE"""),"Satrio Nugroho")</f>
        <v>Satrio Nugroho</v>
      </c>
      <c r="C409" s="44">
        <f>IFERROR(__xludf.DUMMYFUNCTION("""COMPUTED_VALUE"""),44148.0)</f>
        <v>44148</v>
      </c>
      <c r="D409" s="42" t="str">
        <f>IFERROR(__xludf.DUMMYFUNCTION("""COMPUTED_VALUE"""),"mengerjakan beberapa slicing halaman dan managing data di front end... memperbaiki problem juga di backend ")</f>
        <v>mengerjakan beberapa slicing halaman dan managing data di front end... memperbaiki problem juga di backend </v>
      </c>
      <c r="E409" s="42" t="str">
        <f>IFERROR(__xludf.DUMMYFUNCTION("""COMPUTED_VALUE"""),"di backend nya masih ada beberpa  yang bermasalah")</f>
        <v>di backend nya masih ada beberpa  yang bermasalah</v>
      </c>
      <c r="F409" s="42" t="str">
        <f>IFERROR(__xludf.DUMMYFUNCTION("""COMPUTED_VALUE"""),"target hari ini menyelesaikan beberapa slicing frontend . dan lanjut menyelesaikan beberapa masalah di backend")</f>
        <v>target hari ini menyelesaikan beberapa slicing frontend . dan lanjut menyelesaikan beberapa masalah di backend</v>
      </c>
    </row>
    <row r="410">
      <c r="A410" s="43">
        <f>IFERROR(__xludf.DUMMYFUNCTION("""COMPUTED_VALUE"""),44148.59804520833)</f>
        <v>44148.59805</v>
      </c>
      <c r="B410" s="42" t="str">
        <f>IFERROR(__xludf.DUMMYFUNCTION("""COMPUTED_VALUE"""),"Fahmi Aziz Ismail")</f>
        <v>Fahmi Aziz Ismail</v>
      </c>
      <c r="C410" s="44">
        <f>IFERROR(__xludf.DUMMYFUNCTION("""COMPUTED_VALUE"""),44148.0)</f>
        <v>44148</v>
      </c>
      <c r="D410" s="42" t="str">
        <f>IFERROR(__xludf.DUMMYFUNCTION("""COMPUTED_VALUE"""),"memperbaiki error backend yang sudah dideploy, menambah fungsi get profile, delete news, add bookmark, delete bookwark, get bookmark di backend")</f>
        <v>memperbaiki error backend yang sudah dideploy, menambah fungsi get profile, delete news, add bookmark, delete bookwark, get bookmark di backend</v>
      </c>
      <c r="E410" s="42"/>
      <c r="F410" s="42" t="str">
        <f>IFERROR(__xludf.DUMMYFUNCTION("""COMPUTED_VALUE"""),"membuat fungsi update profile, post news, update news di mobile")</f>
        <v>membuat fungsi update profile, post news, update news di mobile</v>
      </c>
    </row>
    <row r="411">
      <c r="A411" s="43">
        <f>IFERROR(__xludf.DUMMYFUNCTION("""COMPUTED_VALUE"""),44148.608329930554)</f>
        <v>44148.60833</v>
      </c>
      <c r="B411" s="42" t="str">
        <f>IFERROR(__xludf.DUMMYFUNCTION("""COMPUTED_VALUE"""),"Timotius Simanjuntak")</f>
        <v>Timotius Simanjuntak</v>
      </c>
      <c r="C411" s="44">
        <f>IFERROR(__xludf.DUMMYFUNCTION("""COMPUTED_VALUE"""),44148.0)</f>
        <v>44148</v>
      </c>
      <c r="D411" s="42" t="str">
        <f>IFERROR(__xludf.DUMMYFUNCTION("""COMPUTED_VALUE"""),"connect some screens to backend and create route for navigation")</f>
        <v>connect some screens to backend and create route for navigation</v>
      </c>
      <c r="E411" s="42"/>
      <c r="F411" s="42" t="str">
        <f>IFERROR(__xludf.DUMMYFUNCTION("""COMPUTED_VALUE"""),"try infinite scroll and search")</f>
        <v>try infinite scroll and search</v>
      </c>
    </row>
    <row r="412">
      <c r="A412" s="43">
        <f>IFERROR(__xludf.DUMMYFUNCTION("""COMPUTED_VALUE"""),44148.60972525463)</f>
        <v>44148.60973</v>
      </c>
      <c r="B412" s="42" t="str">
        <f>IFERROR(__xludf.DUMMYFUNCTION("""COMPUTED_VALUE"""),"Ahmad Fatkhul Amam")</f>
        <v>Ahmad Fatkhul Amam</v>
      </c>
      <c r="C412" s="44">
        <f>IFERROR(__xludf.DUMMYFUNCTION("""COMPUTED_VALUE"""),44148.0)</f>
        <v>44148</v>
      </c>
      <c r="D412" s="42" t="str">
        <f>IFERROR(__xludf.DUMMYFUNCTION("""COMPUTED_VALUE"""),"add image picker from galery, make form with validation using formik and yup")</f>
        <v>add image picker from galery, make form with validation using formik and yup</v>
      </c>
      <c r="E412" s="42" t="str">
        <f>IFERROR(__xludf.DUMMYFUNCTION("""COMPUTED_VALUE"""),"editing data user and news with image on react native")</f>
        <v>editing data user and news with image on react native</v>
      </c>
      <c r="F412" s="42" t="str">
        <f>IFERROR(__xludf.DUMMYFUNCTION("""COMPUTED_VALUE"""),"develop my news portal app with add update data features")</f>
        <v>develop my news portal app with add update data features</v>
      </c>
    </row>
    <row r="413">
      <c r="A413" s="43">
        <f>IFERROR(__xludf.DUMMYFUNCTION("""COMPUTED_VALUE"""),44148.61575570602)</f>
        <v>44148.61576</v>
      </c>
      <c r="B413" s="42" t="str">
        <f>IFERROR(__xludf.DUMMYFUNCTION("""COMPUTED_VALUE"""),"Muhammad")</f>
        <v>Muhammad</v>
      </c>
      <c r="C413" s="44">
        <f>IFERROR(__xludf.DUMMYFUNCTION("""COMPUTED_VALUE"""),44148.0)</f>
        <v>44148</v>
      </c>
      <c r="D413" s="42" t="str">
        <f>IFERROR(__xludf.DUMMYFUNCTION("""COMPUTED_VALUE"""),"Get all data from database")</f>
        <v>Get all data from database</v>
      </c>
      <c r="E413" s="42" t="str">
        <f>IFERROR(__xludf.DUMMYFUNCTION("""COMPUTED_VALUE"""),"Update profile not working
InputText on change remove value")</f>
        <v>Update profile not working
InputText on change remove value</v>
      </c>
      <c r="F413" s="42" t="str">
        <f>IFERROR(__xludf.DUMMYFUNCTION("""COMPUTED_VALUE"""),"Managing for post and update data")</f>
        <v>Managing for post and update data</v>
      </c>
    </row>
    <row r="414">
      <c r="A414" s="43">
        <f>IFERROR(__xludf.DUMMYFUNCTION("""COMPUTED_VALUE"""),44151.37691155093)</f>
        <v>44151.37691</v>
      </c>
      <c r="B414" s="42" t="str">
        <f>IFERROR(__xludf.DUMMYFUNCTION("""COMPUTED_VALUE"""),"Muhammad Abdurasyid")</f>
        <v>Muhammad Abdurasyid</v>
      </c>
      <c r="C414" s="44">
        <f>IFERROR(__xludf.DUMMYFUNCTION("""COMPUTED_VALUE"""),44151.0)</f>
        <v>44151</v>
      </c>
      <c r="D414" s="42" t="str">
        <f>IFERROR(__xludf.DUMMYFUNCTION("""COMPUTED_VALUE"""),"1. Menambahkan form validation di screen login, register, update profile, update password, forgot password
2. Mengubah icon aplikasi
3. Menambahkan splash screen
4. Menambahkan proses upload image baik menggunakan gallery ataupun camera
5. Menggunakan red"&amp;"ux utk connect ke backend di bagian update profile, update quantity item di my bag, dan delete item from my bag")</f>
        <v>1. Menambahkan form validation di screen login, register, update profile, update password, forgot password
2. Mengubah icon aplikasi
3. Menambahkan splash screen
4. Menambahkan proses upload image baik menggunakan gallery ataupun camera
5. Menggunakan redux utk connect ke backend di bagian update profile, update quantity item di my bag, dan delete item from my bag</v>
      </c>
      <c r="E414" s="42"/>
      <c r="F414" s="42" t="str">
        <f>IFERROR(__xludf.DUMMYFUNCTION("""COMPUTED_VALUE"""),"Menambahkan proses register, add item to cart, pagination, search, sort")</f>
        <v>Menambahkan proses register, add item to cart, pagination, search, sort</v>
      </c>
    </row>
    <row r="415">
      <c r="A415" s="43">
        <f>IFERROR(__xludf.DUMMYFUNCTION("""COMPUTED_VALUE"""),44151.386179884255)</f>
        <v>44151.38618</v>
      </c>
      <c r="B415" s="42" t="str">
        <f>IFERROR(__xludf.DUMMYFUNCTION("""COMPUTED_VALUE"""),"Iqbal Athorid")</f>
        <v>Iqbal Athorid</v>
      </c>
      <c r="C415" s="44">
        <f>IFERROR(__xludf.DUMMYFUNCTION("""COMPUTED_VALUE"""),44151.0)</f>
        <v>44151</v>
      </c>
      <c r="D415" s="42" t="str">
        <f>IFERROR(__xludf.DUMMYFUNCTION("""COMPUTED_VALUE"""),"Slicing settings,change adress,add adress,category,listCategory,filters,successOrder,changeTab navigation icon if focuse &amp; title styles,orderDetails,Formik login,signup,resetPassword,changed icon App &amp; name, created splash screen")</f>
        <v>Slicing settings,change adress,add adress,category,listCategory,filters,successOrder,changeTab navigation icon if focuse &amp; title styles,orderDetails,Formik login,signup,resetPassword,changed icon App &amp; name, created splash screen</v>
      </c>
      <c r="E415" s="42" t="str">
        <f>IFERROR(__xludf.DUMMYFUNCTION("""COMPUTED_VALUE"""),"hideTabnavigator when moving betwen screens,handleTabBars when moving betwen screens ")</f>
        <v>hideTabnavigator when moving betwen screens,handleTabBars when moving betwen screens </v>
      </c>
      <c r="F415" s="42" t="str">
        <f>IFERROR(__xludf.DUMMYFUNCTION("""COMPUTED_VALUE"""),"mengikuti instruksi kang irul")</f>
        <v>mengikuti instruksi kang irul</v>
      </c>
    </row>
    <row r="416">
      <c r="A416" s="43">
        <f>IFERROR(__xludf.DUMMYFUNCTION("""COMPUTED_VALUE"""),44151.38633155092)</f>
        <v>44151.38633</v>
      </c>
      <c r="B416" s="42" t="str">
        <f>IFERROR(__xludf.DUMMYFUNCTION("""COMPUTED_VALUE"""),"Satrio Nugroho")</f>
        <v>Satrio Nugroho</v>
      </c>
      <c r="C416" s="44">
        <f>IFERROR(__xludf.DUMMYFUNCTION("""COMPUTED_VALUE"""),44151.0)</f>
        <v>44151</v>
      </c>
      <c r="D416" s="42" t="str">
        <f>IFERROR(__xludf.DUMMYFUNCTION("""COMPUTED_VALUE"""),"menyelesaikan membuat splash screen , mengubah icon app, membuat layouting halaman rating, cam scanner ")</f>
        <v>menyelesaikan membuat splash screen , mengubah icon app, membuat layouting halaman rating, cam scanner </v>
      </c>
      <c r="E416" s="42" t="str">
        <f>IFERROR(__xludf.DUMMYFUNCTION("""COMPUTED_VALUE"""),"kendala aplikasi jadi error setelah pakai splash screen... aplikasi ga bisa dibuka")</f>
        <v>kendala aplikasi jadi error setelah pakai splash screen... aplikasi ga bisa dibuka</v>
      </c>
      <c r="F416" s="42" t="str">
        <f>IFERROR(__xludf.DUMMYFUNCTION("""COMPUTED_VALUE"""),"mengikuti kegiatan daily standup... lalu melanjutkan mengerjakan project")</f>
        <v>mengikuti kegiatan daily standup... lalu melanjutkan mengerjakan project</v>
      </c>
    </row>
    <row r="417">
      <c r="A417" s="43">
        <f>IFERROR(__xludf.DUMMYFUNCTION("""COMPUTED_VALUE"""),44151.38791038195)</f>
        <v>44151.38791</v>
      </c>
      <c r="B417" s="42" t="str">
        <f>IFERROR(__xludf.DUMMYFUNCTION("""COMPUTED_VALUE"""),"Wahyu Ramadhan")</f>
        <v>Wahyu Ramadhan</v>
      </c>
      <c r="C417" s="44">
        <f>IFERROR(__xludf.DUMMYFUNCTION("""COMPUTED_VALUE"""),44151.0)</f>
        <v>44151</v>
      </c>
      <c r="D417" s="42" t="str">
        <f>IFERROR(__xludf.DUMMYFUNCTION("""COMPUTED_VALUE"""),"create splash screen, rename and change icon, layouting login, register, fix eslint, create bottom sheet")</f>
        <v>create splash screen, rename and change icon, layouting login, register, fix eslint, create bottom sheet</v>
      </c>
      <c r="E417" s="42" t="str">
        <f>IFERROR(__xludf.DUMMYFUNCTION("""COMPUTED_VALUE"""),"how to setting size and chage background color in splash screen")</f>
        <v>how to setting size and chage background color in splash screen</v>
      </c>
      <c r="F417" s="42" t="str">
        <f>IFERROR(__xludf.DUMMYFUNCTION("""COMPUTED_VALUE"""),"form validation")</f>
        <v>form validation</v>
      </c>
    </row>
    <row r="418">
      <c r="A418" s="43">
        <f>IFERROR(__xludf.DUMMYFUNCTION("""COMPUTED_VALUE"""),44151.388449351856)</f>
        <v>44151.38845</v>
      </c>
      <c r="B418" s="42" t="str">
        <f>IFERROR(__xludf.DUMMYFUNCTION("""COMPUTED_VALUE"""),"Timotius Simanjuntak")</f>
        <v>Timotius Simanjuntak</v>
      </c>
      <c r="C418" s="44">
        <f>IFERROR(__xludf.DUMMYFUNCTION("""COMPUTED_VALUE"""),44151.0)</f>
        <v>44151</v>
      </c>
      <c r="D418" s="42" t="str">
        <f>IFERROR(__xludf.DUMMYFUNCTION("""COMPUTED_VALUE"""),"use splashscreen and change app name, icon")</f>
        <v>use splashscreen and change app name, icon</v>
      </c>
      <c r="E418" s="42" t="str">
        <f>IFERROR(__xludf.DUMMYFUNCTION("""COMPUTED_VALUE"""),"at first i stuck when apply splashscreen because i apply a wrong documentation")</f>
        <v>at first i stuck when apply splashscreen because i apply a wrong documentation</v>
      </c>
      <c r="F418" s="42" t="str">
        <f>IFERROR(__xludf.DUMMYFUNCTION("""COMPUTED_VALUE"""),"implement form validation, and update user")</f>
        <v>implement form validation, and update user</v>
      </c>
    </row>
    <row r="419">
      <c r="A419" s="43">
        <f>IFERROR(__xludf.DUMMYFUNCTION("""COMPUTED_VALUE"""),44151.39160974537)</f>
        <v>44151.39161</v>
      </c>
      <c r="B419" s="42" t="str">
        <f>IFERROR(__xludf.DUMMYFUNCTION("""COMPUTED_VALUE"""),"Ahmad Fatkhul Amam")</f>
        <v>Ahmad Fatkhul Amam</v>
      </c>
      <c r="C419" s="44">
        <f>IFERROR(__xludf.DUMMYFUNCTION("""COMPUTED_VALUE"""),44151.0)</f>
        <v>44151</v>
      </c>
      <c r="D419" s="42" t="str">
        <f>IFERROR(__xludf.DUMMYFUNCTION("""COMPUTED_VALUE"""),"slicing filter page, managing data for auth(regiter and login)")</f>
        <v>slicing filter page, managing data for auth(regiter and login)</v>
      </c>
      <c r="E419" s="42" t="str">
        <f>IFERROR(__xludf.DUMMYFUNCTION("""COMPUTED_VALUE"""),"try to manage global state using hook")</f>
        <v>try to manage global state using hook</v>
      </c>
      <c r="F419" s="42" t="str">
        <f>IFERROR(__xludf.DUMMYFUNCTION("""COMPUTED_VALUE"""),"manage data to display on the frontend and tidy up the frontend")</f>
        <v>manage data to display on the frontend and tidy up the frontend</v>
      </c>
    </row>
    <row r="420">
      <c r="A420" s="43">
        <f>IFERROR(__xludf.DUMMYFUNCTION("""COMPUTED_VALUE"""),44151.393489780094)</f>
        <v>44151.39349</v>
      </c>
      <c r="B420" s="42" t="str">
        <f>IFERROR(__xludf.DUMMYFUNCTION("""COMPUTED_VALUE"""),"Fahmi Aziz Ismail")</f>
        <v>Fahmi Aziz Ismail</v>
      </c>
      <c r="C420" s="44">
        <f>IFERROR(__xludf.DUMMYFUNCTION("""COMPUTED_VALUE"""),44151.0)</f>
        <v>44151</v>
      </c>
      <c r="D420" s="42" t="str">
        <f>IFERROR(__xludf.DUMMYFUNCTION("""COMPUTED_VALUE"""),"membuat fungsi update profile, upload image, implementasi redux persist, membuat splash screen")</f>
        <v>membuat fungsi update profile, upload image, implementasi redux persist, membuat splash screen</v>
      </c>
      <c r="E420" s="42"/>
      <c r="F420" s="42" t="str">
        <f>IFERROR(__xludf.DUMMYFUNCTION("""COMPUTED_VALUE"""),"membuat fungsi update cart, delete cart, slicing halaman add address")</f>
        <v>membuat fungsi update cart, delete cart, slicing halaman add address</v>
      </c>
    </row>
    <row r="421">
      <c r="A421" s="43">
        <f>IFERROR(__xludf.DUMMYFUNCTION("""COMPUTED_VALUE"""),44151.39556446759)</f>
        <v>44151.39556</v>
      </c>
      <c r="B421" s="42" t="str">
        <f>IFERROR(__xludf.DUMMYFUNCTION("""COMPUTED_VALUE"""),"Muhammad")</f>
        <v>Muhammad</v>
      </c>
      <c r="C421" s="44">
        <f>IFERROR(__xludf.DUMMYFUNCTION("""COMPUTED_VALUE"""),44151.0)</f>
        <v>44151</v>
      </c>
      <c r="D421" s="42" t="str">
        <f>IFERROR(__xludf.DUMMYFUNCTION("""COMPUTED_VALUE"""),"Fixing layout, size, margin, color, and typography")</f>
        <v>Fixing layout, size, margin, color, and typography</v>
      </c>
      <c r="E421" s="42"/>
      <c r="F421" s="42" t="str">
        <f>IFERROR(__xludf.DUMMYFUNCTION("""COMPUTED_VALUE"""),"Prepare Backend")</f>
        <v>Prepare Backend</v>
      </c>
    </row>
    <row r="422">
      <c r="A422" s="43">
        <f>IFERROR(__xludf.DUMMYFUNCTION("""COMPUTED_VALUE"""),44151.39705487269)</f>
        <v>44151.39705</v>
      </c>
      <c r="B422" s="42" t="str">
        <f>IFERROR(__xludf.DUMMYFUNCTION("""COMPUTED_VALUE"""),"Ahmad Asrofi")</f>
        <v>Ahmad Asrofi</v>
      </c>
      <c r="C422" s="44">
        <f>IFERROR(__xludf.DUMMYFUNCTION("""COMPUTED_VALUE"""),44151.0)</f>
        <v>44151</v>
      </c>
      <c r="D422" s="42" t="str">
        <f>IFERROR(__xludf.DUMMYFUNCTION("""COMPUTED_VALUE"""),"create category, catalog search. create component card catalog list and grid view")</f>
        <v>create category, catalog search. create component card catalog list and grid view</v>
      </c>
      <c r="E422" s="42" t="str">
        <f>IFERROR(__xludf.DUMMYFUNCTION("""COMPUTED_VALUE"""),"i read the documentation react native image picker for filter size and type, and i didnt find it")</f>
        <v>i read the documentation react native image picker for filter size and type, and i didnt find it</v>
      </c>
      <c r="F422" s="42" t="str">
        <f>IFERROR(__xludf.DUMMYFUNCTION("""COMPUTED_VALUE"""),"im going to upload image, get profile, update profile. create search, forgot password, order detail, and rating&amp;review pages. implement bottom sheet")</f>
        <v>im going to upload image, get profile, update profile. create search, forgot password, order detail, and rating&amp;review pages. implement bottom sheet</v>
      </c>
    </row>
    <row r="423">
      <c r="A423" s="43">
        <f>IFERROR(__xludf.DUMMYFUNCTION("""COMPUTED_VALUE"""),44151.398953275464)</f>
        <v>44151.39895</v>
      </c>
      <c r="B423" s="42" t="str">
        <f>IFERROR(__xludf.DUMMYFUNCTION("""COMPUTED_VALUE"""),"Pramesti Regita Cahyani")</f>
        <v>Pramesti Regita Cahyani</v>
      </c>
      <c r="C423" s="44">
        <f>IFERROR(__xludf.DUMMYFUNCTION("""COMPUTED_VALUE"""),44151.0)</f>
        <v>44151</v>
      </c>
      <c r="D423" s="42" t="str">
        <f>IFERROR(__xludf.DUMMYFUNCTION("""COMPUTED_VALUE"""),"Mengganti nama aplikasi, mengganti icon aplikasi, menerapkan splash screen, slicing product detail dan filter")</f>
        <v>Mengganti nama aplikasi, mengganti icon aplikasi, menerapkan splash screen, slicing product detail dan filter</v>
      </c>
      <c r="E423" s="42" t="str">
        <f>IFERROR(__xludf.DUMMYFUNCTION("""COMPUTED_VALUE"""),"Masalah non-teknis seperti laptop lemot dan jaringan kurang stabil karena hujan dan habis mati lampu juga hari minggunya. Kondisi badan juga kurang fit.
Untuk masalah teknisnya ada beberapa komponen yang belum tahu cara membuatnya seperti button untuk col"&amp;"or dan cara kerjanya, dan button yang lain ketika filter saat focus")</f>
        <v>Masalah non-teknis seperti laptop lemot dan jaringan kurang stabil karena hujan dan habis mati lampu juga hari minggunya. Kondisi badan juga kurang fit.
Untuk masalah teknisnya ada beberapa komponen yang belum tahu cara membuatnya seperti button untuk color dan cara kerjanya, dan button yang lain ketika filter saat focus</v>
      </c>
      <c r="F423" s="42" t="str">
        <f>IFERROR(__xludf.DUMMYFUNCTION("""COMPUTED_VALUE"""),"Menyelesaikan slicing dan membuat form validation")</f>
        <v>Menyelesaikan slicing dan membuat form validation</v>
      </c>
    </row>
    <row r="424">
      <c r="A424" s="43">
        <f>IFERROR(__xludf.DUMMYFUNCTION("""COMPUTED_VALUE"""),44151.4025858449)</f>
        <v>44151.40259</v>
      </c>
      <c r="B424" s="42" t="str">
        <f>IFERROR(__xludf.DUMMYFUNCTION("""COMPUTED_VALUE"""),"Furoidah Chilmi")</f>
        <v>Furoidah Chilmi</v>
      </c>
      <c r="C424" s="44">
        <f>IFERROR(__xludf.DUMMYFUNCTION("""COMPUTED_VALUE"""),44151.0)</f>
        <v>44151</v>
      </c>
      <c r="D424" s="42" t="str">
        <f>IFERROR(__xludf.DUMMYFUNCTION("""COMPUTED_VALUE"""),"mengerjakan splash screen, icon and rename, flatlist and stateless component, and upload image profile")</f>
        <v>mengerjakan splash screen, icon and rename, flatlist and stateless component, and upload image profile</v>
      </c>
      <c r="E424" s="42" t="str">
        <f>IFERROR(__xludf.DUMMYFUNCTION("""COMPUTED_VALUE"""),"persist belum berjalan dengan benar")</f>
        <v>persist belum berjalan dengan benar</v>
      </c>
      <c r="F424" s="42" t="str">
        <f>IFERROR(__xludf.DUMMYFUNCTION("""COMPUTED_VALUE"""),"fixing persist")</f>
        <v>fixing persist</v>
      </c>
    </row>
    <row r="425">
      <c r="A425" s="43">
        <f>IFERROR(__xludf.DUMMYFUNCTION("""COMPUTED_VALUE"""),44151.43602947917)</f>
        <v>44151.43603</v>
      </c>
      <c r="B425" s="42" t="str">
        <f>IFERROR(__xludf.DUMMYFUNCTION("""COMPUTED_VALUE"""),"Muhamad Faris Alkodri")</f>
        <v>Muhamad Faris Alkodri</v>
      </c>
      <c r="C425" s="44">
        <f>IFERROR(__xludf.DUMMYFUNCTION("""COMPUTED_VALUE"""),44151.0)</f>
        <v>44151</v>
      </c>
      <c r="D425" s="42" t="str">
        <f>IFERROR(__xludf.DUMMYFUNCTION("""COMPUTED_VALUE"""),"I was slicing my bag, slicing product screen, and setting up expo environment for my project")</f>
        <v>I was slicing my bag, slicing product screen, and setting up expo environment for my project</v>
      </c>
      <c r="E425" s="42" t="str">
        <f>IFERROR(__xludf.DUMMYFUNCTION("""COMPUTED_VALUE"""),"My problem mainly because of my laptop that doesn't detect android environment so i struggling on fixing that")</f>
        <v>My problem mainly because of my laptop that doesn't detect android environment so i struggling on fixing that</v>
      </c>
      <c r="F425" s="42" t="str">
        <f>IFERROR(__xludf.DUMMYFUNCTION("""COMPUTED_VALUE"""),"I want to slice all of the page today")</f>
        <v>I want to slice all of the page today</v>
      </c>
    </row>
    <row r="426">
      <c r="A426" s="43">
        <f>IFERROR(__xludf.DUMMYFUNCTION("""COMPUTED_VALUE"""),44152.38306449074)</f>
        <v>44152.38306</v>
      </c>
      <c r="B426" s="42" t="str">
        <f>IFERROR(__xludf.DUMMYFUNCTION("""COMPUTED_VALUE"""),"Timotius Simanjuntak")</f>
        <v>Timotius Simanjuntak</v>
      </c>
      <c r="C426" s="44">
        <f>IFERROR(__xludf.DUMMYFUNCTION("""COMPUTED_VALUE"""),44152.0)</f>
        <v>44152</v>
      </c>
      <c r="D426" s="42" t="str">
        <f>IFERROR(__xludf.DUMMYFUNCTION("""COMPUTED_VALUE"""),"Fix Edit user and upload picture")</f>
        <v>Fix Edit user and upload picture</v>
      </c>
      <c r="E426" s="42"/>
      <c r="F426" s="42" t="str">
        <f>IFERROR(__xludf.DUMMYFUNCTION("""COMPUTED_VALUE"""),"use formik, delete cart/mybag, search product, flatlist/pagination")</f>
        <v>use formik, delete cart/mybag, search product, flatlist/pagination</v>
      </c>
    </row>
    <row r="427">
      <c r="A427" s="43">
        <f>IFERROR(__xludf.DUMMYFUNCTION("""COMPUTED_VALUE"""),44152.38409756945)</f>
        <v>44152.3841</v>
      </c>
      <c r="B427" s="42" t="str">
        <f>IFERROR(__xludf.DUMMYFUNCTION("""COMPUTED_VALUE"""),"Muhammad Abdurasyid")</f>
        <v>Muhammad Abdurasyid</v>
      </c>
      <c r="C427" s="44">
        <f>IFERROR(__xludf.DUMMYFUNCTION("""COMPUTED_VALUE"""),44152.0)</f>
        <v>44152</v>
      </c>
      <c r="D427" s="42" t="str">
        <f>IFERROR(__xludf.DUMMYFUNCTION("""COMPUTED_VALUE"""),"1. Menghubungkan backend di bagian registrasi/signup &amp; add item to my bag
2. Menambahkan screen baru utk view all items atau view all popular items atau view all new items
3. Menambahkan pagination (infinite scroll) di screen all items")</f>
        <v>1. Menghubungkan backend di bagian registrasi/signup &amp; add item to my bag
2. Menambahkan screen baru utk view all items atau view all popular items atau view all new items
3. Menambahkan pagination (infinite scroll) di screen all items</v>
      </c>
      <c r="E427" s="42"/>
      <c r="F427" s="42" t="str">
        <f>IFERROR(__xludf.DUMMYFUNCTION("""COMPUTED_VALUE"""),"Menambahkan fungsi search &amp; sort di screen item, menghubungkan backend di bagian checkout, get shipping address, update shipping address, add new shipping address")</f>
        <v>Menambahkan fungsi search &amp; sort di screen item, menghubungkan backend di bagian checkout, get shipping address, update shipping address, add new shipping address</v>
      </c>
    </row>
    <row r="428">
      <c r="A428" s="43">
        <f>IFERROR(__xludf.DUMMYFUNCTION("""COMPUTED_VALUE"""),44152.38902959491)</f>
        <v>44152.38903</v>
      </c>
      <c r="B428" s="42" t="str">
        <f>IFERROR(__xludf.DUMMYFUNCTION("""COMPUTED_VALUE"""),"Ahmad Fatkhul Amam")</f>
        <v>Ahmad Fatkhul Amam</v>
      </c>
      <c r="C428" s="44">
        <f>IFERROR(__xludf.DUMMYFUNCTION("""COMPUTED_VALUE"""),44152.0)</f>
        <v>44152</v>
      </c>
      <c r="D428" s="42" t="str">
        <f>IFERROR(__xludf.DUMMYFUNCTION("""COMPUTED_VALUE"""),"managing auth data (login and signin) fixing bug and add features on backend (update profile, add rating, add address)")</f>
        <v>managing auth data (login and signin) fixing bug and add features on backend (update profile, add rating, add address)</v>
      </c>
      <c r="E428" s="42" t="str">
        <f>IFERROR(__xludf.DUMMYFUNCTION("""COMPUTED_VALUE"""),"my update partialy profile on backend need some fix,  show managing data profile and update partialy profile on frontend")</f>
        <v>my update partialy profile on backend need some fix,  show managing data profile and update partialy profile on frontend</v>
      </c>
      <c r="F428" s="42" t="str">
        <f>IFERROR(__xludf.DUMMYFUNCTION("""COMPUTED_VALUE"""),"fix update partialy profile on frontend and managing other data on frontend(product, payment, search, sort, rating, etc)")</f>
        <v>fix update partialy profile on frontend and managing other data on frontend(product, payment, search, sort, rating, etc)</v>
      </c>
    </row>
    <row r="429">
      <c r="A429" s="43">
        <f>IFERROR(__xludf.DUMMYFUNCTION("""COMPUTED_VALUE"""),44152.3896516088)</f>
        <v>44152.38965</v>
      </c>
      <c r="B429" s="42" t="str">
        <f>IFERROR(__xludf.DUMMYFUNCTION("""COMPUTED_VALUE"""),"Muhamad Faris Alkodri")</f>
        <v>Muhamad Faris Alkodri</v>
      </c>
      <c r="C429" s="44">
        <f>IFERROR(__xludf.DUMMYFUNCTION("""COMPUTED_VALUE"""),44152.0)</f>
        <v>44152</v>
      </c>
      <c r="D429" s="42" t="str">
        <f>IFERROR(__xludf.DUMMYFUNCTION("""COMPUTED_VALUE"""),"I was slicing page rating and review, and product details")</f>
        <v>I was slicing page rating and review, and product details</v>
      </c>
      <c r="E429" s="42" t="str">
        <f>IFERROR(__xludf.DUMMYFUNCTION("""COMPUTED_VALUE"""),"My problem is more of minor problems")</f>
        <v>My problem is more of minor problems</v>
      </c>
      <c r="F429" s="42" t="str">
        <f>IFERROR(__xludf.DUMMYFUNCTION("""COMPUTED_VALUE"""),"I was going to navigate all of my screens and try to connect to database for CRUD operations")</f>
        <v>I was going to navigate all of my screens and try to connect to database for CRUD operations</v>
      </c>
    </row>
    <row r="430">
      <c r="A430" s="43">
        <f>IFERROR(__xludf.DUMMYFUNCTION("""COMPUTED_VALUE"""),44152.39408574074)</f>
        <v>44152.39409</v>
      </c>
      <c r="B430" s="42" t="str">
        <f>IFERROR(__xludf.DUMMYFUNCTION("""COMPUTED_VALUE"""),"Wahyu Ramadhan")</f>
        <v>Wahyu Ramadhan</v>
      </c>
      <c r="C430" s="44">
        <f>IFERROR(__xludf.DUMMYFUNCTION("""COMPUTED_VALUE"""),44152.0)</f>
        <v>44152</v>
      </c>
      <c r="D430" s="42" t="str">
        <f>IFERROR(__xludf.DUMMYFUNCTION("""COMPUTED_VALUE"""),"Slicing sreen setting personal, create bottom sheet in setting personal, switch, fix backend for update")</f>
        <v>Slicing sreen setting personal, create bottom sheet in setting personal, switch, fix backend for update</v>
      </c>
      <c r="E430" s="42" t="str">
        <f>IFERROR(__xludf.DUMMYFUNCTION("""COMPUTED_VALUE"""),"in bottom sheet when I use it and I have a box shadow in ny screen, then the box shadow is on top of the bottom sheet")</f>
        <v>in bottom sheet when I use it and I have a box shadow in ny screen, then the box shadow is on top of the bottom sheet</v>
      </c>
      <c r="F430" s="42" t="str">
        <f>IFERROR(__xludf.DUMMYFUNCTION("""COMPUTED_VALUE"""),"create upload image and update image for profile in backend then create image picker in frontend")</f>
        <v>create upload image and update image for profile in backend then create image picker in frontend</v>
      </c>
    </row>
    <row r="431">
      <c r="A431" s="43">
        <f>IFERROR(__xludf.DUMMYFUNCTION("""COMPUTED_VALUE"""),44152.39485358796)</f>
        <v>44152.39485</v>
      </c>
      <c r="B431" s="42" t="str">
        <f>IFERROR(__xludf.DUMMYFUNCTION("""COMPUTED_VALUE"""),"Pramesti Regita Cahyani")</f>
        <v>Pramesti Regita Cahyani</v>
      </c>
      <c r="C431" s="44">
        <f>IFERROR(__xludf.DUMMYFUNCTION("""COMPUTED_VALUE"""),44152.0)</f>
        <v>44152</v>
      </c>
      <c r="D431" s="42" t="str">
        <f>IFERROR(__xludf.DUMMYFUNCTION("""COMPUTED_VALUE"""),"Slicing ProductDetail, Search, dan Review, membuat form validation untuk Login dan Signup")</f>
        <v>Slicing ProductDetail, Search, dan Review, membuat form validation untuk Login dan Signup</v>
      </c>
      <c r="E431" s="42" t="str">
        <f>IFERROR(__xludf.DUMMYFUNCTION("""COMPUTED_VALUE"""),"Untuk teknis nya belum ada kesulitan")</f>
        <v>Untuk teknis nya belum ada kesulitan</v>
      </c>
      <c r="F431" s="42" t="str">
        <f>IFERROR(__xludf.DUMMYFUNCTION("""COMPUTED_VALUE"""),"Menyelesaikan implementasi form validation dan integrasi data")</f>
        <v>Menyelesaikan implementasi form validation dan integrasi data</v>
      </c>
    </row>
    <row r="432">
      <c r="A432" s="43">
        <f>IFERROR(__xludf.DUMMYFUNCTION("""COMPUTED_VALUE"""),44152.395040902775)</f>
        <v>44152.39504</v>
      </c>
      <c r="B432" s="42" t="str">
        <f>IFERROR(__xludf.DUMMYFUNCTION("""COMPUTED_VALUE"""),"Fahmi Aziz Ismail")</f>
        <v>Fahmi Aziz Ismail</v>
      </c>
      <c r="C432" s="44">
        <f>IFERROR(__xludf.DUMMYFUNCTION("""COMPUTED_VALUE"""),44152.0)</f>
        <v>44152</v>
      </c>
      <c r="D432" s="42" t="str">
        <f>IFERROR(__xludf.DUMMYFUNCTION("""COMPUTED_VALUE"""),"mengganti nama dan icon app, menyambungkan data ke halaman detail product ")</f>
        <v>mengganti nama dan icon app, menyambungkan data ke halaman detail product </v>
      </c>
      <c r="E432" s="42"/>
      <c r="F432" s="42" t="str">
        <f>IFERROR(__xludf.DUMMYFUNCTION("""COMPUTED_VALUE"""),"update cart, get cart, delete cart")</f>
        <v>update cart, get cart, delete cart</v>
      </c>
    </row>
    <row r="433">
      <c r="A433" s="43">
        <f>IFERROR(__xludf.DUMMYFUNCTION("""COMPUTED_VALUE"""),44152.39574278935)</f>
        <v>44152.39574</v>
      </c>
      <c r="B433" s="42" t="str">
        <f>IFERROR(__xludf.DUMMYFUNCTION("""COMPUTED_VALUE"""),"Iqbal Athorid")</f>
        <v>Iqbal Athorid</v>
      </c>
      <c r="C433" s="44">
        <f>IFERROR(__xludf.DUMMYFUNCTION("""COMPUTED_VALUE"""),44152.0)</f>
        <v>44152</v>
      </c>
      <c r="D433" s="42" t="str">
        <f>IFERROR(__xludf.DUMMYFUNCTION("""COMPUTED_VALUE"""),"slicing product details,search,fixed bottomTabs,changed color components,created payments(backend)")</f>
        <v>slicing product details,search,fixed bottomTabs,changed color components,created payments(backend)</v>
      </c>
      <c r="E433" s="42" t="str">
        <f>IFERROR(__xludf.DUMMYFUNCTION("""COMPUTED_VALUE"""),"can't added elevation on button component ")</f>
        <v>can't added elevation on button component </v>
      </c>
      <c r="F433" s="42" t="str">
        <f>IFERROR(__xludf.DUMMYFUNCTION("""COMPUTED_VALUE"""),"update backend,deploy *mungkin,managing data, set up redux persist")</f>
        <v>update backend,deploy *mungkin,managing data, set up redux persist</v>
      </c>
    </row>
    <row r="434">
      <c r="A434" s="43">
        <f>IFERROR(__xludf.DUMMYFUNCTION("""COMPUTED_VALUE"""),44152.40720872685)</f>
        <v>44152.40721</v>
      </c>
      <c r="B434" s="42" t="str">
        <f>IFERROR(__xludf.DUMMYFUNCTION("""COMPUTED_VALUE"""),"Ahmad Asrofi")</f>
        <v>Ahmad Asrofi</v>
      </c>
      <c r="C434" s="44">
        <f>IFERROR(__xludf.DUMMYFUNCTION("""COMPUTED_VALUE"""),44152.0)</f>
        <v>44152</v>
      </c>
      <c r="D434" s="42" t="str">
        <f>IFERROR(__xludf.DUMMYFUNCTION("""COMPUTED_VALUE"""),"create order detail, rating review and search pages. card order detail, card reviews component")</f>
        <v>create order detail, rating review and search pages. card order detail, card reviews component</v>
      </c>
      <c r="E434" s="42" t="str">
        <f>IFERROR(__xludf.DUMMYFUNCTION("""COMPUTED_VALUE"""),"when i want to make a bottom sheet, i dont understand the value of snapPoints")</f>
        <v>when i want to make a bottom sheet, i dont understand the value of snapPoints</v>
      </c>
      <c r="F434" s="42" t="str">
        <f>IFERROR(__xludf.DUMMYFUNCTION("""COMPUTED_VALUE"""),"create change password, sort by, select size, select color, and rating review bottom sheets. update profile and upload image. and doing on the backend")</f>
        <v>create change password, sort by, select size, select color, and rating review bottom sheets. update profile and upload image. and doing on the backend</v>
      </c>
    </row>
    <row r="435">
      <c r="A435" s="43">
        <f>IFERROR(__xludf.DUMMYFUNCTION("""COMPUTED_VALUE"""),44152.43265758102)</f>
        <v>44152.43266</v>
      </c>
      <c r="B435" s="42" t="str">
        <f>IFERROR(__xludf.DUMMYFUNCTION("""COMPUTED_VALUE"""),"Furoidah Chilmi")</f>
        <v>Furoidah Chilmi</v>
      </c>
      <c r="C435" s="44">
        <f>IFERROR(__xludf.DUMMYFUNCTION("""COMPUTED_VALUE"""),44152.0)</f>
        <v>44152</v>
      </c>
      <c r="D435" s="42" t="str">
        <f>IFERROR(__xludf.DUMMYFUNCTION("""COMPUTED_VALUE"""),"merapikan beberapa page dan menambahkan komponen (fixing layoutinng and color typography)")</f>
        <v>merapikan beberapa page dan menambahkan komponen (fixing layoutinng and color typography)</v>
      </c>
      <c r="E435" s="42" t="str">
        <f>IFERROR(__xludf.DUMMYFUNCTION("""COMPUTED_VALUE"""),"ada beberapa komponen belum bekerja dengan benar")</f>
        <v>ada beberapa komponen belum bekerja dengan benar</v>
      </c>
      <c r="F435" s="42" t="str">
        <f>IFERROR(__xludf.DUMMYFUNCTION("""COMPUTED_VALUE"""),"sort search and filter lanjut infinite scroll")</f>
        <v>sort search and filter lanjut infinite scroll</v>
      </c>
    </row>
    <row r="436">
      <c r="A436" s="43">
        <f>IFERROR(__xludf.DUMMYFUNCTION("""COMPUTED_VALUE"""),44152.43413425926)</f>
        <v>44152.43413</v>
      </c>
      <c r="B436" s="42" t="str">
        <f>IFERROR(__xludf.DUMMYFUNCTION("""COMPUTED_VALUE"""),"Muhammad")</f>
        <v>Muhammad</v>
      </c>
      <c r="C436" s="44">
        <f>IFERROR(__xludf.DUMMYFUNCTION("""COMPUTED_VALUE"""),44152.0)</f>
        <v>44152</v>
      </c>
      <c r="D436" s="42" t="str">
        <f>IFERROR(__xludf.DUMMYFUNCTION("""COMPUTED_VALUE"""),"Fix auth stack in backend
Fix profile stack in backend")</f>
        <v>Fix auth stack in backend
Fix profile stack in backend</v>
      </c>
      <c r="E436" s="42"/>
      <c r="F436" s="42" t="str">
        <f>IFERROR(__xludf.DUMMYFUNCTION("""COMPUTED_VALUE"""),"Fix products stack in backend")</f>
        <v>Fix products stack in backend</v>
      </c>
    </row>
    <row r="437">
      <c r="A437" s="43">
        <f>IFERROR(__xludf.DUMMYFUNCTION("""COMPUTED_VALUE"""),44153.38223471065)</f>
        <v>44153.38223</v>
      </c>
      <c r="B437" s="42" t="str">
        <f>IFERROR(__xludf.DUMMYFUNCTION("""COMPUTED_VALUE"""),"Muhamad Faris Alkodri")</f>
        <v>Muhamad Faris Alkodri</v>
      </c>
      <c r="C437" s="44">
        <f>IFERROR(__xludf.DUMMYFUNCTION("""COMPUTED_VALUE"""),44153.0)</f>
        <v>44153</v>
      </c>
      <c r="D437" s="42" t="str">
        <f>IFERROR(__xludf.DUMMYFUNCTION("""COMPUTED_VALUE"""),"I was repairing all of my screens and also give the navigation to my apps")</f>
        <v>I was repairing all of my screens and also give the navigation to my apps</v>
      </c>
      <c r="E437" s="42" t="str">
        <f>IFERROR(__xludf.DUMMYFUNCTION("""COMPUTED_VALUE"""),"I have not encounter problems yet")</f>
        <v>I have not encounter problems yet</v>
      </c>
      <c r="F437" s="42" t="str">
        <f>IFERROR(__xludf.DUMMYFUNCTION("""COMPUTED_VALUE"""),"I want to connect to the database and working on upload photos, delete address and delete cart")</f>
        <v>I want to connect to the database and working on upload photos, delete address and delete cart</v>
      </c>
    </row>
    <row r="438">
      <c r="A438" s="43">
        <f>IFERROR(__xludf.DUMMYFUNCTION("""COMPUTED_VALUE"""),44153.38404635417)</f>
        <v>44153.38405</v>
      </c>
      <c r="B438" s="42" t="str">
        <f>IFERROR(__xludf.DUMMYFUNCTION("""COMPUTED_VALUE"""),"Pramesti Regita Cahyani")</f>
        <v>Pramesti Regita Cahyani</v>
      </c>
      <c r="C438" s="44">
        <f>IFERROR(__xludf.DUMMYFUNCTION("""COMPUTED_VALUE"""),44153.0)</f>
        <v>44153</v>
      </c>
      <c r="D438" s="42" t="str">
        <f>IFERROR(__xludf.DUMMYFUNCTION("""COMPUTED_VALUE"""),"Menyelesaikan implementasi form validation, get data untuk new product dan popular product")</f>
        <v>Menyelesaikan implementasi form validation, get data untuk new product dan popular product</v>
      </c>
      <c r="E438" s="42" t="str">
        <f>IFERROR(__xludf.DUMMYFUNCTION("""COMPUTED_VALUE"""),"untuk teknis belum ada, masih sama seperti kemarin kadang ngelag laptopnya")</f>
        <v>untuk teknis belum ada, masih sama seperti kemarin kadang ngelag laptopnya</v>
      </c>
      <c r="F438" s="42" t="str">
        <f>IFERROR(__xludf.DUMMYFUNCTION("""COMPUTED_VALUE"""),"Menyelesaikan get product, get cart agar bisa melakukan checkout, kemudian update photo profile user, seletah itu penyelesaian bug yang lain, untuk deploy dan build kira-kira nanti jam 8 malam baru dikerjakan, kalau pekerjaan yang lain cepat selesainya be"&amp;"rarti bisa lebih awal")</f>
        <v>Menyelesaikan get product, get cart agar bisa melakukan checkout, kemudian update photo profile user, seletah itu penyelesaian bug yang lain, untuk deploy dan build kira-kira nanti jam 8 malam baru dikerjakan, kalau pekerjaan yang lain cepat selesainya berarti bisa lebih awal</v>
      </c>
    </row>
    <row r="439">
      <c r="A439" s="43">
        <f>IFERROR(__xludf.DUMMYFUNCTION("""COMPUTED_VALUE"""),44153.38823780093)</f>
        <v>44153.38824</v>
      </c>
      <c r="B439" s="42" t="str">
        <f>IFERROR(__xludf.DUMMYFUNCTION("""COMPUTED_VALUE"""),"Iqbal Athorid")</f>
        <v>Iqbal Athorid</v>
      </c>
      <c r="C439" s="44">
        <f>IFERROR(__xludf.DUMMYFUNCTION("""COMPUTED_VALUE"""),44153.0)</f>
        <v>44153</v>
      </c>
      <c r="D439" s="42" t="str">
        <f>IFERROR(__xludf.DUMMYFUNCTION("""COMPUTED_VALUE"""),"fix backend payment,balance,email,transaction,deployBackend")</f>
        <v>fix backend payment,balance,email,transaction,deployBackend</v>
      </c>
      <c r="E439" s="42"/>
      <c r="F439" s="42" t="str">
        <f>IFERROR(__xludf.DUMMYFUNCTION("""COMPUTED_VALUE"""),"slicing,managing data,")</f>
        <v>slicing,managing data,</v>
      </c>
    </row>
    <row r="440">
      <c r="A440" s="43">
        <f>IFERROR(__xludf.DUMMYFUNCTION("""COMPUTED_VALUE"""),44153.38967635417)</f>
        <v>44153.38968</v>
      </c>
      <c r="B440" s="42" t="str">
        <f>IFERROR(__xludf.DUMMYFUNCTION("""COMPUTED_VALUE"""),"Ahmad Fatkhul Amam")</f>
        <v>Ahmad Fatkhul Amam</v>
      </c>
      <c r="C440" s="44">
        <f>IFERROR(__xludf.DUMMYFUNCTION("""COMPUTED_VALUE"""),44153.0)</f>
        <v>44153</v>
      </c>
      <c r="D440" s="42" t="str">
        <f>IFERROR(__xludf.DUMMYFUNCTION("""COMPUTED_VALUE"""),"get product, redux persisit implementation, get category, implementation pick avatar from galery, take avatar from camera")</f>
        <v>get product, redux persisit implementation, get category, implementation pick avatar from galery, take avatar from camera</v>
      </c>
      <c r="E440" s="42" t="str">
        <f>IFERROR(__xludf.DUMMYFUNCTION("""COMPUTED_VALUE"""),"i will get and update profile data but my backend for profile having a bug")</f>
        <v>i will get and update profile data but my backend for profile having a bug</v>
      </c>
      <c r="F440" s="42" t="str">
        <f>IFERROR(__xludf.DUMMYFUNCTION("""COMPUTED_VALUE"""),"fix the profile backend bug and implementation update profile, search, sort and filter")</f>
        <v>fix the profile backend bug and implementation update profile, search, sort and filter</v>
      </c>
    </row>
    <row r="441">
      <c r="A441" s="43">
        <f>IFERROR(__xludf.DUMMYFUNCTION("""COMPUTED_VALUE"""),44153.39302509259)</f>
        <v>44153.39303</v>
      </c>
      <c r="B441" s="42" t="str">
        <f>IFERROR(__xludf.DUMMYFUNCTION("""COMPUTED_VALUE"""),"Furoidah Chilmi")</f>
        <v>Furoidah Chilmi</v>
      </c>
      <c r="C441" s="44">
        <f>IFERROR(__xludf.DUMMYFUNCTION("""COMPUTED_VALUE"""),44153.0)</f>
        <v>44153</v>
      </c>
      <c r="D441" s="42" t="str">
        <f>IFERROR(__xludf.DUMMYFUNCTION("""COMPUTED_VALUE"""),"search, delete item from cart, create new address, infinite scroll, my order (screen only)")</f>
        <v>search, delete item from cart, create new address, infinite scroll, my order (screen only)</v>
      </c>
      <c r="E441" s="42" t="str">
        <f>IFERROR(__xludf.DUMMYFUNCTION("""COMPUTED_VALUE"""),"belum bisa concat data untuk nextlink (infinite scoll)")</f>
        <v>belum bisa concat data untuk nextlink (infinite scoll)</v>
      </c>
      <c r="F441" s="42" t="str">
        <f>IFERROR(__xludf.DUMMYFUNCTION("""COMPUTED_VALUE"""),"- atur bottomsheet filter sort dan integrasi funsgi sort,
- fixing infinite scroll, 
- atur backend untuk rute checkout-&gt;order,
- integrasi checkout-&gt;order di my order,
- deploy backend
- build")</f>
        <v>- atur bottomsheet filter sort dan integrasi funsgi sort,
- fixing infinite scroll, 
- atur backend untuk rute checkout-&gt;order,
- integrasi checkout-&gt;order di my order,
- deploy backend
- build</v>
      </c>
    </row>
    <row r="442">
      <c r="A442" s="43">
        <f>IFERROR(__xludf.DUMMYFUNCTION("""COMPUTED_VALUE"""),44153.39327083333)</f>
        <v>44153.39327</v>
      </c>
      <c r="B442" s="42" t="str">
        <f>IFERROR(__xludf.DUMMYFUNCTION("""COMPUTED_VALUE"""),"Muhammad Abdurasyid")</f>
        <v>Muhammad Abdurasyid</v>
      </c>
      <c r="C442" s="44">
        <f>IFERROR(__xludf.DUMMYFUNCTION("""COMPUTED_VALUE"""),44153.0)</f>
        <v>44153</v>
      </c>
      <c r="D442" s="42" t="str">
        <f>IFERROR(__xludf.DUMMYFUNCTION("""COMPUTED_VALUE"""),"1. Menambahkan fungsi sort &amp; search item
2. Menambahkan form validasi di screen add &amp; edit shipping address
3. Menghubungkan ke backend utk get shipping address, get province list, get city list &amp; post shipping address")</f>
        <v>1. Menambahkan fungsi sort &amp; search item
2. Menambahkan form validasi di screen add &amp; edit shipping address
3. Menghubungkan ke backend utk get shipping address, get province list, get city list &amp; post shipping address</v>
      </c>
      <c r="E442" s="42"/>
      <c r="F442" s="42" t="str">
        <f>IFERROR(__xludf.DUMMYFUNCTION("""COMPUTED_VALUE"""),"Menghubungkan ke backend di bagian edit shipping address &amp; proses checkout (terutama menambahkan flow checkout di backend)")</f>
        <v>Menghubungkan ke backend di bagian edit shipping address &amp; proses checkout (terutama menambahkan flow checkout di backend)</v>
      </c>
    </row>
    <row r="443">
      <c r="A443" s="43">
        <f>IFERROR(__xludf.DUMMYFUNCTION("""COMPUTED_VALUE"""),44153.39425210648)</f>
        <v>44153.39425</v>
      </c>
      <c r="B443" s="42" t="str">
        <f>IFERROR(__xludf.DUMMYFUNCTION("""COMPUTED_VALUE"""),"Wahyu Ramadhan")</f>
        <v>Wahyu Ramadhan</v>
      </c>
      <c r="C443" s="44">
        <f>IFERROR(__xludf.DUMMYFUNCTION("""COMPUTED_VALUE"""),44153.0)</f>
        <v>44153</v>
      </c>
      <c r="D443" s="42" t="str">
        <f>IFERROR(__xludf.DUMMYFUNCTION("""COMPUTED_VALUE"""),"create edit user with connect in backend, fix backend for update user")</f>
        <v>create edit user with connect in backend, fix backend for update user</v>
      </c>
      <c r="E443" s="42" t="str">
        <f>IFERROR(__xludf.DUMMYFUNCTION("""COMPUTED_VALUE"""),"solved")</f>
        <v>solved</v>
      </c>
      <c r="F443" s="42" t="str">
        <f>IFERROR(__xludf.DUMMYFUNCTION("""COMPUTED_VALUE"""),"connect backend for detail product, cart, create backend for transaction and checkout then connect in front end, create image-picker")</f>
        <v>connect backend for detail product, cart, create backend for transaction and checkout then connect in front end, create image-picker</v>
      </c>
    </row>
    <row r="444">
      <c r="A444" s="43">
        <f>IFERROR(__xludf.DUMMYFUNCTION("""COMPUTED_VALUE"""),44153.39426912037)</f>
        <v>44153.39427</v>
      </c>
      <c r="B444" s="42" t="str">
        <f>IFERROR(__xludf.DUMMYFUNCTION("""COMPUTED_VALUE"""),"Muhammad")</f>
        <v>Muhammad</v>
      </c>
      <c r="C444" s="44">
        <f>IFERROR(__xludf.DUMMYFUNCTION("""COMPUTED_VALUE"""),44153.0)</f>
        <v>44153</v>
      </c>
      <c r="D444" s="42" t="str">
        <f>IFERROR(__xludf.DUMMYFUNCTION("""COMPUTED_VALUE"""),"prepare backend
prepare redux")</f>
        <v>prepare backend
prepare redux</v>
      </c>
      <c r="E444" s="42"/>
      <c r="F444" s="42" t="str">
        <f>IFERROR(__xludf.DUMMYFUNCTION("""COMPUTED_VALUE"""),"managing data for auth, profile, address, products stack")</f>
        <v>managing data for auth, profile, address, products stack</v>
      </c>
    </row>
    <row r="445">
      <c r="A445" s="43">
        <f>IFERROR(__xludf.DUMMYFUNCTION("""COMPUTED_VALUE"""),44153.410268113425)</f>
        <v>44153.41027</v>
      </c>
      <c r="B445" s="42" t="str">
        <f>IFERROR(__xludf.DUMMYFUNCTION("""COMPUTED_VALUE"""),"Fahmi Aziz Ismail")</f>
        <v>Fahmi Aziz Ismail</v>
      </c>
      <c r="C445" s="44">
        <f>IFERROR(__xludf.DUMMYFUNCTION("""COMPUTED_VALUE"""),44153.0)</f>
        <v>44153</v>
      </c>
      <c r="D445" s="42" t="str">
        <f>IFERROR(__xludf.DUMMYFUNCTION("""COMPUTED_VALUE"""),"membuat infinite scroll, add to cart, get cart")</f>
        <v>membuat infinite scroll, add to cart, get cart</v>
      </c>
      <c r="E445" s="42"/>
      <c r="F445" s="42" t="str">
        <f>IFERROR(__xludf.DUMMYFUNCTION("""COMPUTED_VALUE"""),"membuat fungsi checkout, transaksi, dan get my order")</f>
        <v>membuat fungsi checkout, transaksi, dan get my order</v>
      </c>
    </row>
    <row r="446">
      <c r="A446" s="43">
        <f>IFERROR(__xludf.DUMMYFUNCTION("""COMPUTED_VALUE"""),44153.412812546296)</f>
        <v>44153.41281</v>
      </c>
      <c r="B446" s="42" t="str">
        <f>IFERROR(__xludf.DUMMYFUNCTION("""COMPUTED_VALUE"""),"Ahmad Asrofi")</f>
        <v>Ahmad Asrofi</v>
      </c>
      <c r="C446" s="44">
        <f>IFERROR(__xludf.DUMMYFUNCTION("""COMPUTED_VALUE"""),44153.0)</f>
        <v>44153</v>
      </c>
      <c r="D446" s="42" t="str">
        <f>IFERROR(__xludf.DUMMYFUNCTION("""COMPUTED_VALUE"""),"create bottom sheet, get profile, update profile and upload photo using filter file and size")</f>
        <v>create bottom sheet, get profile, update profile and upload photo using filter file and size</v>
      </c>
      <c r="E446" s="42"/>
      <c r="F446" s="42" t="str">
        <f>IFERROR(__xludf.DUMMYFUNCTION("""COMPUTED_VALUE"""),"completing the main flow, from register to transaction, search, pagination and sort")</f>
        <v>completing the main flow, from register to transaction, search, pagination and sort</v>
      </c>
    </row>
    <row r="447">
      <c r="A447" s="43">
        <f>IFERROR(__xludf.DUMMYFUNCTION("""COMPUTED_VALUE"""),44153.47139373842)</f>
        <v>44153.47139</v>
      </c>
      <c r="B447" s="42" t="str">
        <f>IFERROR(__xludf.DUMMYFUNCTION("""COMPUTED_VALUE"""),"Satrio Nugroho")</f>
        <v>Satrio Nugroho</v>
      </c>
      <c r="C447" s="44">
        <f>IFERROR(__xludf.DUMMYFUNCTION("""COMPUTED_VALUE"""),44153.0)</f>
        <v>44153</v>
      </c>
      <c r="D447" s="42" t="str">
        <f>IFERROR(__xludf.DUMMYFUNCTION("""COMPUTED_VALUE"""),"Saya telah mengerjakan perapihan layouting , CRUD di frontend , validation form , sama beberapa integerasi backend ke frontend")</f>
        <v>Saya telah mengerjakan perapihan layouting , CRUD di frontend , validation form , sama beberapa integerasi backend ke frontend</v>
      </c>
      <c r="E447" s="42"/>
      <c r="F447" s="42" t="str">
        <f>IFERROR(__xludf.DUMMYFUNCTION("""COMPUTED_VALUE"""),"Hari ini saya fokus mengerjakan untuk  integrasi backend ke frontend dan menyelesaikan beberapa yang masih belum di fixing")</f>
        <v>Hari ini saya fokus mengerjakan untuk  integrasi backend ke frontend dan menyelesaikan beberapa yang masih belum di fixing</v>
      </c>
    </row>
    <row r="448">
      <c r="A448" s="43">
        <f>IFERROR(__xludf.DUMMYFUNCTION("""COMPUTED_VALUE"""),44153.61131739583)</f>
        <v>44153.61132</v>
      </c>
      <c r="B448" s="42" t="str">
        <f>IFERROR(__xludf.DUMMYFUNCTION("""COMPUTED_VALUE"""),"Timotius Simanjuntak")</f>
        <v>Timotius Simanjuntak</v>
      </c>
      <c r="C448" s="44">
        <f>IFERROR(__xludf.DUMMYFUNCTION("""COMPUTED_VALUE"""),44153.0)</f>
        <v>44153</v>
      </c>
      <c r="D448" s="42" t="str">
        <f>IFERROR(__xludf.DUMMYFUNCTION("""COMPUTED_VALUE"""),"completed edit user, use formik, error handling, create signup screen, use toast to show message.")</f>
        <v>completed edit user, use formik, error handling, create signup screen, use toast to show message.</v>
      </c>
      <c r="E448" s="42"/>
      <c r="F448" s="42" t="str">
        <f>IFERROR(__xludf.DUMMYFUNCTION("""COMPUTED_VALUE"""),"Will finishing the project")</f>
        <v>Will finishing the project</v>
      </c>
    </row>
    <row r="449">
      <c r="A449" s="43">
        <f>IFERROR(__xludf.DUMMYFUNCTION("""COMPUTED_VALUE"""),44154.38540196759)</f>
        <v>44154.3854</v>
      </c>
      <c r="B449" s="42" t="str">
        <f>IFERROR(__xludf.DUMMYFUNCTION("""COMPUTED_VALUE"""),"Fahmi Aziz Ismail")</f>
        <v>Fahmi Aziz Ismail</v>
      </c>
      <c r="C449" s="44">
        <f>IFERROR(__xludf.DUMMYFUNCTION("""COMPUTED_VALUE"""),44154.0)</f>
        <v>44154</v>
      </c>
      <c r="D449" s="42" t="str">
        <f>IFERROR(__xludf.DUMMYFUNCTION("""COMPUTED_VALUE"""),"membuat fungsi submit order, menampilkan data my order, add address, infinite scroll di screen catalog, sort di screen catalog")</f>
        <v>membuat fungsi submit order, menampilkan data my order, add address, infinite scroll di screen catalog, sort di screen catalog</v>
      </c>
      <c r="E449" s="42"/>
      <c r="F449" s="42" t="str">
        <f>IFERROR(__xludf.DUMMYFUNCTION("""COMPUTED_VALUE"""),"implementasi alert setelah melakukan action")</f>
        <v>implementasi alert setelah melakukan action</v>
      </c>
    </row>
    <row r="450">
      <c r="A450" s="43">
        <f>IFERROR(__xludf.DUMMYFUNCTION("""COMPUTED_VALUE"""),44155.34636506945)</f>
        <v>44155.34637</v>
      </c>
      <c r="B450" s="42" t="str">
        <f>IFERROR(__xludf.DUMMYFUNCTION("""COMPUTED_VALUE"""),"Fahmi Aziz Ismail")</f>
        <v>Fahmi Aziz Ismail</v>
      </c>
      <c r="C450" s="44">
        <f>IFERROR(__xludf.DUMMYFUNCTION("""COMPUTED_VALUE"""),44155.0)</f>
        <v>44155</v>
      </c>
      <c r="D450" s="42" t="str">
        <f>IFERROR(__xludf.DUMMYFUNCTION("""COMPUTED_VALUE"""),"membuat welcome screen, register screen, top tab navigation, chat list, chat room, redux persist")</f>
        <v>membuat welcome screen, register screen, top tab navigation, chat list, chat room, redux persist</v>
      </c>
      <c r="E450" s="42"/>
      <c r="F450" s="42" t="str">
        <f>IFERROR(__xludf.DUMMYFUNCTION("""COMPUTED_VALUE"""),"membuat screen edit profile, add contact, membuat backend")</f>
        <v>membuat screen edit profile, add contact, membuat backend</v>
      </c>
    </row>
    <row r="451">
      <c r="A451" s="43">
        <f>IFERROR(__xludf.DUMMYFUNCTION("""COMPUTED_VALUE"""),44155.37912611111)</f>
        <v>44155.37913</v>
      </c>
      <c r="B451" s="42" t="str">
        <f>IFERROR(__xludf.DUMMYFUNCTION("""COMPUTED_VALUE"""),"Pramesti Regita Cahyani")</f>
        <v>Pramesti Regita Cahyani</v>
      </c>
      <c r="C451" s="44">
        <f>IFERROR(__xludf.DUMMYFUNCTION("""COMPUTED_VALUE"""),44155.0)</f>
        <v>44155</v>
      </c>
      <c r="D451" s="42" t="str">
        <f>IFERROR(__xludf.DUMMYFUNCTION("""COMPUTED_VALUE"""),"Membuat WelcomeScreen, Login, dan Top tab serta navigationnya")</f>
        <v>Membuat WelcomeScreen, Login, dan Top tab serta navigationnya</v>
      </c>
      <c r="E451" s="42" t="str">
        <f>IFERROR(__xludf.DUMMYFUNCTION("""COMPUTED_VALUE"""),"Belum ada")</f>
        <v>Belum ada</v>
      </c>
      <c r="F451" s="42" t="str">
        <f>IFERROR(__xludf.DUMMYFUNCTION("""COMPUTED_VALUE"""),"Membuat slicing Chat List dan Chat Room")</f>
        <v>Membuat slicing Chat List dan Chat Room</v>
      </c>
    </row>
    <row r="452">
      <c r="A452" s="43">
        <f>IFERROR(__xludf.DUMMYFUNCTION("""COMPUTED_VALUE"""),44155.38334810185)</f>
        <v>44155.38335</v>
      </c>
      <c r="B452" s="42" t="str">
        <f>IFERROR(__xludf.DUMMYFUNCTION("""COMPUTED_VALUE"""),"Muhammad Abdurasyid")</f>
        <v>Muhammad Abdurasyid</v>
      </c>
      <c r="C452" s="44">
        <f>IFERROR(__xludf.DUMMYFUNCTION("""COMPUTED_VALUE"""),44155.0)</f>
        <v>44155</v>
      </c>
      <c r="D452" s="42" t="str">
        <f>IFERROR(__xludf.DUMMYFUNCTION("""COMPUTED_VALUE"""),"1. Inisialisasi project react native termasuk nama &amp; icon apps 
2. Slicing screen login by email (termasuk form validation dgn formik+yup)
3. Slicing screen forgot &amp; reset password (termasuk form validation dgn formik+yup)
4. Slicing screen login by phone"&amp;" (termasuk form validation dgn formik+yup)
5. Slicing welcome screen
6. Slicing main screen utk menampilkan list chat")</f>
        <v>1. Inisialisasi project react native termasuk nama &amp; icon apps 
2. Slicing screen login by email (termasuk form validation dgn formik+yup)
3. Slicing screen forgot &amp; reset password (termasuk form validation dgn formik+yup)
4. Slicing screen login by phone (termasuk form validation dgn formik+yup)
5. Slicing welcome screen
6. Slicing main screen utk menampilkan list chat</v>
      </c>
      <c r="E452" s="42"/>
      <c r="F452" s="42" t="str">
        <f>IFERROR(__xludf.DUMMYFUNCTION("""COMPUTED_VALUE"""),"Slicing screen start chat, chat detail, friends, add friend, settings")</f>
        <v>Slicing screen start chat, chat detail, friends, add friend, settings</v>
      </c>
    </row>
    <row r="453">
      <c r="A453" s="43">
        <f>IFERROR(__xludf.DUMMYFUNCTION("""COMPUTED_VALUE"""),44155.385195462964)</f>
        <v>44155.3852</v>
      </c>
      <c r="B453" s="42" t="str">
        <f>IFERROR(__xludf.DUMMYFUNCTION("""COMPUTED_VALUE"""),"Iqbal Athorid")</f>
        <v>Iqbal Athorid</v>
      </c>
      <c r="C453" s="44">
        <f>IFERROR(__xludf.DUMMYFUNCTION("""COMPUTED_VALUE"""),44155.0)</f>
        <v>44155</v>
      </c>
      <c r="D453" s="42" t="str">
        <f>IFERROR(__xludf.DUMMYFUNCTION("""COMPUTED_VALUE"""),"created tab navigator, list Chat screen, chat room screen,redux persist")</f>
        <v>created tab navigator, list Chat screen, chat room screen,redux persist</v>
      </c>
      <c r="E453" s="42" t="str">
        <f>IFERROR(__xludf.DUMMYFUNCTION("""COMPUTED_VALUE"""),"glitch when moving screens,totlip")</f>
        <v>glitch when moving screens,totlip</v>
      </c>
      <c r="F453" s="42" t="str">
        <f>IFERROR(__xludf.DUMMYFUNCTION("""COMPUTED_VALUE"""),"slicing edit profile,register,create database,welcome screens")</f>
        <v>slicing edit profile,register,create database,welcome screens</v>
      </c>
    </row>
    <row r="454">
      <c r="A454" s="43">
        <f>IFERROR(__xludf.DUMMYFUNCTION("""COMPUTED_VALUE"""),44155.385279884256)</f>
        <v>44155.38528</v>
      </c>
      <c r="B454" s="42" t="str">
        <f>IFERROR(__xludf.DUMMYFUNCTION("""COMPUTED_VALUE"""),"Satrio Nugroho")</f>
        <v>Satrio Nugroho</v>
      </c>
      <c r="C454" s="44">
        <f>IFERROR(__xludf.DUMMYFUNCTION("""COMPUTED_VALUE"""),44155.0)</f>
        <v>44155</v>
      </c>
      <c r="D454" s="42" t="str">
        <f>IFERROR(__xludf.DUMMYFUNCTION("""COMPUTED_VALUE"""),"Kemaren saya mengerjakan slicing screen welcome , hompage , chatscreen , listscreen , register")</f>
        <v>Kemaren saya mengerjakan slicing screen welcome , hompage , chatscreen , listscreen , register</v>
      </c>
      <c r="E454" s="42" t="str">
        <f>IFERROR(__xludf.DUMMYFUNCTION("""COMPUTED_VALUE"""),"Membuat drawer/ sidebar")</f>
        <v>Membuat drawer/ sidebar</v>
      </c>
      <c r="F454" s="42" t="str">
        <f>IFERROR(__xludf.DUMMYFUNCTION("""COMPUTED_VALUE"""),"Hari ini mengikuti daily standup dan melanjutkan mengerjakan project di slicing screen ada yang belum untuk tampilan profile dan sidebar")</f>
        <v>Hari ini mengikuti daily standup dan melanjutkan mengerjakan project di slicing screen ada yang belum untuk tampilan profile dan sidebar</v>
      </c>
    </row>
    <row r="455">
      <c r="A455" s="43">
        <f>IFERROR(__xludf.DUMMYFUNCTION("""COMPUTED_VALUE"""),44155.387155081014)</f>
        <v>44155.38716</v>
      </c>
      <c r="B455" s="42" t="str">
        <f>IFERROR(__xludf.DUMMYFUNCTION("""COMPUTED_VALUE"""),"Wahyu Ramadhan")</f>
        <v>Wahyu Ramadhan</v>
      </c>
      <c r="C455" s="44">
        <f>IFERROR(__xludf.DUMMYFUNCTION("""COMPUTED_VALUE"""),44155.0)</f>
        <v>44155</v>
      </c>
      <c r="D455" s="42" t="str">
        <f>IFERROR(__xludf.DUMMYFUNCTION("""COMPUTED_VALUE"""),"Create screen WA in welcome screen, register/login, chat-room, chat-detail")</f>
        <v>Create screen WA in welcome screen, register/login, chat-room, chat-detail</v>
      </c>
      <c r="E455" s="42" t="str">
        <f>IFERROR(__xludf.DUMMYFUNCTION("""COMPUTED_VALUE"""),"how to spacing in component text inside component text, chat text in right")</f>
        <v>how to spacing in component text inside component text, chat text in right</v>
      </c>
      <c r="F455" s="42" t="str">
        <f>IFERROR(__xludf.DUMMYFUNCTION("""COMPUTED_VALUE"""),"using redux")</f>
        <v>using redux</v>
      </c>
    </row>
    <row r="456">
      <c r="A456" s="43">
        <f>IFERROR(__xludf.DUMMYFUNCTION("""COMPUTED_VALUE"""),44155.38789519676)</f>
        <v>44155.3879</v>
      </c>
      <c r="B456" s="42" t="str">
        <f>IFERROR(__xludf.DUMMYFUNCTION("""COMPUTED_VALUE"""),"Furoidah Chilmi")</f>
        <v>Furoidah Chilmi</v>
      </c>
      <c r="C456" s="44">
        <f>IFERROR(__xludf.DUMMYFUNCTION("""COMPUTED_VALUE"""),44155.0)</f>
        <v>44155</v>
      </c>
      <c r="D456" s="42" t="str">
        <f>IFERROR(__xludf.DUMMYFUNCTION("""COMPUTED_VALUE"""),"- main.js
- register dan verifikasi
- chat list using fleatlist
- chat room
- setting screen")</f>
        <v>- main.js
- register dan verifikasi
- chat list using fleatlist
- chat room
- setting screen</v>
      </c>
      <c r="E456" s="42" t="str">
        <f>IFERROR(__xludf.DUMMYFUNCTION("""COMPUTED_VALUE"""),"-")</f>
        <v>-</v>
      </c>
      <c r="F456" s="42" t="str">
        <f>IFERROR(__xludf.DUMMYFUNCTION("""COMPUTED_VALUE"""),"mengerjakan tugas")</f>
        <v>mengerjakan tugas</v>
      </c>
    </row>
    <row r="457">
      <c r="A457" s="43">
        <f>IFERROR(__xludf.DUMMYFUNCTION("""COMPUTED_VALUE"""),44155.38801003472)</f>
        <v>44155.38801</v>
      </c>
      <c r="B457" s="42" t="str">
        <f>IFERROR(__xludf.DUMMYFUNCTION("""COMPUTED_VALUE"""),"Ahmad Fatkhul Amam")</f>
        <v>Ahmad Fatkhul Amam</v>
      </c>
      <c r="C457" s="44">
        <f>IFERROR(__xludf.DUMMYFUNCTION("""COMPUTED_VALUE"""),44155.0)</f>
        <v>44155</v>
      </c>
      <c r="D457" s="42" t="str">
        <f>IFERROR(__xludf.DUMMYFUNCTION("""COMPUTED_VALUE"""),"slicing welcome screen, register screen, landing screen, chat list screen, chat detail screen, configuration redux using persist redux")</f>
        <v>slicing welcome screen, register screen, landing screen, chat list screen, chat detail screen, configuration redux using persist redux</v>
      </c>
      <c r="E457" s="42" t="str">
        <f>IFERROR(__xludf.DUMMYFUNCTION("""COMPUTED_VALUE"""),"coloring design, app icon, custom welcome screen( slider ), styling")</f>
        <v>coloring design, app icon, custom welcome screen( slider ), styling</v>
      </c>
      <c r="F457" s="42" t="str">
        <f>IFERROR(__xludf.DUMMYFUNCTION("""COMPUTED_VALUE"""),"fix the styling problem, make screen for edit profile")</f>
        <v>fix the styling problem, make screen for edit profile</v>
      </c>
    </row>
    <row r="458">
      <c r="A458" s="43">
        <f>IFERROR(__xludf.DUMMYFUNCTION("""COMPUTED_VALUE"""),44155.3899377662)</f>
        <v>44155.38994</v>
      </c>
      <c r="B458" s="42" t="str">
        <f>IFERROR(__xludf.DUMMYFUNCTION("""COMPUTED_VALUE"""),"Muhamad Faris Alkodri")</f>
        <v>Muhamad Faris Alkodri</v>
      </c>
      <c r="C458" s="44">
        <f>IFERROR(__xludf.DUMMYFUNCTION("""COMPUTED_VALUE"""),44155.0)</f>
        <v>44155</v>
      </c>
      <c r="D458" s="42" t="str">
        <f>IFERROR(__xludf.DUMMYFUNCTION("""COMPUTED_VALUE"""),"I was slicing all of the authentication, registration stack and also the main screens stack, but i haven't implementing the forgor password and qr code login yet")</f>
        <v>I was slicing all of the authentication, registration stack and also the main screens stack, but i haven't implementing the forgor password and qr code login yet</v>
      </c>
      <c r="E458" s="42" t="str">
        <f>IFERROR(__xludf.DUMMYFUNCTION("""COMPUTED_VALUE"""),"I have a problem on creating autogrowth text area, and also creating balon chat")</f>
        <v>I have a problem on creating autogrowth text area, and also creating balon chat</v>
      </c>
      <c r="F458" s="42" t="str">
        <f>IFERROR(__xludf.DUMMYFUNCTION("""COMPUTED_VALUE"""),"I want to implement image picker on registration, slicing option selector in roomchat screen, slicing profile page, creating balon chat, forgot password, login with qr code")</f>
        <v>I want to implement image picker on registration, slicing option selector in roomchat screen, slicing profile page, creating balon chat, forgot password, login with qr code</v>
      </c>
    </row>
    <row r="459">
      <c r="A459" s="43">
        <f>IFERROR(__xludf.DUMMYFUNCTION("""COMPUTED_VALUE"""),44155.398116365744)</f>
        <v>44155.39812</v>
      </c>
      <c r="B459" s="42" t="str">
        <f>IFERROR(__xludf.DUMMYFUNCTION("""COMPUTED_VALUE"""),"Ahmad Asrofi")</f>
        <v>Ahmad Asrofi</v>
      </c>
      <c r="C459" s="44">
        <f>IFERROR(__xludf.DUMMYFUNCTION("""COMPUTED_VALUE"""),44155.0)</f>
        <v>44155</v>
      </c>
      <c r="D459" s="42" t="str">
        <f>IFERROR(__xludf.DUMMYFUNCTION("""COMPUTED_VALUE"""),"init project chat, create welcome, register, profile info, main, chat list using flat list, and chat room")</f>
        <v>init project chat, create welcome, register, profile info, main, chat list using flat list, and chat room</v>
      </c>
      <c r="E459" s="42"/>
      <c r="F459" s="42" t="str">
        <f>IFERROR(__xludf.DUMMYFUNCTION("""COMPUTED_VALUE"""),"create backend using sequelize")</f>
        <v>create backend using sequelize</v>
      </c>
    </row>
    <row r="460">
      <c r="A460" s="43">
        <f>IFERROR(__xludf.DUMMYFUNCTION("""COMPUTED_VALUE"""),44155.39864615741)</f>
        <v>44155.39865</v>
      </c>
      <c r="B460" s="42" t="str">
        <f>IFERROR(__xludf.DUMMYFUNCTION("""COMPUTED_VALUE"""),"Muhammad")</f>
        <v>Muhammad</v>
      </c>
      <c r="C460" s="44">
        <f>IFERROR(__xludf.DUMMYFUNCTION("""COMPUTED_VALUE"""),44155.0)</f>
        <v>44155</v>
      </c>
      <c r="D460" s="42" t="str">
        <f>IFERROR(__xludf.DUMMYFUNCTION("""COMPUTED_VALUE"""),"Slicing all screens
Create navigation
fix Navigation handling
fix Navigation headerBar")</f>
        <v>Slicing all screens
Create navigation
fix Navigation handling
fix Navigation headerBar</v>
      </c>
      <c r="E460" s="42" t="str">
        <f>IFERROR(__xludf.DUMMYFUNCTION("""COMPUTED_VALUE"""),"Custom style drawable navigation")</f>
        <v>Custom style drawable navigation</v>
      </c>
      <c r="F460" s="42" t="str">
        <f>IFERROR(__xludf.DUMMYFUNCTION("""COMPUTED_VALUE"""),"fix drawable navigation style
Prepare redux")</f>
        <v>fix drawable navigation style
Prepare redux</v>
      </c>
    </row>
    <row r="461">
      <c r="A461" s="43">
        <f>IFERROR(__xludf.DUMMYFUNCTION("""COMPUTED_VALUE"""),44155.40373497685)</f>
        <v>44155.40373</v>
      </c>
      <c r="B461" s="42" t="str">
        <f>IFERROR(__xludf.DUMMYFUNCTION("""COMPUTED_VALUE"""),"Timotius Simanjuntak")</f>
        <v>Timotius Simanjuntak</v>
      </c>
      <c r="C461" s="44">
        <f>IFERROR(__xludf.DUMMYFUNCTION("""COMPUTED_VALUE"""),44155.0)</f>
        <v>44155</v>
      </c>
      <c r="D461" s="42" t="str">
        <f>IFERROR(__xludf.DUMMYFUNCTION("""COMPUTED_VALUE"""),"Create welcome screen, import old account, chat list, chat room, react-native-image-picker")</f>
        <v>Create welcome screen, import old account, chat list, chat room, react-native-image-picker</v>
      </c>
      <c r="E461" s="42"/>
      <c r="F461" s="42" t="str">
        <f>IFERROR(__xludf.DUMMYFUNCTION("""COMPUTED_VALUE"""),"create user profile, other user profile, setting account, setting profile")</f>
        <v>create user profile, other user profile, setting account, setting profile</v>
      </c>
    </row>
    <row r="462">
      <c r="A462" s="43">
        <f>IFERROR(__xludf.DUMMYFUNCTION("""COMPUTED_VALUE"""),44158.37814018519)</f>
        <v>44158.37814</v>
      </c>
      <c r="B462" s="42" t="str">
        <f>IFERROR(__xludf.DUMMYFUNCTION("""COMPUTED_VALUE"""),"Furoidah Chilmi")</f>
        <v>Furoidah Chilmi</v>
      </c>
      <c r="C462" s="44">
        <f>IFERROR(__xludf.DUMMYFUNCTION("""COMPUTED_VALUE"""),44158.0)</f>
        <v>44158</v>
      </c>
      <c r="D462" s="42" t="str">
        <f>IFERROR(__xludf.DUMMYFUNCTION("""COMPUTED_VALUE"""),"- fixing beberapa minor di screen yang sudah ada
- screen user profile
- screen contact info 
- register di backend
- post message di backend")</f>
        <v>- fixing beberapa minor di screen yang sudah ada
- screen user profile
- screen contact info 
- register di backend
- post message di backend</v>
      </c>
      <c r="E462" s="42" t="str">
        <f>IFERROR(__xludf.DUMMYFUNCTION("""COMPUTED_VALUE"""),"-")</f>
        <v>-</v>
      </c>
      <c r="F462" s="42" t="str">
        <f>IFERROR(__xludf.DUMMYFUNCTION("""COMPUTED_VALUE"""),"melanjutkan backend dan integrasi dengan frontend")</f>
        <v>melanjutkan backend dan integrasi dengan frontend</v>
      </c>
    </row>
    <row r="463">
      <c r="A463" s="43">
        <f>IFERROR(__xludf.DUMMYFUNCTION("""COMPUTED_VALUE"""),44158.381043773144)</f>
        <v>44158.38104</v>
      </c>
      <c r="B463" s="42" t="str">
        <f>IFERROR(__xludf.DUMMYFUNCTION("""COMPUTED_VALUE"""),"Muhammad")</f>
        <v>Muhammad</v>
      </c>
      <c r="C463" s="44">
        <f>IFERROR(__xludf.DUMMYFUNCTION("""COMPUTED_VALUE"""),44158.0)</f>
        <v>44158</v>
      </c>
      <c r="D463" s="42" t="str">
        <f>IFERROR(__xludf.DUMMYFUNCTION("""COMPUTED_VALUE"""),"Create api for sendBae app")</f>
        <v>Create api for sendBae app</v>
      </c>
      <c r="E463" s="42" t="str">
        <f>IFERROR(__xludf.DUMMYFUNCTION("""COMPUTED_VALUE"""),"When get all message")</f>
        <v>When get all message</v>
      </c>
      <c r="F463" s="42" t="str">
        <f>IFERROR(__xludf.DUMMYFUNCTION("""COMPUTED_VALUE"""),"Implantation socket io / firebase for realtime send message")</f>
        <v>Implantation socket io / firebase for realtime send message</v>
      </c>
    </row>
    <row r="464">
      <c r="A464" s="43">
        <f>IFERROR(__xludf.DUMMYFUNCTION("""COMPUTED_VALUE"""),44158.3837581713)</f>
        <v>44158.38376</v>
      </c>
      <c r="B464" s="42" t="str">
        <f>IFERROR(__xludf.DUMMYFUNCTION("""COMPUTED_VALUE"""),"Iqbal Athorid")</f>
        <v>Iqbal Athorid</v>
      </c>
      <c r="C464" s="44">
        <f>IFERROR(__xludf.DUMMYFUNCTION("""COMPUTED_VALUE"""),44158.0)</f>
        <v>44158</v>
      </c>
      <c r="D464" s="42" t="str">
        <f>IFERROR(__xludf.DUMMYFUNCTION("""COMPUTED_VALUE"""),"fix some error on screen,slicing page,created database")</f>
        <v>fix some error on screen,slicing page,created database</v>
      </c>
      <c r="E464" s="42"/>
      <c r="F464" s="42" t="str">
        <f>IFERROR(__xludf.DUMMYFUNCTION("""COMPUTED_VALUE"""),"following kang irul instruction")</f>
        <v>following kang irul instruction</v>
      </c>
    </row>
    <row r="465">
      <c r="A465" s="43">
        <f>IFERROR(__xludf.DUMMYFUNCTION("""COMPUTED_VALUE"""),44158.38480322917)</f>
        <v>44158.3848</v>
      </c>
      <c r="B465" s="42" t="str">
        <f>IFERROR(__xludf.DUMMYFUNCTION("""COMPUTED_VALUE"""),"Muhammad Abdurasyid")</f>
        <v>Muhammad Abdurasyid</v>
      </c>
      <c r="C465" s="44">
        <f>IFERROR(__xludf.DUMMYFUNCTION("""COMPUTED_VALUE"""),44158.0)</f>
        <v>44158</v>
      </c>
      <c r="D465" s="42" t="str">
        <f>IFERROR(__xludf.DUMMYFUNCTION("""COMPUTED_VALUE"""),"Frontend: 
1. Slicing screen start chat, chat room, friends list, add friend, settings, user profile, edit name, edit status, edit user ID, accounts, change phone number, change email, change password, register, create password
2. Menghubungkan ke backend"&amp;" di bagian login by email
Backend
1. Membuat endpoint utk model users:
- Register
- Is phone number valid (utk menentukan registrasi atau login)
- Forgot password &amp; reset password
- Login by email
- Login by phone number
- Get user profile &amp; user detail "&amp;"by ID
- Search user
- Update profile &amp; update password")</f>
        <v>Frontend: 
1. Slicing screen start chat, chat room, friends list, add friend, settings, user profile, edit name, edit status, edit user ID, accounts, change phone number, change email, change password, register, create password
2. Menghubungkan ke backend di bagian login by email
Backend
1. Membuat endpoint utk model users:
- Register
- Is phone number valid (utk menentukan registrasi atau login)
- Forgot password &amp; reset password
- Login by email
- Login by phone number
- Get user profile &amp; user detail by ID
- Search user
- Update profile &amp; update password</v>
      </c>
      <c r="E465" s="42"/>
      <c r="F465" s="42" t="str">
        <f>IFERROR(__xludf.DUMMYFUNCTION("""COMPUTED_VALUE"""),"1. Membuat endpoint backend utk model friends &amp; messages
2. Menghubungkan frontend ke backend di bagian register, login by phone number, forgot password, update profile, update password, get user profile")</f>
        <v>1. Membuat endpoint backend utk model friends &amp; messages
2. Menghubungkan frontend ke backend di bagian register, login by phone number, forgot password, update profile, update password, get user profile</v>
      </c>
    </row>
    <row r="466">
      <c r="A466" s="43">
        <f>IFERROR(__xludf.DUMMYFUNCTION("""COMPUTED_VALUE"""),44158.38575585648)</f>
        <v>44158.38576</v>
      </c>
      <c r="B466" s="42" t="str">
        <f>IFERROR(__xludf.DUMMYFUNCTION("""COMPUTED_VALUE"""),"Pramesti Regita Cahyani")</f>
        <v>Pramesti Regita Cahyani</v>
      </c>
      <c r="C466" s="44">
        <f>IFERROR(__xludf.DUMMYFUNCTION("""COMPUTED_VALUE"""),44158.0)</f>
        <v>44158</v>
      </c>
      <c r="D466" s="42" t="str">
        <f>IFERROR(__xludf.DUMMYFUNCTION("""COMPUTED_VALUE"""),"Menyelesaikan slicing screen dan membuat backend")</f>
        <v>Menyelesaikan slicing screen dan membuat backend</v>
      </c>
      <c r="E466" s="42" t="str">
        <f>IFERROR(__xludf.DUMMYFUNCTION("""COMPUTED_VALUE"""),"terlalu lama mengerjakan sclicing sehingga backend belum selesai")</f>
        <v>terlalu lama mengerjakan sclicing sehingga backend belum selesai</v>
      </c>
      <c r="F466" s="42" t="str">
        <f>IFERROR(__xludf.DUMMYFUNCTION("""COMPUTED_VALUE"""),"menyelesaikan backend dan mengimplementasikan redux di frontend")</f>
        <v>menyelesaikan backend dan mengimplementasikan redux di frontend</v>
      </c>
    </row>
    <row r="467">
      <c r="A467" s="43">
        <f>IFERROR(__xludf.DUMMYFUNCTION("""COMPUTED_VALUE"""),44158.38602822917)</f>
        <v>44158.38603</v>
      </c>
      <c r="B467" s="42" t="str">
        <f>IFERROR(__xludf.DUMMYFUNCTION("""COMPUTED_VALUE"""),"Muhamad Faris Alkodri")</f>
        <v>Muhamad Faris Alkodri</v>
      </c>
      <c r="C467" s="44">
        <f>IFERROR(__xludf.DUMMYFUNCTION("""COMPUTED_VALUE"""),44158.0)</f>
        <v>44158</v>
      </c>
      <c r="D467" s="42" t="str">
        <f>IFERROR(__xludf.DUMMYFUNCTION("""COMPUTED_VALUE"""),"I was slicing all the setting screen that needed by my apps that same like the line lite apps, especially in edit profile, chat settings, account settings and etc, i also on my way to create the backend of my apps")</f>
        <v>I was slicing all the setting screen that needed by my apps that same like the line lite apps, especially in edit profile, chat settings, account settings and etc, i also on my way to create the backend of my apps</v>
      </c>
      <c r="E467" s="42" t="str">
        <f>IFERROR(__xludf.DUMMYFUNCTION("""COMPUTED_VALUE"""),"there was an error: /home/alkodrimuhfaris/Documents/arkademy/connectBackend/src/models/index.js:24
    const model = require(path.join(__dirname, file))(sequelize, Sequelize.DataTypes);
                                                     ^
TypeError: re"&amp;"quire(...) is not a function
    at /home/alkodrimuhfaris/Documents/arkademy/connectBackend/src/models/index.js:24:54
    at Array.forEach (&lt;anonymous&gt;)
    at Object.&lt;anonymous&gt; (/home/alkodrimuhfaris/Documents/arkademy/connectBackend/src/models/index.js"&amp;":23:4)
    at Module._compile (internal/modules/cjs/loader.js:1015:30)
    at Object.Module._extensions..js (internal/modules/cjs/loader.js:1035:10)
    at Module.load (internal/modules/cjs/loader.js:879:32)
    at Function.Module._load (internal/modules/"&amp;"cjs/loader.js:724:14)
    at Module.require (internal/modules/cjs/loader.js:903:19)
    at require (internal/modules/cjs/helpers.js:74:18)
    at Object.&lt;anonymous&gt; (/home/alkodrimuhfaris/Documents/arkademy/connectBackend/src/controllers/user.js:1:18)
i "&amp;"have never touched the index.js files on models but the error appears like that. Im stuck at that error")</f>
        <v>there was an error: /home/alkodrimuhfaris/Documents/arkademy/connectBackend/src/models/index.js:24
    const model = require(path.join(__dirname, file))(sequelize, Sequelize.DataTypes);
                                                     ^
TypeError: require(...) is not a function
    at /home/alkodrimuhfaris/Documents/arkademy/connectBackend/src/models/index.js:24:54
    at Array.forEach (&lt;anonymous&gt;)
    at Object.&lt;anonymous&gt; (/home/alkodrimuhfaris/Documents/arkademy/connectBackend/src/models/index.js:23:4)
    at Module._compile (internal/modules/cjs/loader.js:1015:30)
    at Object.Module._extensions..js (internal/modules/cjs/loader.js:1035:10)
    at Module.load (internal/modules/cjs/loader.js:879:32)
    at Function.Module._load (internal/modules/cjs/loader.js:724:14)
    at Module.require (internal/modules/cjs/loader.js:903:19)
    at require (internal/modules/cjs/helpers.js:74:18)
    at Object.&lt;anonymous&gt; (/home/alkodrimuhfaris/Documents/arkademy/connectBackend/src/controllers/user.js:1:18)
i have never touched the index.js files on models but the error appears like that. Im stuck at that error</v>
      </c>
      <c r="F467" s="42" t="str">
        <f>IFERROR(__xludf.DUMMYFUNCTION("""COMPUTED_VALUE"""),"I was going to fix the error, using react image picker in my front end and connect my backend to front end")</f>
        <v>I was going to fix the error, using react image picker in my front end and connect my backend to front end</v>
      </c>
    </row>
    <row r="468">
      <c r="A468" s="43">
        <f>IFERROR(__xludf.DUMMYFUNCTION("""COMPUTED_VALUE"""),44158.39068119213)</f>
        <v>44158.39068</v>
      </c>
      <c r="B468" s="42" t="str">
        <f>IFERROR(__xludf.DUMMYFUNCTION("""COMPUTED_VALUE"""),"Timotius Simanjuntak")</f>
        <v>Timotius Simanjuntak</v>
      </c>
      <c r="C468" s="44">
        <f>IFERROR(__xludf.DUMMYFUNCTION("""COMPUTED_VALUE"""),44158.0)</f>
        <v>44158</v>
      </c>
      <c r="D468" s="42" t="str">
        <f>IFERROR(__xludf.DUMMYFUNCTION("""COMPUTED_VALUE"""),"finishing slicing frontend, except status from user because it not available in line lite, and configure for backend, such as create database for it, and create backend project")</f>
        <v>finishing slicing frontend, except status from user because it not available in line lite, and configure for backend, such as create database for it, and create backend project</v>
      </c>
      <c r="E468" s="42"/>
      <c r="F468" s="42" t="str">
        <f>IFERROR(__xludf.DUMMYFUNCTION("""COMPUTED_VALUE"""),"finishing my backend")</f>
        <v>finishing my backend</v>
      </c>
    </row>
    <row r="469">
      <c r="A469" s="43">
        <f>IFERROR(__xludf.DUMMYFUNCTION("""COMPUTED_VALUE"""),44158.393974293984)</f>
        <v>44158.39397</v>
      </c>
      <c r="B469" s="42" t="str">
        <f>IFERROR(__xludf.DUMMYFUNCTION("""COMPUTED_VALUE"""),"Wahyu Ramadhan")</f>
        <v>Wahyu Ramadhan</v>
      </c>
      <c r="C469" s="44">
        <f>IFERROR(__xludf.DUMMYFUNCTION("""COMPUTED_VALUE"""),44158.0)</f>
        <v>44158</v>
      </c>
      <c r="D469" s="42" t="str">
        <f>IFERROR(__xludf.DUMMYFUNCTION("""COMPUTED_VALUE"""),"slicing screen setting, profile, photo profile, list frien when want to create message.
Backend: crud user, login, register, (create, read, delete)Message")</f>
        <v>slicing screen setting, profile, photo profile, list frien when want to create message.
Backend: crud user, login, register, (create, read, delete)Message</v>
      </c>
      <c r="E469" s="42" t="str">
        <f>IFERROR(__xludf.DUMMYFUNCTION("""COMPUTED_VALUE"""),"In front end, undefine navigation when I use custom component, and can't klick back button, Error is (navigation undefined), redux")</f>
        <v>In front end, undefine navigation when I use custom component, and can't klick back button, Error is (navigation undefined), redux</v>
      </c>
      <c r="F469" s="42" t="str">
        <f>IFERROR(__xludf.DUMMYFUNCTION("""COMPUTED_VALUE"""),"try use redux and try how to use navigation in class component")</f>
        <v>try use redux and try how to use navigation in class component</v>
      </c>
    </row>
    <row r="470">
      <c r="A470" s="43">
        <f>IFERROR(__xludf.DUMMYFUNCTION("""COMPUTED_VALUE"""),44158.39593917824)</f>
        <v>44158.39594</v>
      </c>
      <c r="B470" s="42" t="str">
        <f>IFERROR(__xludf.DUMMYFUNCTION("""COMPUTED_VALUE"""),"Fahmi Aziz Ismail")</f>
        <v>Fahmi Aziz Ismail</v>
      </c>
      <c r="C470" s="44">
        <f>IFERROR(__xludf.DUMMYFUNCTION("""COMPUTED_VALUE"""),44158.0)</f>
        <v>44158</v>
      </c>
      <c r="D470" s="42" t="str">
        <f>IFERROR(__xludf.DUMMYFUNCTION("""COMPUTED_VALUE"""),"frontend: slicing scree detail friend, setting, profile, contact, add contact, info contact
backend: membuat fungsi, register, get profile, add contack, get detail user ")</f>
        <v>frontend: slicing scree detail friend, setting, profile, contact, add contact, info contact
backend: membuat fungsi, register, get profile, add contack, get detail user </v>
      </c>
      <c r="E470" s="42"/>
      <c r="F470" s="42" t="str">
        <f>IFERROR(__xludf.DUMMYFUNCTION("""COMPUTED_VALUE"""),"membuat fungsi get friend, send message, receive message, upload image")</f>
        <v>membuat fungsi get friend, send message, receive message, upload image</v>
      </c>
    </row>
    <row r="471">
      <c r="A471" s="43">
        <f>IFERROR(__xludf.DUMMYFUNCTION("""COMPUTED_VALUE"""),44158.40032611111)</f>
        <v>44158.40033</v>
      </c>
      <c r="B471" s="42" t="str">
        <f>IFERROR(__xludf.DUMMYFUNCTION("""COMPUTED_VALUE"""),"Ahmad Fatkhul Amam")</f>
        <v>Ahmad Fatkhul Amam</v>
      </c>
      <c r="C471" s="44">
        <f>IFERROR(__xludf.DUMMYFUNCTION("""COMPUTED_VALUE"""),44158.0)</f>
        <v>44158</v>
      </c>
      <c r="D471" s="42" t="str">
        <f>IFERROR(__xludf.DUMMYFUNCTION("""COMPUTED_VALUE"""),"add pick image from galery features on frontend, beautify the front end appearance")</f>
        <v>add pick image from galery features on frontend, beautify the front end appearance</v>
      </c>
      <c r="E471" s="42" t="str">
        <f>IFERROR(__xludf.DUMMYFUNCTION("""COMPUTED_VALUE"""),"auth user login(verification code), how to differentiate message sender and recipient, db model for message input sender or receiver")</f>
        <v>auth user login(verification code), how to differentiate message sender and recipient, db model for message input sender or receiver</v>
      </c>
      <c r="F471" s="42" t="str">
        <f>IFERROR(__xludf.DUMMYFUNCTION("""COMPUTED_VALUE"""),"trial and error about model db for message input sender or receiver")</f>
        <v>trial and error about model db for message input sender or receiver</v>
      </c>
    </row>
    <row r="472">
      <c r="A472" s="43">
        <f>IFERROR(__xludf.DUMMYFUNCTION("""COMPUTED_VALUE"""),44158.451824143514)</f>
        <v>44158.45182</v>
      </c>
      <c r="B472" s="42" t="str">
        <f>IFERROR(__xludf.DUMMYFUNCTION("""COMPUTED_VALUE"""),"Ahmad Asrofi")</f>
        <v>Ahmad Asrofi</v>
      </c>
      <c r="C472" s="44">
        <f>IFERROR(__xludf.DUMMYFUNCTION("""COMPUTED_VALUE"""),44158.0)</f>
        <v>44158</v>
      </c>
      <c r="D472" s="42" t="str">
        <f>IFERROR(__xludf.DUMMYFUNCTION("""COMPUTED_VALUE"""),"doing backend, create controller auth and user. upload image using filter size and mimetype")</f>
        <v>doing backend, create controller auth and user. upload image using filter size and mimetype</v>
      </c>
      <c r="E472" s="42"/>
      <c r="F472" s="42" t="str">
        <f>IFERROR(__xludf.DUMMYFUNCTION("""COMPUTED_VALUE"""),"create message controller for backend. create list contact for frontend. and implement redux")</f>
        <v>create message controller for backend. create list contact for frontend. and implement redux</v>
      </c>
    </row>
    <row r="473">
      <c r="A473" s="43">
        <f>IFERROR(__xludf.DUMMYFUNCTION("""COMPUTED_VALUE"""),44159.37571807871)</f>
        <v>44159.37572</v>
      </c>
      <c r="B473" s="42" t="str">
        <f>IFERROR(__xludf.DUMMYFUNCTION("""COMPUTED_VALUE"""),"Rezha Maulana Jaya")</f>
        <v>Rezha Maulana Jaya</v>
      </c>
      <c r="C473" s="44">
        <f>IFERROR(__xludf.DUMMYFUNCTION("""COMPUTED_VALUE"""),44159.0)</f>
        <v>44159</v>
      </c>
      <c r="D473" s="42" t="str">
        <f>IFERROR(__xludf.DUMMYFUNCTION("""COMPUTED_VALUE"""),"buat backend nowapp , login ,register, send message, update profile,upload foto , untuk front end  mengerjakan layout status , room chat masih belum fix")</f>
        <v>buat backend nowapp , login ,register, send message, update profile,upload foto , untuk front end  mengerjakan layout status , room chat masih belum fix</v>
      </c>
      <c r="E473" s="42" t="str">
        <f>IFERROR(__xludf.DUMMYFUNCTION("""COMPUTED_VALUE"""),"ketika validasi joi number ketika di kasi max dan min jadi error validasi , sama list chat di backend masih bingung")</f>
        <v>ketika validasi joi number ketika di kasi max dan min jadi error validasi , sama list chat di backend masih bingung</v>
      </c>
      <c r="F473" s="42" t="str">
        <f>IFERROR(__xludf.DUMMYFUNCTION("""COMPUTED_VALUE"""),"koneksiin ke front end")</f>
        <v>koneksiin ke front end</v>
      </c>
    </row>
    <row r="474">
      <c r="A474" s="43">
        <f>IFERROR(__xludf.DUMMYFUNCTION("""COMPUTED_VALUE"""),44159.382763981484)</f>
        <v>44159.38276</v>
      </c>
      <c r="B474" s="42" t="str">
        <f>IFERROR(__xludf.DUMMYFUNCTION("""COMPUTED_VALUE"""),"Furoidah Chilmi")</f>
        <v>Furoidah Chilmi</v>
      </c>
      <c r="C474" s="44">
        <f>IFERROR(__xludf.DUMMYFUNCTION("""COMPUTED_VALUE"""),44159.0)</f>
        <v>44159</v>
      </c>
      <c r="D474" s="42" t="str">
        <f>IFERROR(__xludf.DUMMYFUNCTION("""COMPUTED_VALUE"""),"- memperbaiki beberapa rute di backend
- menambahkan rute chat list dan private chat di backend
- memperbaiki beberapa screen yang kurang
- integrasi backend ke frontend untuk screen registrasi
- integrasi untuk screen chat list")</f>
        <v>- memperbaiki beberapa rute di backend
- menambahkan rute chat list dan private chat di backend
- memperbaiki beberapa screen yang kurang
- integrasi backend ke frontend untuk screen registrasi
- integrasi untuk screen chat list</v>
      </c>
      <c r="E474" s="42" t="str">
        <f>IFERROR(__xludf.DUMMYFUNCTION("""COMPUTED_VALUE"""),"masih sedikit bingung untuk menampilkan profil picture di screen chat list dan saat menampilkan private chat untuk balloon")</f>
        <v>masih sedikit bingung untuk menampilkan profil picture di screen chat list dan saat menampilkan private chat untuk balloon</v>
      </c>
      <c r="F474" s="42" t="str">
        <f>IFERROR(__xludf.DUMMYFUNCTION("""COMPUTED_VALUE"""),"integrasi semua backend ke frontend ")</f>
        <v>integrasi semua backend ke frontend </v>
      </c>
    </row>
    <row r="475">
      <c r="A475" s="43">
        <f>IFERROR(__xludf.DUMMYFUNCTION("""COMPUTED_VALUE"""),44159.3833987963)</f>
        <v>44159.3834</v>
      </c>
      <c r="B475" s="42" t="str">
        <f>IFERROR(__xludf.DUMMYFUNCTION("""COMPUTED_VALUE"""),"Muhamad Faris Alkodri")</f>
        <v>Muhamad Faris Alkodri</v>
      </c>
      <c r="C475" s="44">
        <f>IFERROR(__xludf.DUMMYFUNCTION("""COMPUTED_VALUE"""),44159.0)</f>
        <v>44159</v>
      </c>
      <c r="D475" s="42" t="str">
        <f>IFERROR(__xludf.DUMMYFUNCTION("""COMPUTED_VALUE"""),"i was creating the post chat route, get all list chat route, get all list chat with colluctors route, connecting auth flow from backend to frontend, connecting main screen to backend")</f>
        <v>i was creating the post chat route, get all list chat route, get all list chat with colluctors route, connecting auth flow from backend to frontend, connecting main screen to backend</v>
      </c>
      <c r="E475" s="42" t="str">
        <f>IFERROR(__xludf.DUMMYFUNCTION("""COMPUTED_VALUE"""),"have no problems yet")</f>
        <v>have no problems yet</v>
      </c>
      <c r="F475" s="42" t="str">
        <f>IFERROR(__xludf.DUMMYFUNCTION("""COMPUTED_VALUE"""),"i am going to connect room chat from backend to frontend")</f>
        <v>i am going to connect room chat from backend to frontend</v>
      </c>
    </row>
    <row r="476">
      <c r="A476" s="43">
        <f>IFERROR(__xludf.DUMMYFUNCTION("""COMPUTED_VALUE"""),44159.38355131944)</f>
        <v>44159.38355</v>
      </c>
      <c r="B476" s="42" t="str">
        <f>IFERROR(__xludf.DUMMYFUNCTION("""COMPUTED_VALUE"""),"Muhammad")</f>
        <v>Muhammad</v>
      </c>
      <c r="C476" s="44">
        <f>IFERROR(__xludf.DUMMYFUNCTION("""COMPUTED_VALUE"""),44159.0)</f>
        <v>44159</v>
      </c>
      <c r="D476" s="42" t="str">
        <f>IFERROR(__xludf.DUMMYFUNCTION("""COMPUTED_VALUE"""),"Fix get message list in backend
Managing data for login and messaging")</f>
        <v>Fix get message list in backend
Managing data for login and messaging</v>
      </c>
      <c r="E476" s="42" t="str">
        <f>IFERROR(__xludf.DUMMYFUNCTION("""COMPUTED_VALUE"""),"List message error sql")</f>
        <v>List message error sql</v>
      </c>
      <c r="F476" s="42" t="str">
        <f>IFERROR(__xludf.DUMMYFUNCTION("""COMPUTED_VALUE"""),"Fix message and implementation real time message")</f>
        <v>Fix message and implementation real time message</v>
      </c>
    </row>
    <row r="477">
      <c r="A477" s="43">
        <f>IFERROR(__xludf.DUMMYFUNCTION("""COMPUTED_VALUE"""),44159.38714040509)</f>
        <v>44159.38714</v>
      </c>
      <c r="B477" s="42" t="str">
        <f>IFERROR(__xludf.DUMMYFUNCTION("""COMPUTED_VALUE"""),"Wahyu Ramadhan")</f>
        <v>Wahyu Ramadhan</v>
      </c>
      <c r="C477" s="44">
        <f>IFERROR(__xludf.DUMMYFUNCTION("""COMPUTED_VALUE"""),44159.0)</f>
        <v>44159</v>
      </c>
      <c r="D477" s="42" t="str">
        <f>IFERROR(__xludf.DUMMYFUNCTION("""COMPUTED_VALUE"""),"integration login, fix backend")</f>
        <v>integration login, fix backend</v>
      </c>
      <c r="E477" s="42" t="str">
        <f>IFERROR(__xludf.DUMMYFUNCTION("""COMPUTED_VALUE"""),"I dnt know how to join where in my table chat where field sender join with table user where id = sender")</f>
        <v>I dnt know how to join where in my table chat where field sender join with table user where id = sender</v>
      </c>
      <c r="F477" s="42" t="str">
        <f>IFERROR(__xludf.DUMMYFUNCTION("""COMPUTED_VALUE"""),"try join, integration backend and frontend")</f>
        <v>try join, integration backend and frontend</v>
      </c>
    </row>
    <row r="478">
      <c r="A478" s="43">
        <f>IFERROR(__xludf.DUMMYFUNCTION("""COMPUTED_VALUE"""),44159.3911102662)</f>
        <v>44159.39111</v>
      </c>
      <c r="B478" s="42" t="str">
        <f>IFERROR(__xludf.DUMMYFUNCTION("""COMPUTED_VALUE"""),"Iqbal Athorid")</f>
        <v>Iqbal Athorid</v>
      </c>
      <c r="C478" s="44">
        <f>IFERROR(__xludf.DUMMYFUNCTION("""COMPUTED_VALUE"""),44159.0)</f>
        <v>44159</v>
      </c>
      <c r="D478" s="42" t="str">
        <f>IFERROR(__xludf.DUMMYFUNCTION("""COMPUTED_VALUE"""),"created CRUD user,create phoneNumber with multer,jwt,createMessage,listMessage, integrate backend frontend (create phone)")</f>
        <v>created CRUD user,create phoneNumber with multer,jwt,createMessage,listMessage, integrate backend frontend (create phone)</v>
      </c>
      <c r="E478" s="42" t="str">
        <f>IFERROR(__xludf.DUMMYFUNCTION("""COMPUTED_VALUE"""),"helpers http return, http.post is not funtion, when list message must use fist sender , when list chat must must get from new table")</f>
        <v>helpers http return, http.post is not funtion, when list message must use fist sender , when list chat must must get from new table</v>
      </c>
      <c r="F478" s="42" t="str">
        <f>IFERROR(__xludf.DUMMYFUNCTION("""COMPUTED_VALUE"""),"fixed backend")</f>
        <v>fixed backend</v>
      </c>
    </row>
    <row r="479">
      <c r="A479" s="43">
        <f>IFERROR(__xludf.DUMMYFUNCTION("""COMPUTED_VALUE"""),44159.39314284722)</f>
        <v>44159.39314</v>
      </c>
      <c r="B479" s="42" t="str">
        <f>IFERROR(__xludf.DUMMYFUNCTION("""COMPUTED_VALUE"""),"Muhammad Abdurasyid")</f>
        <v>Muhammad Abdurasyid</v>
      </c>
      <c r="C479" s="44">
        <f>IFERROR(__xludf.DUMMYFUNCTION("""COMPUTED_VALUE"""),44159.0)</f>
        <v>44159</v>
      </c>
      <c r="D479" s="42" t="str">
        <f>IFERROR(__xludf.DUMMYFUNCTION("""COMPUTED_VALUE"""),"Backend
1. Membuat endpoint utk model message antara lain: create message, delete message, get message detail, get message list
2. Membuat endpoint utk model friend antara lain: add friend, delete friend, get friend list
Frontend
Menghubungkan ke backend"&amp;" di bagian forgot password dan pengecekan apakah phone number sudah terdaftar utk menentukan flow login by phone number atau register new user")</f>
        <v>Backend
1. Membuat endpoint utk model message antara lain: create message, delete message, get message detail, get message list
2. Membuat endpoint utk model friend antara lain: add friend, delete friend, get friend list
Frontend
Menghubungkan ke backend di bagian forgot password dan pengecekan apakah phone number sudah terdaftar utk menentukan flow login by phone number atau register new user</v>
      </c>
      <c r="E479" s="42" t="str">
        <f>IFERROR(__xludf.DUMMYFUNCTION("""COMPUTED_VALUE"""),"Saya sedikit kesulitan di pembuatan query utk mendapatkan list message terakhir, solusi sudah teratasi dgn menambahkan column isLatest pada tabel message utk get message terakhir")</f>
        <v>Saya sedikit kesulitan di pembuatan query utk mendapatkan list message terakhir, solusi sudah teratasi dgn menambahkan column isLatest pada tabel message utk get message terakhir</v>
      </c>
      <c r="F479" s="42" t="str">
        <f>IFERROR(__xludf.DUMMYFUNCTION("""COMPUTED_VALUE"""),"Menghubungkan backend di bagian get message list, message room, create message, get profile, update profile")</f>
        <v>Menghubungkan backend di bagian get message list, message room, create message, get profile, update profile</v>
      </c>
    </row>
    <row r="480">
      <c r="A480" s="43">
        <f>IFERROR(__xludf.DUMMYFUNCTION("""COMPUTED_VALUE"""),44159.3947690162)</f>
        <v>44159.39477</v>
      </c>
      <c r="B480" s="42" t="str">
        <f>IFERROR(__xludf.DUMMYFUNCTION("""COMPUTED_VALUE"""),"Ahmad Fatkhul Amam")</f>
        <v>Ahmad Fatkhul Amam</v>
      </c>
      <c r="C480" s="44">
        <f>IFERROR(__xludf.DUMMYFUNCTION("""COMPUTED_VALUE"""),44159.0)</f>
        <v>44159</v>
      </c>
      <c r="D480" s="42" t="str">
        <f>IFERROR(__xludf.DUMMYFUNCTION("""COMPUTED_VALUE"""),"fixing backend(input chat, and show chat), manage register user, manage chat app contact, manage detail chat, input chat in frontend")</f>
        <v>fixing backend(input chat, and show chat), manage register user, manage chat app contact, manage detail chat, input chat in frontend</v>
      </c>
      <c r="E480" s="42" t="str">
        <f>IFERROR(__xludf.DUMMYFUNCTION("""COMPUTED_VALUE"""),"how show input chat list with newest chat")</f>
        <v>how show input chat list with newest chat</v>
      </c>
      <c r="F480" s="42" t="str">
        <f>IFERROR(__xludf.DUMMYFUNCTION("""COMPUTED_VALUE"""),"manage chat list and user profile")</f>
        <v>manage chat list and user profile</v>
      </c>
    </row>
    <row r="481">
      <c r="A481" s="43">
        <f>IFERROR(__xludf.DUMMYFUNCTION("""COMPUTED_VALUE"""),44159.395709143515)</f>
        <v>44159.39571</v>
      </c>
      <c r="B481" s="42" t="str">
        <f>IFERROR(__xludf.DUMMYFUNCTION("""COMPUTED_VALUE"""),"Pramesti Regita Cahyani")</f>
        <v>Pramesti Regita Cahyani</v>
      </c>
      <c r="C481" s="44">
        <f>IFERROR(__xludf.DUMMYFUNCTION("""COMPUTED_VALUE"""),44159.0)</f>
        <v>44159</v>
      </c>
      <c r="D481" s="42" t="str">
        <f>IFERROR(__xludf.DUMMYFUNCTION("""COMPUTED_VALUE"""),"Mengimplementasikan get Messages, dan delete message")</f>
        <v>Mengimplementasikan get Messages, dan delete message</v>
      </c>
      <c r="E481" s="42" t="str">
        <f>IFERROR(__xludf.DUMMYFUNCTION("""COMPUTED_VALUE"""),"ketika delete last message masih belum menemukan logika untuk mengubah message sebelumnya lastMsg nya menjadi true")</f>
        <v>ketika delete last message masih belum menemukan logika untuk mengubah message sebelumnya lastMsg nya menjadi true</v>
      </c>
      <c r="F481" s="42" t="str">
        <f>IFERROR(__xludf.DUMMYFUNCTION("""COMPUTED_VALUE"""),"menyelesaikan backend dan selanjutnya mengkonfigurasi redux")</f>
        <v>menyelesaikan backend dan selanjutnya mengkonfigurasi redux</v>
      </c>
    </row>
    <row r="482">
      <c r="A482" s="43">
        <f>IFERROR(__xludf.DUMMYFUNCTION("""COMPUTED_VALUE"""),44159.398841250004)</f>
        <v>44159.39884</v>
      </c>
      <c r="B482" s="42" t="str">
        <f>IFERROR(__xludf.DUMMYFUNCTION("""COMPUTED_VALUE"""),"Fahmi Aziz Ismail")</f>
        <v>Fahmi Aziz Ismail</v>
      </c>
      <c r="C482" s="44">
        <f>IFERROR(__xludf.DUMMYFUNCTION("""COMPUTED_VALUE"""),44159.0)</f>
        <v>44159</v>
      </c>
      <c r="D482" s="42" t="str">
        <f>IFERROR(__xludf.DUMMYFUNCTION("""COMPUTED_VALUE"""),"menghubungkan frontend ke backend bagian register, update profile, dan add contact, membuat  fungsi kirim pesan dan bac pesan di backend")</f>
        <v>menghubungkan frontend ke backend bagian register, update profile, dan add contact, membuat  fungsi kirim pesan dan bac pesan di backend</v>
      </c>
      <c r="E482" s="42" t="str">
        <f>IFERROR(__xludf.DUMMYFUNCTION("""COMPUTED_VALUE"""),"belum bisa implementasi list chat ")</f>
        <v>belum bisa implementasi list chat </v>
      </c>
      <c r="F482" s="42" t="str">
        <f>IFERROR(__xludf.DUMMYFUNCTION("""COMPUTED_VALUE"""),"membuat fungsi kirim pesan dan baca pesan di frontend")</f>
        <v>membuat fungsi kirim pesan dan baca pesan di frontend</v>
      </c>
    </row>
    <row r="483">
      <c r="A483" s="43">
        <f>IFERROR(__xludf.DUMMYFUNCTION("""COMPUTED_VALUE"""),44159.40207486111)</f>
        <v>44159.40207</v>
      </c>
      <c r="B483" s="42" t="str">
        <f>IFERROR(__xludf.DUMMYFUNCTION("""COMPUTED_VALUE"""),"Ahmad Asrofi")</f>
        <v>Ahmad Asrofi</v>
      </c>
      <c r="C483" s="44">
        <f>IFERROR(__xludf.DUMMYFUNCTION("""COMPUTED_VALUE"""),44159.0)</f>
        <v>44159</v>
      </c>
      <c r="D483" s="42" t="str">
        <f>IFERROR(__xludf.DUMMYFUNCTION("""COMPUTED_VALUE"""),"adding friends and messages controller for backend. adding list contact screen for frontend")</f>
        <v>adding friends and messages controller for backend. adding list contact screen for frontend</v>
      </c>
      <c r="E483" s="42"/>
      <c r="F483" s="42" t="str">
        <f>IFERROR(__xludf.DUMMYFUNCTION("""COMPUTED_VALUE"""),"implement redux in frontend")</f>
        <v>implement redux in frontend</v>
      </c>
    </row>
    <row r="484">
      <c r="A484" s="43">
        <f>IFERROR(__xludf.DUMMYFUNCTION("""COMPUTED_VALUE"""),44159.492482939815)</f>
        <v>44159.49248</v>
      </c>
      <c r="B484" s="42" t="str">
        <f>IFERROR(__xludf.DUMMYFUNCTION("""COMPUTED_VALUE"""),"Satrio Nugroho")</f>
        <v>Satrio Nugroho</v>
      </c>
      <c r="C484" s="44">
        <f>IFERROR(__xludf.DUMMYFUNCTION("""COMPUTED_VALUE"""),44159.0)</f>
        <v>44159</v>
      </c>
      <c r="D484" s="42" t="str">
        <f>IFERROR(__xludf.DUMMYFUNCTION("""COMPUTED_VALUE"""),"untuk flow utama backend di user sudah.. sama flow tampilan di front juga sudah")</f>
        <v>untuk flow utama backend di user sudah.. sama flow tampilan di front juga sudah</v>
      </c>
      <c r="E484" s="42"/>
      <c r="F484" s="42" t="str">
        <f>IFERROR(__xludf.DUMMYFUNCTION("""COMPUTED_VALUE"""),"hari ini saya akan mengerjakan dibagian backend untuk message, trus lanjut ke integrasi backend")</f>
        <v>hari ini saya akan mengerjakan dibagian backend untuk message, trus lanjut ke integrasi backend</v>
      </c>
    </row>
    <row r="485">
      <c r="A485" s="43">
        <f>IFERROR(__xludf.DUMMYFUNCTION("""COMPUTED_VALUE"""),44159.49502289352)</f>
        <v>44159.49502</v>
      </c>
      <c r="B485" s="42" t="str">
        <f>IFERROR(__xludf.DUMMYFUNCTION("""COMPUTED_VALUE"""),"Timotius Simanjuntak")</f>
        <v>Timotius Simanjuntak</v>
      </c>
      <c r="C485" s="44">
        <f>IFERROR(__xludf.DUMMYFUNCTION("""COMPUTED_VALUE"""),44159.0)</f>
        <v>44159</v>
      </c>
      <c r="D485" s="42" t="str">
        <f>IFERROR(__xludf.DUMMYFUNCTION("""COMPUTED_VALUE"""),"backend: creating mvc: auth, message, user,
update profile, login with email, login with phone number, signup with email, signup with phone number, send message, get message detail, get all message, edit message, delete message")</f>
        <v>backend: creating mvc: auth, message, user,
update profile, login with email, login with phone number, signup with email, signup with phone number, send message, get message detail, get all message, edit message, delete message</v>
      </c>
      <c r="E485" s="42"/>
      <c r="F485" s="42" t="str">
        <f>IFERROR(__xludf.DUMMYFUNCTION("""COMPUTED_VALUE"""),"add some feature to message, and integrate to front end")</f>
        <v>add some feature to message, and integrate to front end</v>
      </c>
    </row>
    <row r="486">
      <c r="A486" s="43">
        <f>IFERROR(__xludf.DUMMYFUNCTION("""COMPUTED_VALUE"""),44160.37813993056)</f>
        <v>44160.37814</v>
      </c>
      <c r="B486" s="42" t="str">
        <f>IFERROR(__xludf.DUMMYFUNCTION("""COMPUTED_VALUE"""),"Pramesti Regita Cahyani")</f>
        <v>Pramesti Regita Cahyani</v>
      </c>
      <c r="C486" s="44">
        <f>IFERROR(__xludf.DUMMYFUNCTION("""COMPUTED_VALUE"""),44160.0)</f>
        <v>44160</v>
      </c>
      <c r="D486" s="42" t="str">
        <f>IFERROR(__xludf.DUMMYFUNCTION("""COMPUTED_VALUE"""),"Sudah mengimplementasikan redux ketika login/register, get pfrofile, set profile, get all message, get detail message, get friend detail, send message, update profile(name&amp;avatar)")</f>
        <v>Sudah mengimplementasikan redux ketika login/register, get pfrofile, set profile, get all message, get detail message, get friend detail, send message, update profile(name&amp;avatar)</v>
      </c>
      <c r="E486" s="42" t="str">
        <f>IFERROR(__xludf.DUMMYFUNCTION("""COMPUTED_VALUE"""),"di screen FriendInfo, headernya masih transparan dan ketika di scroll seharusnya namanya pindah ke samping tanda back, tapi karna rumit saya tinggal dulu
belum ada implementasi read di backend jadi tidak ada tanda checklist yang mengikuti kondisi sebenarn"&amp;"ya")</f>
        <v>di screen FriendInfo, headernya masih transparan dan ketika di scroll seharusnya namanya pindah ke samping tanda back, tapi karna rumit saya tinggal dulu
belum ada implementasi read di backend jadi tidak ada tanda checklist yang mengikuti kondisi sebenarnya</v>
      </c>
      <c r="F486" s="42" t="str">
        <f>IFERROR(__xludf.DUMMYFUNCTION("""COMPUTED_VALUE"""),"membuat aplikasi agar bisa digunakan secara realtime")</f>
        <v>membuat aplikasi agar bisa digunakan secara realtime</v>
      </c>
    </row>
    <row r="487">
      <c r="A487" s="43">
        <f>IFERROR(__xludf.DUMMYFUNCTION("""COMPUTED_VALUE"""),44160.38394699074)</f>
        <v>44160.38395</v>
      </c>
      <c r="B487" s="42" t="str">
        <f>IFERROR(__xludf.DUMMYFUNCTION("""COMPUTED_VALUE"""),"Ahmad Fatkhul Amam")</f>
        <v>Ahmad Fatkhul Amam</v>
      </c>
      <c r="C487" s="44">
        <f>IFERROR(__xludf.DUMMYFUNCTION("""COMPUTED_VALUE"""),44160.0)</f>
        <v>44160</v>
      </c>
      <c r="D487" s="42" t="str">
        <f>IFERROR(__xludf.DUMMYFUNCTION("""COMPUTED_VALUE"""),"update name and bio, show chat list, show contact detail, add login features  ")</f>
        <v>update name and bio, show chat list, show contact detail, add login features  </v>
      </c>
      <c r="E487" s="42" t="str">
        <f>IFERROR(__xludf.DUMMYFUNCTION("""COMPUTED_VALUE"""),"update profile (requires a lot of experimentation)")</f>
        <v>update profile (requires a lot of experimentation)</v>
      </c>
      <c r="F487" s="42" t="str">
        <f>IFERROR(__xludf.DUMMYFUNCTION("""COMPUTED_VALUE"""),"handle some errors,add some features (set name after registering), fixing update avatar")</f>
        <v>handle some errors,add some features (set name after registering), fixing update avatar</v>
      </c>
    </row>
    <row r="488">
      <c r="A488" s="43">
        <f>IFERROR(__xludf.DUMMYFUNCTION("""COMPUTED_VALUE"""),44160.38854645833)</f>
        <v>44160.38855</v>
      </c>
      <c r="B488" s="42" t="str">
        <f>IFERROR(__xludf.DUMMYFUNCTION("""COMPUTED_VALUE"""),"Muhammad Abdurasyid")</f>
        <v>Muhammad Abdurasyid</v>
      </c>
      <c r="C488" s="44">
        <f>IFERROR(__xludf.DUMMYFUNCTION("""COMPUTED_VALUE"""),44160.0)</f>
        <v>44160</v>
      </c>
      <c r="D488" s="42" t="str">
        <f>IFERROR(__xludf.DUMMYFUNCTION("""COMPUTED_VALUE"""),"Menghubungkan frontend ke backend di bagian:
- get friend list
- add friend
- search user ID
- get latest message list
- get message detail / read message
- send message")</f>
        <v>Menghubungkan frontend ke backend di bagian:
- get friend list
- add friend
- search user ID
- get latest message list
- get message detail / read message
- send message</v>
      </c>
      <c r="E488" s="42"/>
      <c r="F488" s="42" t="str">
        <f>IFERROR(__xludf.DUMMYFUNCTION("""COMPUTED_VALUE"""),"Deploy backend ke AWS, mencoba membuat action onLongPress utk menampilkan modal hapus message &amp; friend")</f>
        <v>Deploy backend ke AWS, mencoba membuat action onLongPress utk menampilkan modal hapus message &amp; friend</v>
      </c>
    </row>
    <row r="489">
      <c r="A489" s="43">
        <f>IFERROR(__xludf.DUMMYFUNCTION("""COMPUTED_VALUE"""),44160.39064283565)</f>
        <v>44160.39064</v>
      </c>
      <c r="B489" s="42" t="str">
        <f>IFERROR(__xludf.DUMMYFUNCTION("""COMPUTED_VALUE"""),"Muhammad")</f>
        <v>Muhammad</v>
      </c>
      <c r="C489" s="44">
        <f>IFERROR(__xludf.DUMMYFUNCTION("""COMPUTED_VALUE"""),44160.0)</f>
        <v>44160</v>
      </c>
      <c r="D489" s="42" t="str">
        <f>IFERROR(__xludf.DUMMYFUNCTION("""COMPUTED_VALUE"""),"Get list message
Get message room
Get profile
Change profile image")</f>
        <v>Get list message
Get message room
Get profile
Change profile image</v>
      </c>
      <c r="E489" s="42" t="str">
        <f>IFERROR(__xludf.DUMMYFUNCTION("""COMPUTED_VALUE"""),"Send message
Change profile info")</f>
        <v>Send message
Change profile info</v>
      </c>
      <c r="F489" s="42" t="str">
        <f>IFERROR(__xludf.DUMMYFUNCTION("""COMPUTED_VALUE"""),"Fix send message
Fix change profile info
Crud contact
Real time message")</f>
        <v>Fix send message
Fix change profile info
Crud contact
Real time message</v>
      </c>
    </row>
    <row r="490">
      <c r="A490" s="43">
        <f>IFERROR(__xludf.DUMMYFUNCTION("""COMPUTED_VALUE"""),44160.391386041665)</f>
        <v>44160.39139</v>
      </c>
      <c r="B490" s="42" t="str">
        <f>IFERROR(__xludf.DUMMYFUNCTION("""COMPUTED_VALUE"""),"Wahyu Ramadhan")</f>
        <v>Wahyu Ramadhan</v>
      </c>
      <c r="C490" s="44">
        <f>IFERROR(__xludf.DUMMYFUNCTION("""COMPUTED_VALUE"""),44160.0)</f>
        <v>44160</v>
      </c>
      <c r="D490" s="42" t="str">
        <f>IFERROR(__xludf.DUMMYFUNCTION("""COMPUTED_VALUE"""),"fix list message in backend, integreate list message, integrate detail message, passing navigation, edit name user by token")</f>
        <v>fix list message in backend, integreate list message, integrate detail message, passing navigation, edit name user by token</v>
      </c>
      <c r="E490" s="42" t="str">
        <f>IFERROR(__xludf.DUMMYFUNCTION("""COMPUTED_VALUE"""),"not yet, solved")</f>
        <v>not yet, solved</v>
      </c>
      <c r="F490" s="42" t="str">
        <f>IFERROR(__xludf.DUMMYFUNCTION("""COMPUTED_VALUE"""),"integreate register")</f>
        <v>integreate register</v>
      </c>
    </row>
    <row r="491">
      <c r="A491" s="43">
        <f>IFERROR(__xludf.DUMMYFUNCTION("""COMPUTED_VALUE"""),44160.39563158565)</f>
        <v>44160.39563</v>
      </c>
      <c r="B491" s="42" t="str">
        <f>IFERROR(__xludf.DUMMYFUNCTION("""COMPUTED_VALUE"""),"Iqbal Athorid")</f>
        <v>Iqbal Athorid</v>
      </c>
      <c r="C491" s="44">
        <f>IFERROR(__xludf.DUMMYFUNCTION("""COMPUTED_VALUE"""),44160.0)</f>
        <v>44160</v>
      </c>
      <c r="D491" s="42" t="str">
        <f>IFERROR(__xludf.DUMMYFUNCTION("""COMPUTED_VALUE"""),"getMessage,GetListChat,fixed auth flow,fixed list message")</f>
        <v>getMessage,GetListChat,fixed auth flow,fixed list message</v>
      </c>
      <c r="E491" s="42" t="str">
        <f>IFERROR(__xludf.DUMMYFUNCTION("""COMPUTED_VALUE"""),"cant't reload app")</f>
        <v>cant't reload app</v>
      </c>
      <c r="F491" s="42" t="str">
        <f>IFERROR(__xludf.DUMMYFUNCTION("""COMPUTED_VALUE"""),"fixed errors")</f>
        <v>fixed errors</v>
      </c>
    </row>
    <row r="492">
      <c r="A492" s="43">
        <f>IFERROR(__xludf.DUMMYFUNCTION("""COMPUTED_VALUE"""),44160.39661135417)</f>
        <v>44160.39661</v>
      </c>
      <c r="B492" s="42" t="str">
        <f>IFERROR(__xludf.DUMMYFUNCTION("""COMPUTED_VALUE"""),"Furoidah Chilmi")</f>
        <v>Furoidah Chilmi</v>
      </c>
      <c r="C492" s="44">
        <f>IFERROR(__xludf.DUMMYFUNCTION("""COMPUTED_VALUE"""),44160.0)</f>
        <v>44160</v>
      </c>
      <c r="D492" s="42" t="str">
        <f>IFERROR(__xludf.DUMMYFUNCTION("""COMPUTED_VALUE"""),"- deploy backend
- fixing beberapa metode dalam post new message")</f>
        <v>- deploy backend
- fixing beberapa metode dalam post new message</v>
      </c>
      <c r="E492" s="42" t="str">
        <f>IFERROR(__xludf.DUMMYFUNCTION("""COMPUTED_VALUE"""),"- banyak error jadi progress sedikit
- lingkungan yg kurang mendukung")</f>
        <v>- banyak error jadi progress sedikit
- lingkungan yg kurang mendukung</v>
      </c>
      <c r="F492" s="42" t="str">
        <f>IFERROR(__xludf.DUMMYFUNCTION("""COMPUTED_VALUE"""),"melanjutkan yang progress yang seharusnya sudah selesai")</f>
        <v>melanjutkan yang progress yang seharusnya sudah selesai</v>
      </c>
    </row>
    <row r="493">
      <c r="A493" s="43">
        <f>IFERROR(__xludf.DUMMYFUNCTION("""COMPUTED_VALUE"""),44160.39697622685)</f>
        <v>44160.39698</v>
      </c>
      <c r="B493" s="42" t="str">
        <f>IFERROR(__xludf.DUMMYFUNCTION("""COMPUTED_VALUE"""),"Timotius Simanjuntak")</f>
        <v>Timotius Simanjuntak</v>
      </c>
      <c r="C493" s="44">
        <f>IFERROR(__xludf.DUMMYFUNCTION("""COMPUTED_VALUE"""),44160.0)</f>
        <v>44160</v>
      </c>
      <c r="D493" s="42" t="str">
        <f>IFERROR(__xludf.DUMMYFUNCTION("""COMPUTED_VALUE"""),"fixing message in backend, integrate a little in frontend, such as get all message")</f>
        <v>fixing message in backend, integrate a little in frontend, such as get all message</v>
      </c>
      <c r="E493" s="42" t="str">
        <f>IFERROR(__xludf.DUMMYFUNCTION("""COMPUTED_VALUE"""),"my message got multiply render like one chat can have 2 list chat, and the message is not get from latest send")</f>
        <v>my message got multiply render like one chat can have 2 list chat, and the message is not get from latest send</v>
      </c>
      <c r="F493" s="42" t="str">
        <f>IFERROR(__xludf.DUMMYFUNCTION("""COMPUTED_VALUE"""),"fixing it")</f>
        <v>fixing it</v>
      </c>
    </row>
    <row r="494">
      <c r="A494" s="43">
        <f>IFERROR(__xludf.DUMMYFUNCTION("""COMPUTED_VALUE"""),44160.399507800925)</f>
        <v>44160.39951</v>
      </c>
      <c r="B494" s="42" t="str">
        <f>IFERROR(__xludf.DUMMYFUNCTION("""COMPUTED_VALUE"""),"Fahmi Aziz Ismail")</f>
        <v>Fahmi Aziz Ismail</v>
      </c>
      <c r="C494" s="44">
        <f>IFERROR(__xludf.DUMMYFUNCTION("""COMPUTED_VALUE"""),44160.0)</f>
        <v>44160</v>
      </c>
      <c r="D494" s="42" t="str">
        <f>IFERROR(__xludf.DUMMYFUNCTION("""COMPUTED_VALUE"""),"menampilkan daftar teman, membaca pesan di frontend, mengirim pesan di frontend, memperbaiki chatlist di backend")</f>
        <v>menampilkan daftar teman, membaca pesan di frontend, mengirim pesan di frontend, memperbaiki chatlist di backend</v>
      </c>
      <c r="E494" s="42"/>
      <c r="F494" s="42" t="str">
        <f>IFERROR(__xludf.DUMMYFUNCTION("""COMPUTED_VALUE"""),"implementasi associate, upload photo di frontend dan backend, menampilkan chatist di frontend")</f>
        <v>implementasi associate, upload photo di frontend dan backend, menampilkan chatist di frontend</v>
      </c>
    </row>
    <row r="495">
      <c r="A495" s="43">
        <f>IFERROR(__xludf.DUMMYFUNCTION("""COMPUTED_VALUE"""),44160.40147967593)</f>
        <v>44160.40148</v>
      </c>
      <c r="B495" s="42" t="str">
        <f>IFERROR(__xludf.DUMMYFUNCTION("""COMPUTED_VALUE"""),"Muhamad Faris Alkodri")</f>
        <v>Muhamad Faris Alkodri</v>
      </c>
      <c r="C495" s="44">
        <f>IFERROR(__xludf.DUMMYFUNCTION("""COMPUTED_VALUE"""),44160.0)</f>
        <v>44160</v>
      </c>
      <c r="D495" s="42" t="str">
        <f>IFERROR(__xludf.DUMMYFUNCTION("""COMPUTED_VALUE"""),"Succeafully send chat, update profile")</f>
        <v>Succeafully send chat, update profile</v>
      </c>
      <c r="E495" s="42" t="str">
        <f>IFERROR(__xludf.DUMMYFUNCTION("""COMPUTED_VALUE"""),"There is no serious problem at all")</f>
        <v>There is no serious problem at all</v>
      </c>
      <c r="F495" s="42" t="str">
        <f>IFERROR(__xludf.DUMMYFUNCTION("""COMPUTED_VALUE"""),"I want to add image picker and creating route for new chat")</f>
        <v>I want to add image picker and creating route for new chat</v>
      </c>
    </row>
    <row r="496">
      <c r="A496" s="43">
        <f>IFERROR(__xludf.DUMMYFUNCTION("""COMPUTED_VALUE"""),44160.4122855787)</f>
        <v>44160.41229</v>
      </c>
      <c r="B496" s="42" t="str">
        <f>IFERROR(__xludf.DUMMYFUNCTION("""COMPUTED_VALUE"""),"Rezha Maulana Jaya")</f>
        <v>Rezha Maulana Jaya</v>
      </c>
      <c r="C496" s="44">
        <f>IFERROR(__xludf.DUMMYFUNCTION("""COMPUTED_VALUE"""),44160.0)</f>
        <v>44160</v>
      </c>
      <c r="D496" s="42" t="str">
        <f>IFERROR(__xludf.DUMMYFUNCTION("""COMPUTED_VALUE"""),"chat room ,list chat,delete chat")</f>
        <v>chat room ,list chat,delete chat</v>
      </c>
      <c r="E496" s="42" t="str">
        <f>IFERROR(__xludf.DUMMYFUNCTION("""COMPUTED_VALUE"""),"isLatenya belum ke implementasi ")</f>
        <v>isLatenya belum ke implementasi </v>
      </c>
      <c r="F496" s="42" t="str">
        <f>IFERROR(__xludf.DUMMYFUNCTION("""COMPUTED_VALUE"""),"hari ini mau rapihin frontend sama  konekin backendnya")</f>
        <v>hari ini mau rapihin frontend sama  konekin backendnya</v>
      </c>
    </row>
    <row r="497">
      <c r="A497" s="43">
        <f>IFERROR(__xludf.DUMMYFUNCTION("""COMPUTED_VALUE"""),44160.418339375)</f>
        <v>44160.41834</v>
      </c>
      <c r="B497" s="42" t="str">
        <f>IFERROR(__xludf.DUMMYFUNCTION("""COMPUTED_VALUE"""),"Ahmad Asrofi")</f>
        <v>Ahmad Asrofi</v>
      </c>
      <c r="C497" s="44">
        <f>IFERROR(__xludf.DUMMYFUNCTION("""COMPUTED_VALUE"""),44160.0)</f>
        <v>44160</v>
      </c>
      <c r="D497" s="42" t="str">
        <f>IFERROR(__xludf.DUMMYFUNCTION("""COMPUTED_VALUE"""),"implement redux, register, auth flow, update profile, upload image, list of contact")</f>
        <v>implement redux, register, auth flow, update profile, upload image, list of contact</v>
      </c>
      <c r="E497" s="42"/>
      <c r="F497" s="42" t="str">
        <f>IFERROR(__xludf.DUMMYFUNCTION("""COMPUTED_VALUE"""),"get list chat, get chat detail for frontend")</f>
        <v>get list chat, get chat detail for frontend</v>
      </c>
    </row>
    <row r="498">
      <c r="A498" s="43">
        <f>IFERROR(__xludf.DUMMYFUNCTION("""COMPUTED_VALUE"""),44160.44059966435)</f>
        <v>44160.4406</v>
      </c>
      <c r="B498" s="42" t="str">
        <f>IFERROR(__xludf.DUMMYFUNCTION("""COMPUTED_VALUE"""),"Satrio Nugroho")</f>
        <v>Satrio Nugroho</v>
      </c>
      <c r="C498" s="44">
        <f>IFERROR(__xludf.DUMMYFUNCTION("""COMPUTED_VALUE"""),44160.0)</f>
        <v>44160</v>
      </c>
      <c r="D498" s="42" t="str">
        <f>IFERROR(__xludf.DUMMYFUNCTION("""COMPUTED_VALUE"""),"membuat pesan/chat dibackend masing dalam tahap testing... terus mencoba integrate ke frontend di backend nya masih ada yang bermasalah ")</f>
        <v>membuat pesan/chat dibackend masing dalam tahap testing... terus mencoba integrate ke frontend di backend nya masih ada yang bermasalah </v>
      </c>
      <c r="E498" s="42"/>
      <c r="F498" s="42" t="str">
        <f>IFERROR(__xludf.DUMMYFUNCTION("""COMPUTED_VALUE"""),"hari ini saya fokus selesaikan fixing di backend..agar dapat lanjut ketahap integrate  di frontend.. untuk frontend integrate baru login")</f>
        <v>hari ini saya fokus selesaikan fixing di backend..agar dapat lanjut ketahap integrate  di frontend.. untuk frontend integrate baru login</v>
      </c>
    </row>
    <row r="499">
      <c r="A499" s="43">
        <f>IFERROR(__xludf.DUMMYFUNCTION("""COMPUTED_VALUE"""),44161.381886944444)</f>
        <v>44161.38189</v>
      </c>
      <c r="B499" s="42" t="str">
        <f>IFERROR(__xludf.DUMMYFUNCTION("""COMPUTED_VALUE"""),"Furoidah Chilmi")</f>
        <v>Furoidah Chilmi</v>
      </c>
      <c r="C499" s="44">
        <f>IFERROR(__xludf.DUMMYFUNCTION("""COMPUTED_VALUE"""),44161.0)</f>
        <v>44161</v>
      </c>
      <c r="D499" s="42" t="str">
        <f>IFERROR(__xludf.DUMMYFUNCTION("""COMPUTED_VALUE"""),"- fixing beberapa bagian di backend
- memperbaiki screen chatroom
- memperbaiki screen chat list
- memperbaiki post new chat
- show contact info (friend)
- show profile info 
- edit profile info
- change ava profile
- screen contact dan integrasi ke backe"&amp;"nd
- memperbaiki bottom tabs ")</f>
        <v>- fixing beberapa bagian di backend
- memperbaiki screen chatroom
- memperbaiki screen chat list
- memperbaiki post new chat
- show contact info (friend)
- show profile info 
- edit profile info
- change ava profile
- screen contact dan integrasi ke backend
- memperbaiki bottom tabs </v>
      </c>
      <c r="E499" s="42" t="str">
        <f>IFERROR(__xludf.DUMMYFUNCTION("""COMPUTED_VALUE"""),"-")</f>
        <v>-</v>
      </c>
      <c r="F499" s="42" t="str">
        <f>IFERROR(__xludf.DUMMYFUNCTION("""COMPUTED_VALUE"""),"Lanjut search, start new chat, menerapkan real time, ikon and name app, splash screen")</f>
        <v>Lanjut search, start new chat, menerapkan real time, ikon and name app, splash screen</v>
      </c>
    </row>
    <row r="500">
      <c r="A500" s="43">
        <f>IFERROR(__xludf.DUMMYFUNCTION("""COMPUTED_VALUE"""),44161.3819386574)</f>
        <v>44161.38194</v>
      </c>
      <c r="B500" s="42" t="str">
        <f>IFERROR(__xludf.DUMMYFUNCTION("""COMPUTED_VALUE"""),"Muhammad Abdurasyid")</f>
        <v>Muhammad Abdurasyid</v>
      </c>
      <c r="C500" s="44">
        <f>IFERROR(__xludf.DUMMYFUNCTION("""COMPUTED_VALUE"""),44161.0)</f>
        <v>44161</v>
      </c>
      <c r="D500" s="42" t="str">
        <f>IFERROR(__xludf.DUMMYFUNCTION("""COMPUTED_VALUE"""),"Backend
1. Menambahkan pagination di endpoint get latest message list &amp; message room
2. Menambahkan sort by createdAt descending utk endpoint get message room
Frontend
1. Menambahkan splash screen
2. Menambahkan pagination/infinite scroll di screen main "&amp;"(latest message) &amp; message room
3. Menambahkan modal utk menampilkan detail teman
4. Menghubungkan ke backend utk proses hapus teman")</f>
        <v>Backend
1. Menambahkan pagination di endpoint get latest message list &amp; message room
2. Menambahkan sort by createdAt descending utk endpoint get message room
Frontend
1. Menambahkan splash screen
2. Menambahkan pagination/infinite scroll di screen main (latest message) &amp; message room
3. Menambahkan modal utk menampilkan detail teman
4. Menghubungkan ke backend utk proses hapus teman</v>
      </c>
      <c r="E500" s="42"/>
      <c r="F500" s="42" t="str">
        <f>IFERROR(__xludf.DUMMYFUNCTION("""COMPUTED_VALUE"""),"Deploy backend ke AWS")</f>
        <v>Deploy backend ke AWS</v>
      </c>
    </row>
    <row r="501">
      <c r="A501" s="43">
        <f>IFERROR(__xludf.DUMMYFUNCTION("""COMPUTED_VALUE"""),44161.38760834491)</f>
        <v>44161.38761</v>
      </c>
      <c r="B501" s="42" t="str">
        <f>IFERROR(__xludf.DUMMYFUNCTION("""COMPUTED_VALUE"""),"Pramesti Regita Cahyani")</f>
        <v>Pramesti Regita Cahyani</v>
      </c>
      <c r="C501" s="44">
        <f>IFERROR(__xludf.DUMMYFUNCTION("""COMPUTED_VALUE"""),44161.0)</f>
        <v>44161</v>
      </c>
      <c r="D501" s="42" t="str">
        <f>IFERROR(__xludf.DUMMYFUNCTION("""COMPUTED_VALUE"""),"Memperbaiki backend untuk content yang lebih panjang dari 35 character, menambahkan route untuk get all user dan search user,
untuk frontend menambahkan screen untuk melihat contact")</f>
        <v>Memperbaiki backend untuk content yang lebih panjang dari 35 character, menambahkan route untuk get all user dan search user,
untuk frontend menambahkan screen untuk melihat contact</v>
      </c>
      <c r="E501" s="42" t="str">
        <f>IFERROR(__xludf.DUMMYFUNCTION("""COMPUTED_VALUE"""),"belum menemukan masalah lain")</f>
        <v>belum menemukan masalah lain</v>
      </c>
      <c r="F501" s="42" t="str">
        <f>IFERROR(__xludf.DUMMYFUNCTION("""COMPUTED_VALUE"""),"menyelesaikan searching contact di frontend")</f>
        <v>menyelesaikan searching contact di frontend</v>
      </c>
    </row>
    <row r="502">
      <c r="A502" s="43">
        <f>IFERROR(__xludf.DUMMYFUNCTION("""COMPUTED_VALUE"""),44161.38962138889)</f>
        <v>44161.38962</v>
      </c>
      <c r="B502" s="42" t="str">
        <f>IFERROR(__xludf.DUMMYFUNCTION("""COMPUTED_VALUE"""),"Muhamad Faris Alkodri")</f>
        <v>Muhamad Faris Alkodri</v>
      </c>
      <c r="C502" s="44">
        <f>IFERROR(__xludf.DUMMYFUNCTION("""COMPUTED_VALUE"""),44161.0)</f>
        <v>44161</v>
      </c>
      <c r="D502" s="42" t="str">
        <f>IFERROR(__xludf.DUMMYFUNCTION("""COMPUTED_VALUE"""),"I have finished the upload avatar, finieshed creating backend route for get all user, search user, add friend, get all friend, unfriend, and also integrate friend with frontend and selecting friend to chat")</f>
        <v>I have finished the upload avatar, finieshed creating backend route for get all user, search user, add friend, get all friend, unfriend, and also integrate friend with frontend and selecting friend to chat</v>
      </c>
      <c r="E502" s="42" t="str">
        <f>IFERROR(__xludf.DUMMYFUNCTION("""COMPUTED_VALUE"""),"i have a problem, when i was editing style, unfortunately i was dong typo on padding property, the code goes an error, and i fixed it, but as soon as i save the code, the app stuck in last save, after saving many times the app dont want to refresh, and i "&amp;"also close and open the metro bundler, but there is no change")</f>
        <v>i have a problem, when i was editing style, unfortunately i was dong typo on padding property, the code goes an error, and i fixed it, but as soon as i save the code, the app stuck in last save, after saving many times the app dont want to refresh, and i also close and open the metro bundler, but there is no change</v>
      </c>
      <c r="F502" s="42" t="str">
        <f>IFERROR(__xludf.DUMMYFUNCTION("""COMPUTED_VALUE"""),"i want to implementing get all user, add friend, unfriend in my code")</f>
        <v>i want to implementing get all user, add friend, unfriend in my code</v>
      </c>
    </row>
    <row r="503">
      <c r="A503" s="43">
        <f>IFERROR(__xludf.DUMMYFUNCTION("""COMPUTED_VALUE"""),44161.39027606482)</f>
        <v>44161.39028</v>
      </c>
      <c r="B503" s="42" t="str">
        <f>IFERROR(__xludf.DUMMYFUNCTION("""COMPUTED_VALUE"""),"Muhammad")</f>
        <v>Muhammad</v>
      </c>
      <c r="C503" s="44">
        <f>IFERROR(__xludf.DUMMYFUNCTION("""COMPUTED_VALUE"""),44161.0)</f>
        <v>44161</v>
      </c>
      <c r="D503" s="42" t="str">
        <f>IFERROR(__xludf.DUMMYFUNCTION("""COMPUTED_VALUE"""),"Fix list message
Fix edit profile")</f>
        <v>Fix list message
Fix edit profile</v>
      </c>
      <c r="E503" s="42"/>
      <c r="F503" s="42" t="str">
        <f>IFERROR(__xludf.DUMMYFUNCTION("""COMPUTED_VALUE"""),"Fix pagination and realtime messaging")</f>
        <v>Fix pagination and realtime messaging</v>
      </c>
    </row>
    <row r="504">
      <c r="A504" s="43">
        <f>IFERROR(__xludf.DUMMYFUNCTION("""COMPUTED_VALUE"""),44161.3908116088)</f>
        <v>44161.39081</v>
      </c>
      <c r="B504" s="42" t="str">
        <f>IFERROR(__xludf.DUMMYFUNCTION("""COMPUTED_VALUE"""),"Timotius Simanjuntak")</f>
        <v>Timotius Simanjuntak</v>
      </c>
      <c r="C504" s="44">
        <f>IFERROR(__xludf.DUMMYFUNCTION("""COMPUTED_VALUE"""),44161.0)</f>
        <v>44161</v>
      </c>
      <c r="D504" s="42" t="str">
        <f>IFERROR(__xludf.DUMMYFUNCTION("""COMPUTED_VALUE"""),"still working on message in backend")</f>
        <v>still working on message in backend</v>
      </c>
      <c r="E504" s="42" t="str">
        <f>IFERROR(__xludf.DUMMYFUNCTION("""COMPUTED_VALUE"""),"i still stuck in message, is not show properly when integrate to front end")</f>
        <v>i still stuck in message, is not show properly when integrate to front end</v>
      </c>
      <c r="F504" s="42" t="str">
        <f>IFERROR(__xludf.DUMMYFUNCTION("""COMPUTED_VALUE"""),"atleast finishing integrate message to front end")</f>
        <v>atleast finishing integrate message to front end</v>
      </c>
    </row>
    <row r="505">
      <c r="A505" s="43">
        <f>IFERROR(__xludf.DUMMYFUNCTION("""COMPUTED_VALUE"""),44161.39554789352)</f>
        <v>44161.39555</v>
      </c>
      <c r="B505" s="42" t="str">
        <f>IFERROR(__xludf.DUMMYFUNCTION("""COMPUTED_VALUE"""),"Iqbal Athorid")</f>
        <v>Iqbal Athorid</v>
      </c>
      <c r="C505" s="44">
        <f>IFERROR(__xludf.DUMMYFUNCTION("""COMPUTED_VALUE"""),44161.0)</f>
        <v>44161</v>
      </c>
      <c r="D505" s="42" t="str">
        <f>IFERROR(__xludf.DUMMYFUNCTION("""COMPUTED_VALUE"""),"change image (only display), move source from project error to new project, fixed backend in chatist,  display chat list, dispay message, with conditional rendering")</f>
        <v>change image (only display), move source from project error to new project, fixed backend in chatist,  display chat list, dispay message, with conditional rendering</v>
      </c>
      <c r="E505" s="42" t="str">
        <f>IFERROR(__xludf.DUMMYFUNCTION("""COMPUTED_VALUE"""),"package jsonwebtoken error, when imported")</f>
        <v>package jsonwebtoken error, when imported</v>
      </c>
      <c r="F505" s="42" t="str">
        <f>IFERROR(__xludf.DUMMYFUNCTION("""COMPUTED_VALUE"""),"finish the project")</f>
        <v>finish the project</v>
      </c>
    </row>
    <row r="506">
      <c r="A506" s="43">
        <f>IFERROR(__xludf.DUMMYFUNCTION("""COMPUTED_VALUE"""),44161.39704631944)</f>
        <v>44161.39705</v>
      </c>
      <c r="B506" s="42" t="str">
        <f>IFERROR(__xludf.DUMMYFUNCTION("""COMPUTED_VALUE"""),"Fahmi Aziz Ismail")</f>
        <v>Fahmi Aziz Ismail</v>
      </c>
      <c r="C506" s="44">
        <f>IFERROR(__xludf.DUMMYFUNCTION("""COMPUTED_VALUE"""),44161.0)</f>
        <v>44161</v>
      </c>
      <c r="D506" s="42" t="str">
        <f>IFERROR(__xludf.DUMMYFUNCTION("""COMPUTED_VALUE"""),"implementasi association dan pagination di backend, upload image di backend, menampilkan data chatlist di frontend,")</f>
        <v>implementasi association dan pagination di backend, upload image di backend, menampilkan data chatlist di frontend,</v>
      </c>
      <c r="E506" s="42"/>
      <c r="F506" s="42" t="str">
        <f>IFERROR(__xludf.DUMMYFUNCTION("""COMPUTED_VALUE"""),"upload image di frontend, detail friend di frontend")</f>
        <v>upload image di frontend, detail friend di frontend</v>
      </c>
    </row>
    <row r="507">
      <c r="A507" s="43">
        <f>IFERROR(__xludf.DUMMYFUNCTION("""COMPUTED_VALUE"""),44161.397418946755)</f>
        <v>44161.39742</v>
      </c>
      <c r="B507" s="42" t="str">
        <f>IFERROR(__xludf.DUMMYFUNCTION("""COMPUTED_VALUE"""),"Ahmad Asrofi")</f>
        <v>Ahmad Asrofi</v>
      </c>
      <c r="C507" s="44">
        <f>IFERROR(__xludf.DUMMYFUNCTION("""COMPUTED_VALUE"""),44161.0)</f>
        <v>44161</v>
      </c>
      <c r="D507" s="42" t="str">
        <f>IFERROR(__xludf.DUMMYFUNCTION("""COMPUTED_VALUE"""),"adding list chat and chat detail for frontend. get data user in detail user")</f>
        <v>adding list chat and chat detail for frontend. get data user in detail user</v>
      </c>
      <c r="E507" s="42"/>
      <c r="F507" s="42" t="str">
        <f>IFERROR(__xludf.DUMMYFUNCTION("""COMPUTED_VALUE"""),"get detail friend, update friend name, logout")</f>
        <v>get detail friend, update friend name, logout</v>
      </c>
    </row>
    <row r="508">
      <c r="A508" s="43">
        <f>IFERROR(__xludf.DUMMYFUNCTION("""COMPUTED_VALUE"""),44161.40074269676)</f>
        <v>44161.40074</v>
      </c>
      <c r="B508" s="42" t="str">
        <f>IFERROR(__xludf.DUMMYFUNCTION("""COMPUTED_VALUE"""),"Ahmad Fatkhul Amam")</f>
        <v>Ahmad Fatkhul Amam</v>
      </c>
      <c r="C508" s="44">
        <f>IFERROR(__xludf.DUMMYFUNCTION("""COMPUTED_VALUE"""),44161.0)</f>
        <v>44161</v>
      </c>
      <c r="D508" s="42" t="str">
        <f>IFERROR(__xludf.DUMMYFUNCTION("""COMPUTED_VALUE"""),"upload image on frontend, add chat list pagination on backend, fix to show chat list on frontend, implementation infinite scroll, add contact page")</f>
        <v>upload image on frontend, add chat list pagination on backend, fix to show chat list on frontend, implementation infinite scroll, add contact page</v>
      </c>
      <c r="E508" s="42" t="str">
        <f>IFERROR(__xludf.DUMMYFUNCTION("""COMPUTED_VALUE"""),"give condition when navigation screen")</f>
        <v>give condition when navigation screen</v>
      </c>
      <c r="F508" s="42" t="str">
        <f>IFERROR(__xludf.DUMMYFUNCTION("""COMPUTED_VALUE"""),"fix some bug and learn more and fixing navigation on react")</f>
        <v>fix some bug and learn more and fixing navigation on react</v>
      </c>
    </row>
    <row r="509">
      <c r="A509" s="43">
        <f>IFERROR(__xludf.DUMMYFUNCTION("""COMPUTED_VALUE"""),44161.48045665509)</f>
        <v>44161.48046</v>
      </c>
      <c r="B509" s="42" t="str">
        <f>IFERROR(__xludf.DUMMYFUNCTION("""COMPUTED_VALUE"""),"Rezha Maulana Jaya")</f>
        <v>Rezha Maulana Jaya</v>
      </c>
      <c r="C509" s="44">
        <f>IFERROR(__xludf.DUMMYFUNCTION("""COMPUTED_VALUE"""),44161.0)</f>
        <v>44161</v>
      </c>
      <c r="D509" s="42" t="str">
        <f>IFERROR(__xludf.DUMMYFUNCTION("""COMPUTED_VALUE"""),"fix screen login register, setting, dan edit profile")</f>
        <v>fix screen login register, setting, dan edit profile</v>
      </c>
      <c r="E509" s="42" t="str">
        <f>IFERROR(__xludf.DUMMYFUNCTION("""COMPUTED_VALUE"""),"list chat  cuma nampilin si user yang login ja , belum di kasih isLatest")</f>
        <v>list chat  cuma nampilin si user yang login ja , belum di kasih isLatest</v>
      </c>
      <c r="F509" s="42" t="str">
        <f>IFERROR(__xludf.DUMMYFUNCTION("""COMPUTED_VALUE"""),"masukin ke redux")</f>
        <v>masukin ke redux</v>
      </c>
    </row>
    <row r="510">
      <c r="A510" s="43">
        <f>IFERROR(__xludf.DUMMYFUNCTION("""COMPUTED_VALUE"""),44161.49993269676)</f>
        <v>44161.49993</v>
      </c>
      <c r="B510" s="42" t="str">
        <f>IFERROR(__xludf.DUMMYFUNCTION("""COMPUTED_VALUE"""),"Wahyu Ramadhan")</f>
        <v>Wahyu Ramadhan</v>
      </c>
      <c r="C510" s="44">
        <f>IFERROR(__xludf.DUMMYFUNCTION("""COMPUTED_VALUE"""),44161.0)</f>
        <v>44161</v>
      </c>
      <c r="D510" s="42" t="str">
        <f>IFERROR(__xludf.DUMMYFUNCTION("""COMPUTED_VALUE"""),"upload image in frontend and sent to backend")</f>
        <v>upload image in frontend and sent to backend</v>
      </c>
      <c r="E510" s="42" t="str">
        <f>IFERROR(__xludf.DUMMYFUNCTION("""COMPUTED_VALUE"""),"can't connect with backend")</f>
        <v>can't connect with backend</v>
      </c>
      <c r="F510" s="42" t="str">
        <f>IFERROR(__xludf.DUMMYFUNCTION("""COMPUTED_VALUE"""),"try fix upload image")</f>
        <v>try fix upload image</v>
      </c>
    </row>
    <row r="511">
      <c r="A511" s="43">
        <f>IFERROR(__xludf.DUMMYFUNCTION("""COMPUTED_VALUE"""),44162.38003042824)</f>
        <v>44162.38003</v>
      </c>
      <c r="B511" s="42" t="str">
        <f>IFERROR(__xludf.DUMMYFUNCTION("""COMPUTED_VALUE"""),"Wahyu Ramadhan")</f>
        <v>Wahyu Ramadhan</v>
      </c>
      <c r="C511" s="44">
        <f>IFERROR(__xludf.DUMMYFUNCTION("""COMPUTED_VALUE"""),44162.0)</f>
        <v>44162</v>
      </c>
      <c r="D511" s="42" t="str">
        <f>IFERROR(__xludf.DUMMYFUNCTION("""COMPUTED_VALUE"""),"splash screen, change scroolview with flatList in chat detail, create listFriend, try update profile")</f>
        <v>splash screen, change scroolview with flatList in chat detail, create listFriend, try update profile</v>
      </c>
      <c r="E511" s="42" t="str">
        <f>IFERROR(__xludf.DUMMYFUNCTION("""COMPUTED_VALUE"""),"use form data in react-native, upload image and change it")</f>
        <v>use form data in react-native, upload image and change it</v>
      </c>
      <c r="F511" s="42" t="str">
        <f>IFERROR(__xludf.DUMMYFUNCTION("""COMPUTED_VALUE"""),"try create socket.io, upload profile foto, and change icon")</f>
        <v>try create socket.io, upload profile foto, and change icon</v>
      </c>
    </row>
    <row r="512">
      <c r="A512" s="43">
        <f>IFERROR(__xludf.DUMMYFUNCTION("""COMPUTED_VALUE"""),44162.38630758102)</f>
        <v>44162.38631</v>
      </c>
      <c r="B512" s="42" t="str">
        <f>IFERROR(__xludf.DUMMYFUNCTION("""COMPUTED_VALUE"""),"Muhammad Abdurasyid")</f>
        <v>Muhammad Abdurasyid</v>
      </c>
      <c r="C512" s="44">
        <f>IFERROR(__xludf.DUMMYFUNCTION("""COMPUTED_VALUE"""),44162.0)</f>
        <v>44162</v>
      </c>
      <c r="D512" s="42" t="str">
        <f>IFERROR(__xludf.DUMMYFUNCTION("""COMPUTED_VALUE"""),"1. Deploy backend ke AWS
2. Menambahkan package socket.io di backend &amp; socket.io-client di frontend utk proses messaging realtime
3. Build APK")</f>
        <v>1. Deploy backend ke AWS
2. Menambahkan package socket.io di backend &amp; socket.io-client di frontend utk proses messaging realtime
3. Build APK</v>
      </c>
      <c r="E512" s="42"/>
      <c r="F512" s="42" t="str">
        <f>IFERROR(__xludf.DUMMYFUNCTION("""COMPUTED_VALUE"""),"Revisi aplikasi mobile portal news")</f>
        <v>Revisi aplikasi mobile portal news</v>
      </c>
    </row>
    <row r="513">
      <c r="A513" s="43">
        <f>IFERROR(__xludf.DUMMYFUNCTION("""COMPUTED_VALUE"""),44166.37932150463)</f>
        <v>44166.37932</v>
      </c>
      <c r="B513" s="42" t="str">
        <f>IFERROR(__xludf.DUMMYFUNCTION("""COMPUTED_VALUE"""),"Muhammad Abdurasyid")</f>
        <v>Muhammad Abdurasyid</v>
      </c>
      <c r="C513" s="44">
        <f>IFERROR(__xludf.DUMMYFUNCTION("""COMPUTED_VALUE"""),44166.0)</f>
        <v>44166</v>
      </c>
      <c r="D513" s="42" t="str">
        <f>IFERROR(__xludf.DUMMYFUNCTION("""COMPUTED_VALUE"""),"1. Slicing screen welcome, login perekrut, login pekerja, signup perekrut, forgot &amp; reset password
2. Menambahkan form validation dgn formik+yup di screen login perekrut, login pekerja, signup perekrut, forgot &amp; reset password
3. Mengubah icon apps")</f>
        <v>1. Slicing screen welcome, login perekrut, login pekerja, signup perekrut, forgot &amp; reset password
2. Menambahkan form validation dgn formik+yup di screen login perekrut, login pekerja, signup perekrut, forgot &amp; reset password
3. Mengubah icon apps</v>
      </c>
      <c r="E513" s="42"/>
      <c r="F513" s="42" t="str">
        <f>IFERROR(__xludf.DUMMYFUNCTION("""COMPUTED_VALUE"""),"Slicing screen home")</f>
        <v>Slicing screen home</v>
      </c>
    </row>
    <row r="514">
      <c r="A514" s="43">
        <f>IFERROR(__xludf.DUMMYFUNCTION("""COMPUTED_VALUE"""),44166.392751481486)</f>
        <v>44166.39275</v>
      </c>
      <c r="B514" s="42" t="str">
        <f>IFERROR(__xludf.DUMMYFUNCTION("""COMPUTED_VALUE"""),"Ahmad Fatkhul Amam")</f>
        <v>Ahmad Fatkhul Amam</v>
      </c>
      <c r="C514" s="44">
        <f>IFERROR(__xludf.DUMMYFUNCTION("""COMPUTED_VALUE"""),44166.0)</f>
        <v>44166</v>
      </c>
      <c r="D514" s="42" t="str">
        <f>IFERROR(__xludf.DUMMYFUNCTION("""COMPUTED_VALUE"""),"initiall project, redux(persist) config, slicing signup worker, slicing notification page ")</f>
        <v>initiall project, redux(persist) config, slicing signup worker, slicing notification page </v>
      </c>
      <c r="E514" s="42" t="str">
        <f>IFERROR(__xludf.DUMMYFUNCTION("""COMPUTED_VALUE"""),"if i run figma with React Native, my laptop becomes slower")</f>
        <v>if i run figma with React Native, my laptop becomes slower</v>
      </c>
      <c r="F514" s="42" t="str">
        <f>IFERROR(__xludf.DUMMYFUNCTION("""COMPUTED_VALUE"""),"bottom tab naviagation, slicing profile portofolio page")</f>
        <v>bottom tab naviagation, slicing profile portofolio page</v>
      </c>
    </row>
    <row r="515">
      <c r="A515" s="43">
        <f>IFERROR(__xludf.DUMMYFUNCTION("""COMPUTED_VALUE"""),44166.402673344906)</f>
        <v>44166.40267</v>
      </c>
      <c r="B515" s="42" t="str">
        <f>IFERROR(__xludf.DUMMYFUNCTION("""COMPUTED_VALUE"""),"Pramesti Regita Cahyani")</f>
        <v>Pramesti Regita Cahyani</v>
      </c>
      <c r="C515" s="44">
        <f>IFERROR(__xludf.DUMMYFUNCTION("""COMPUTED_VALUE"""),44166.0)</f>
        <v>44166</v>
      </c>
      <c r="D515" s="42" t="str">
        <f>IFERROR(__xludf.DUMMYFUNCTION("""COMPUTED_VALUE"""),"Membuat method untuk register dan login")</f>
        <v>Membuat method untuk register dan login</v>
      </c>
      <c r="E515" s="42" t="str">
        <f>IFERROR(__xludf.DUMMYFUNCTION("""COMPUTED_VALUE"""),"belum menemukan masalah")</f>
        <v>belum menemukan masalah</v>
      </c>
      <c r="F515" s="42" t="str">
        <f>IFERROR(__xludf.DUMMYFUNCTION("""COMPUTED_VALUE"""),"membuat method untuk message baik dari pekerja maupun perekrut")</f>
        <v>membuat method untuk message baik dari pekerja maupun perekrut</v>
      </c>
    </row>
    <row r="516">
      <c r="A516" s="43">
        <f>IFERROR(__xludf.DUMMYFUNCTION("""COMPUTED_VALUE"""),44166.40294211806)</f>
        <v>44166.40294</v>
      </c>
      <c r="B516" s="42" t="str">
        <f>IFERROR(__xludf.DUMMYFUNCTION("""COMPUTED_VALUE"""),"Wahyu Ramadhan")</f>
        <v>Wahyu Ramadhan</v>
      </c>
      <c r="C516" s="44">
        <f>IFERROR(__xludf.DUMMYFUNCTION("""COMPUTED_VALUE"""),44166.0)</f>
        <v>44166</v>
      </c>
      <c r="D516" s="42" t="str">
        <f>IFERROR(__xludf.DUMMYFUNCTION("""COMPUTED_VALUE"""),"Login Register for worker and recruiter")</f>
        <v>Login Register for worker and recruiter</v>
      </c>
      <c r="E516" s="42" t="str">
        <f>IFERROR(__xludf.DUMMYFUNCTION("""COMPUTED_VALUE"""),"not yet")</f>
        <v>not yet</v>
      </c>
      <c r="F516" s="42" t="str">
        <f>IFERROR(__xludf.DUMMYFUNCTION("""COMPUTED_VALUE"""),"edit data diri, portofolio")</f>
        <v>edit data diri, portofolio</v>
      </c>
    </row>
    <row r="517">
      <c r="A517" s="43">
        <f>IFERROR(__xludf.DUMMYFUNCTION("""COMPUTED_VALUE"""),44166.40300196759)</f>
        <v>44166.403</v>
      </c>
      <c r="B517" s="42" t="str">
        <f>IFERROR(__xludf.DUMMYFUNCTION("""COMPUTED_VALUE"""),"Iqbal Athorid")</f>
        <v>Iqbal Athorid</v>
      </c>
      <c r="C517" s="44">
        <f>IFERROR(__xludf.DUMMYFUNCTION("""COMPUTED_VALUE"""),44166.0)</f>
        <v>44166</v>
      </c>
      <c r="D517" s="42" t="str">
        <f>IFERROR(__xludf.DUMMYFUNCTION("""COMPUTED_VALUE"""),"setup project backend,frontend, settings redux persist, slicing confirm reset password,slicing inbox,slicing landing page")</f>
        <v>setup project backend,frontend, settings redux persist, slicing confirm reset password,slicing inbox,slicing landing page</v>
      </c>
      <c r="E517" s="42"/>
      <c r="F517" s="42" t="str">
        <f>IFERROR(__xludf.DUMMYFUNCTION("""COMPUTED_VALUE"""),"Slicing tab navigator,stack navigator,Slicing edit profile")</f>
        <v>Slicing tab navigator,stack navigator,Slicing edit profile</v>
      </c>
    </row>
    <row r="518">
      <c r="A518" s="43">
        <f>IFERROR(__xludf.DUMMYFUNCTION("""COMPUTED_VALUE"""),44166.40334019676)</f>
        <v>44166.40334</v>
      </c>
      <c r="B518" s="42" t="str">
        <f>IFERROR(__xludf.DUMMYFUNCTION("""COMPUTED_VALUE"""),"Fahmi Aziz Ismail")</f>
        <v>Fahmi Aziz Ismail</v>
      </c>
      <c r="C518" s="44">
        <f>IFERROR(__xludf.DUMMYFUNCTION("""COMPUTED_VALUE"""),44166.0)</f>
        <v>44166</v>
      </c>
      <c r="D518" s="42" t="str">
        <f>IFERROR(__xludf.DUMMYFUNCTION("""COMPUTED_VALUE"""),"membuat ERD, CRUD skills")</f>
        <v>membuat ERD, CRUD skills</v>
      </c>
      <c r="E518" s="42"/>
      <c r="F518" s="42" t="str">
        <f>IFERROR(__xludf.DUMMYFUNCTION("""COMPUTED_VALUE"""),"get data job-seeker, get detail job-seeker, CRUD job-seeker")</f>
        <v>get data job-seeker, get detail job-seeker, CRUD job-seeker</v>
      </c>
    </row>
    <row r="519">
      <c r="A519" s="43">
        <f>IFERROR(__xludf.DUMMYFUNCTION("""COMPUTED_VALUE"""),44166.40431790509)</f>
        <v>44166.40432</v>
      </c>
      <c r="B519" s="42" t="str">
        <f>IFERROR(__xludf.DUMMYFUNCTION("""COMPUTED_VALUE"""),"Muhammad")</f>
        <v>Muhammad</v>
      </c>
      <c r="C519" s="44">
        <f>IFERROR(__xludf.DUMMYFUNCTION("""COMPUTED_VALUE"""),44166.0)</f>
        <v>44166</v>
      </c>
      <c r="D519" s="42" t="str">
        <f>IFERROR(__xludf.DUMMYFUNCTION("""COMPUTED_VALUE"""),"Initialization project and creating api spec")</f>
        <v>Initialization project and creating api spec</v>
      </c>
      <c r="E519" s="42" t="str">
        <f>IFERROR(__xludf.DUMMYFUNCTION("""COMPUTED_VALUE"""),"Communication")</f>
        <v>Communication</v>
      </c>
      <c r="F519" s="42" t="str">
        <f>IFERROR(__xludf.DUMMYFUNCTION("""COMPUTED_VALUE"""),"Creating worker/recruiter routes")</f>
        <v>Creating worker/recruiter routes</v>
      </c>
    </row>
    <row r="520">
      <c r="A520" s="43">
        <f>IFERROR(__xludf.DUMMYFUNCTION("""COMPUTED_VALUE"""),44166.404431041665)</f>
        <v>44166.40443</v>
      </c>
      <c r="B520" s="42" t="str">
        <f>IFERROR(__xludf.DUMMYFUNCTION("""COMPUTED_VALUE"""),"Muhamad Faris Alkodri")</f>
        <v>Muhamad Faris Alkodri</v>
      </c>
      <c r="C520" s="44">
        <f>IFERROR(__xludf.DUMMYFUNCTION("""COMPUTED_VALUE"""),44166.0)</f>
        <v>44166</v>
      </c>
      <c r="D520" s="42" t="str">
        <f>IFERROR(__xludf.DUMMYFUNCTION("""COMPUTED_VALUE"""),"FRONTEND:
Bang Rezha
yang udah dikerjain:
1. update splash screen
hambatan: 
1. kemarin belum dapet repo-nya jadi belum bisa pull and push request
Bang Rosyid:
1. welcome screen
2. login perekrut
3. register perekrut
4. forgot dan reset password
5. icon
"&amp;"hambatan:
nggak ada
Amam:
1. inisialisasi project
2. sign in worker
3. notification
kendala:
1. laptop laggy
BACKEND:
Wahyu:
1. login register aku kod, tapi tak pisah route ya
2. login/worker
3. login/recruiter
4. register/worker
5. register/recruiter
y"&amp;"ang terjadi kemarin: bawazire maunya jadi 1 aja katanya, perbedaan recruiter dan worker dari id param. Contoh auth/login/{param}, kalo 1 ke worker kalo 2 ke recruiter
solusi tetep pakai params tapi paramsnya diubah jadi string dengan pengecekan worker ata"&amp;"u recruiter, selain dari itu respon error
Bawazier:
Yang sudah dikerjakan:
1. API SPEC
")</f>
        <v>FRONTEND:
Bang Rezha
yang udah dikerjain:
1. update splash screen
hambatan: 
1. kemarin belum dapet repo-nya jadi belum bisa pull and push request
Bang Rosyid:
1. welcome screen
2. login perekrut
3. register perekrut
4. forgot dan reset password
5. icon
hambatan:
nggak ada
Amam:
1. inisialisasi project
2. sign in worker
3. notification
kendala:
1. laptop laggy
BACKEND:
Wahyu:
1. login register aku kod, tapi tak pisah route ya
2. login/worker
3. login/recruiter
4. register/worker
5. register/recruiter
yang terjadi kemarin: bawazire maunya jadi 1 aja katanya, perbedaan recruiter dan worker dari id param. Contoh auth/login/{param}, kalo 1 ke worker kalo 2 ke recruiter
solusi tetep pakai params tapi paramsnya diubah jadi string dengan pengecekan worker atau recruiter, selain dari itu respon error
Bawazier:
Yang sudah dikerjakan:
1. API SPEC
</v>
      </c>
      <c r="E520" s="42" t="str">
        <f>IFERROR(__xludf.DUMMYFUNCTION("""COMPUTED_VALUE"""),"Frontend: Belum ada kendala, paling amam yang laptopnya laggy, dan kemarin Rezha belum dapet invitasi untuk ikut github sehingga tidak bisa push request
Backend: Permasalahan seputar flow business dan masalah minor")</f>
        <v>Frontend: Belum ada kendala, paling amam yang laptopnya laggy, dan kemarin Rezha belum dapet invitasi untuk ikut github sehingga tidak bisa push request
Backend: Permasalahan seputar flow business dan masalah minor</v>
      </c>
      <c r="F520" s="42" t="str">
        <f>IFERROR(__xludf.DUMMYFUNCTION("""COMPUTED_VALUE"""),"pembagian tugas frontend:
1. bang rosyid: home
2. amam: profile v2, bottom tabbed navigation
3. bang rezha: search dan chat
yang akan dikerjakan:
edit data diri, portofolio, dll")</f>
        <v>pembagian tugas frontend:
1. bang rosyid: home
2. amam: profile v2, bottom tabbed navigation
3. bang rezha: search dan chat
yang akan dikerjakan:
edit data diri, portofolio, dll</v>
      </c>
    </row>
    <row r="521">
      <c r="A521" s="43">
        <f>IFERROR(__xludf.DUMMYFUNCTION("""COMPUTED_VALUE"""),44166.406092164354)</f>
        <v>44166.40609</v>
      </c>
      <c r="B521" s="42" t="str">
        <f>IFERROR(__xludf.DUMMYFUNCTION("""COMPUTED_VALUE"""),"Furoidah Chilmi")</f>
        <v>Furoidah Chilmi</v>
      </c>
      <c r="C521" s="44">
        <f>IFERROR(__xludf.DUMMYFUNCTION("""COMPUTED_VALUE"""),44166.0)</f>
        <v>44166</v>
      </c>
      <c r="D521" s="42" t="str">
        <f>IFERROR(__xludf.DUMMYFUNCTION("""COMPUTED_VALUE"""),"slicing page signup")</f>
        <v>slicing page signup</v>
      </c>
      <c r="E521" s="42" t="str">
        <f>IFERROR(__xludf.DUMMYFUNCTION("""COMPUTED_VALUE"""),"-")</f>
        <v>-</v>
      </c>
      <c r="F521" s="42" t="str">
        <f>IFERROR(__xludf.DUMMYFUNCTION("""COMPUTED_VALUE"""),"slicing another page")</f>
        <v>slicing another page</v>
      </c>
    </row>
    <row r="522">
      <c r="A522" s="43">
        <f>IFERROR(__xludf.DUMMYFUNCTION("""COMPUTED_VALUE"""),44166.40667737268)</f>
        <v>44166.40668</v>
      </c>
      <c r="B522" s="42" t="str">
        <f>IFERROR(__xludf.DUMMYFUNCTION("""COMPUTED_VALUE"""),"Ahmad Asrofi")</f>
        <v>Ahmad Asrofi</v>
      </c>
      <c r="C522" s="44">
        <f>IFERROR(__xludf.DUMMYFUNCTION("""COMPUTED_VALUE"""),44166.0)</f>
        <v>44166</v>
      </c>
      <c r="D522" s="42" t="str">
        <f>IFERROR(__xludf.DUMMYFUNCTION("""COMPUTED_VALUE"""),"creating login, reset password home and profile info screen. adding font OpenSans")</f>
        <v>creating login, reset password home and profile info screen. adding font OpenSans</v>
      </c>
      <c r="E522" s="42"/>
      <c r="F522" s="42" t="str">
        <f>IFERROR(__xludf.DUMMYFUNCTION("""COMPUTED_VALUE"""),"creating screen edit profile")</f>
        <v>creating screen edit profile</v>
      </c>
    </row>
    <row r="523">
      <c r="A523" s="43">
        <f>IFERROR(__xludf.DUMMYFUNCTION("""COMPUTED_VALUE"""),44166.40738097222)</f>
        <v>44166.40738</v>
      </c>
      <c r="B523" s="42" t="str">
        <f>IFERROR(__xludf.DUMMYFUNCTION("""COMPUTED_VALUE"""),"Satrio Nugroho")</f>
        <v>Satrio Nugroho</v>
      </c>
      <c r="C523" s="44">
        <f>IFERROR(__xludf.DUMMYFUNCTION("""COMPUTED_VALUE"""),44166.0)</f>
        <v>44166</v>
      </c>
      <c r="D523" s="42" t="str">
        <f>IFERROR(__xludf.DUMMYFUNCTION("""COMPUTED_VALUE"""),"mengerjakan project team di bagian frontend membuat slicing beberapa halaman")</f>
        <v>mengerjakan project team di bagian frontend membuat slicing beberapa halaman</v>
      </c>
      <c r="E523" s="42"/>
      <c r="F523" s="42" t="str">
        <f>IFERROR(__xludf.DUMMYFUNCTION("""COMPUTED_VALUE"""),"menyelasaikan slicing halaman agar bisa lanjut ke managing data")</f>
        <v>menyelasaikan slicing halaman agar bisa lanjut ke managing data</v>
      </c>
    </row>
    <row r="524">
      <c r="A524" s="43">
        <f>IFERROR(__xludf.DUMMYFUNCTION("""COMPUTED_VALUE"""),44167.377433368056)</f>
        <v>44167.37743</v>
      </c>
      <c r="B524" s="42" t="str">
        <f>IFERROR(__xludf.DUMMYFUNCTION("""COMPUTED_VALUE"""),"Pramesti Regita Cahyani")</f>
        <v>Pramesti Regita Cahyani</v>
      </c>
      <c r="C524" s="44">
        <f>IFERROR(__xludf.DUMMYFUNCTION("""COMPUTED_VALUE"""),44167.0)</f>
        <v>44167</v>
      </c>
      <c r="D524" s="42" t="str">
        <f>IFERROR(__xludf.DUMMYFUNCTION("""COMPUTED_VALUE"""),"Membuat path untuk messaging dan revisi controller auth, merge and testing")</f>
        <v>Membuat path untuk messaging dan revisi controller auth, merge and testing</v>
      </c>
      <c r="E524" s="42" t="str">
        <f>IFERROR(__xludf.DUMMYFUNCTION("""COMPUTED_VALUE"""),"kadang penulisan nama file beda jadi sedikit bingung untuk merge-nya")</f>
        <v>kadang penulisan nama file beda jadi sedikit bingung untuk merge-nya</v>
      </c>
      <c r="F524" s="42" t="str">
        <f>IFERROR(__xludf.DUMMYFUNCTION("""COMPUTED_VALUE"""),"menyelesaikan merge")</f>
        <v>menyelesaikan merge</v>
      </c>
    </row>
    <row r="525">
      <c r="A525" s="43">
        <f>IFERROR(__xludf.DUMMYFUNCTION("""COMPUTED_VALUE"""),44167.37878483796)</f>
        <v>44167.37878</v>
      </c>
      <c r="B525" s="42" t="str">
        <f>IFERROR(__xludf.DUMMYFUNCTION("""COMPUTED_VALUE"""),"Wahyu Ramadhan")</f>
        <v>Wahyu Ramadhan</v>
      </c>
      <c r="C525" s="44">
        <f>IFERROR(__xludf.DUMMYFUNCTION("""COMPUTED_VALUE"""),44167.0)</f>
        <v>44167</v>
      </c>
      <c r="D525" s="42" t="str">
        <f>IFERROR(__xludf.DUMMYFUNCTION("""COMPUTED_VALUE"""),"create message, get list message, get room chat message, get message by id, update message by id, delete message by id, create company, update company, get company by id, get company by self, get company by id, get recruiter, update recruiter")</f>
        <v>create message, get list message, get room chat message, get message by id, update message by id, delete message by id, create company, update company, get company by id, get company by self, get company by id, get recruiter, update recruiter</v>
      </c>
      <c r="E525" s="42" t="str">
        <f>IFERROR(__xludf.DUMMYFUNCTION("""COMPUTED_VALUE"""),"pagination, sort")</f>
        <v>pagination, sort</v>
      </c>
      <c r="F525" s="42" t="str">
        <f>IFERROR(__xludf.DUMMYFUNCTION("""COMPUTED_VALUE"""),"create pagination and sort in company and message")</f>
        <v>create pagination and sort in company and message</v>
      </c>
    </row>
    <row r="526">
      <c r="A526" s="43">
        <f>IFERROR(__xludf.DUMMYFUNCTION("""COMPUTED_VALUE"""),44167.380167627314)</f>
        <v>44167.38017</v>
      </c>
      <c r="B526" s="42" t="str">
        <f>IFERROR(__xludf.DUMMYFUNCTION("""COMPUTED_VALUE"""),"Fahmi Aziz Ismail")</f>
        <v>Fahmi Aziz Ismail</v>
      </c>
      <c r="C526" s="44">
        <f>IFERROR(__xludf.DUMMYFUNCTION("""COMPUTED_VALUE"""),44167.0)</f>
        <v>44167</v>
      </c>
      <c r="D526" s="42" t="str">
        <f>IFERROR(__xludf.DUMMYFUNCTION("""COMPUTED_VALUE"""),"CRUD portofolio, implementasi search, sort, dan pagination di list job seeker, association detail job seeker")</f>
        <v>CRUD portofolio, implementasi search, sort, dan pagination di list job seeker, association detail job seeker</v>
      </c>
      <c r="E526" s="42"/>
      <c r="F526" s="42" t="str">
        <f>IFERROR(__xludf.DUMMYFUNCTION("""COMPUTED_VALUE"""),"merivisi bagian skills, dan integrasi frontend backend")</f>
        <v>merivisi bagian skills, dan integrasi frontend backend</v>
      </c>
    </row>
    <row r="527">
      <c r="A527" s="43">
        <f>IFERROR(__xludf.DUMMYFUNCTION("""COMPUTED_VALUE"""),44167.38271160879)</f>
        <v>44167.38271</v>
      </c>
      <c r="B527" s="42" t="str">
        <f>IFERROR(__xludf.DUMMYFUNCTION("""COMPUTED_VALUE"""),"Ahmad Fatkhul Amam")</f>
        <v>Ahmad Fatkhul Amam</v>
      </c>
      <c r="C527" s="44">
        <f>IFERROR(__xludf.DUMMYFUNCTION("""COMPUTED_VALUE"""),44167.0)</f>
        <v>44167</v>
      </c>
      <c r="D527" s="42" t="str">
        <f>IFERROR(__xludf.DUMMYFUNCTION("""COMPUTED_VALUE"""),"make tab navigation bar, make user profile page, edit user profile page, add tab view portofolio and user job experience")</f>
        <v>make tab navigation bar, make user profile page, edit user profile page, add tab view portofolio and user job experience</v>
      </c>
      <c r="E527" s="42" t="str">
        <f>IFERROR(__xludf.DUMMYFUNCTION("""COMPUTED_VALUE"""),"yup validation schema")</f>
        <v>yup validation schema</v>
      </c>
      <c r="F527" s="42" t="str">
        <f>IFERROR(__xludf.DUMMYFUNCTION("""COMPUTED_VALUE"""),"implementation image picker, managing data")</f>
        <v>implementation image picker, managing data</v>
      </c>
    </row>
    <row r="528">
      <c r="A528" s="43">
        <f>IFERROR(__xludf.DUMMYFUNCTION("""COMPUTED_VALUE"""),44167.38485434028)</f>
        <v>44167.38485</v>
      </c>
      <c r="B528" s="42" t="str">
        <f>IFERROR(__xludf.DUMMYFUNCTION("""COMPUTED_VALUE"""),"Iqbal Athorid")</f>
        <v>Iqbal Athorid</v>
      </c>
      <c r="C528" s="44">
        <f>IFERROR(__xludf.DUMMYFUNCTION("""COMPUTED_VALUE"""),44167.0)</f>
        <v>44167</v>
      </c>
      <c r="D528" s="42" t="str">
        <f>IFERROR(__xludf.DUMMYFUNCTION("""COMPUTED_VALUE"""),"Slicing edit profile (pekerja), merge and fixing frontend, created task")</f>
        <v>Slicing edit profile (pekerja), merge and fixing frontend, created task</v>
      </c>
      <c r="E528" s="42"/>
      <c r="F528" s="42" t="str">
        <f>IFERROR(__xludf.DUMMYFUNCTION("""COMPUTED_VALUE"""),"fixed backend, Slicing")</f>
        <v>fixed backend, Slicing</v>
      </c>
    </row>
    <row r="529">
      <c r="A529" s="43">
        <f>IFERROR(__xludf.DUMMYFUNCTION("""COMPUTED_VALUE"""),44167.38495975695)</f>
        <v>44167.38496</v>
      </c>
      <c r="B529" s="42" t="str">
        <f>IFERROR(__xludf.DUMMYFUNCTION("""COMPUTED_VALUE"""),"Muhammad Abdurasyid")</f>
        <v>Muhammad Abdurasyid</v>
      </c>
      <c r="C529" s="44">
        <f>IFERROR(__xludf.DUMMYFUNCTION("""COMPUTED_VALUE"""),44167.0)</f>
        <v>44167</v>
      </c>
      <c r="D529" s="42" t="str">
        <f>IFERROR(__xludf.DUMMYFUNCTION("""COMPUTED_VALUE"""),"1. Slicing screen
- home perekrut 
- home pekerja 
- profile company/perekrut 
- edit profile company/perekrut
- detail profile pekerja (utk dilihat perekrut)
- detail profile company/perekrut (utk dilihat pekerja)
2. Menambahkan form validasi di edit pro"&amp;"file company/perekrut")</f>
        <v>1. Slicing screen
- home perekrut 
- home pekerja 
- profile company/perekrut 
- edit profile company/perekrut
- detail profile pekerja (utk dilihat perekrut)
- detail profile company/perekrut (utk dilihat pekerja)
2. Menambahkan form validasi di edit profile company/perekrut</v>
      </c>
      <c r="E529" s="42"/>
      <c r="F529" s="42" t="str">
        <f>IFERROR(__xludf.DUMMYFUNCTION("""COMPUTED_VALUE"""),"Slicing modal utk lihat portofolio pekerja")</f>
        <v>Slicing modal utk lihat portofolio pekerja</v>
      </c>
    </row>
    <row r="530">
      <c r="A530" s="43">
        <f>IFERROR(__xludf.DUMMYFUNCTION("""COMPUTED_VALUE"""),44167.38518621528)</f>
        <v>44167.38519</v>
      </c>
      <c r="B530" s="42" t="str">
        <f>IFERROR(__xludf.DUMMYFUNCTION("""COMPUTED_VALUE"""),"Ahmad Asrofi")</f>
        <v>Ahmad Asrofi</v>
      </c>
      <c r="C530" s="44">
        <f>IFERROR(__xludf.DUMMYFUNCTION("""COMPUTED_VALUE"""),44167.0)</f>
        <v>44167</v>
      </c>
      <c r="D530" s="42" t="str">
        <f>IFERROR(__xludf.DUMMYFUNCTION("""COMPUTED_VALUE"""),"adding search, company profile screen. adding bottom tabs, implement navigation. updating profile portofolio and experience")</f>
        <v>adding search, company profile screen. adding bottom tabs, implement navigation. updating profile portofolio and experience</v>
      </c>
      <c r="E530" s="42"/>
      <c r="F530" s="42" t="str">
        <f>IFERROR(__xludf.DUMMYFUNCTION("""COMPUTED_VALUE"""),"adding portofolio detail, managing data")</f>
        <v>adding portofolio detail, managing data</v>
      </c>
    </row>
    <row r="531">
      <c r="A531" s="43">
        <f>IFERROR(__xludf.DUMMYFUNCTION("""COMPUTED_VALUE"""),44167.387793437505)</f>
        <v>44167.38779</v>
      </c>
      <c r="B531" s="42" t="str">
        <f>IFERROR(__xludf.DUMMYFUNCTION("""COMPUTED_VALUE"""),"Satrio Nugroho")</f>
        <v>Satrio Nugroho</v>
      </c>
      <c r="C531" s="44">
        <f>IFERROR(__xludf.DUMMYFUNCTION("""COMPUTED_VALUE"""),44167.0)</f>
        <v>44167</v>
      </c>
      <c r="D531" s="42" t="str">
        <f>IFERROR(__xludf.DUMMYFUNCTION("""COMPUTED_VALUE"""),"Kemaren telah menyelesaikan project team slicing halaman di frontend")</f>
        <v>Kemaren telah menyelesaikan project team slicing halaman di frontend</v>
      </c>
      <c r="E531" s="42"/>
      <c r="F531" s="42" t="str">
        <f>IFERROR(__xludf.DUMMYFUNCTION("""COMPUTED_VALUE"""),"Hari ini akan melanjutkan untuk menyelesaikan beberapa task slicing yang belum dan beberapa bagian di backend ... Dan bisa lanjut ke managing data ")</f>
        <v>Hari ini akan melanjutkan untuk menyelesaikan beberapa task slicing yang belum dan beberapa bagian di backend ... Dan bisa lanjut ke managing data </v>
      </c>
    </row>
    <row r="532">
      <c r="A532" s="43">
        <f>IFERROR(__xludf.DUMMYFUNCTION("""COMPUTED_VALUE"""),44167.39571189815)</f>
        <v>44167.39571</v>
      </c>
      <c r="B532" s="42" t="str">
        <f>IFERROR(__xludf.DUMMYFUNCTION("""COMPUTED_VALUE"""),"Rezha Maulana Jaya")</f>
        <v>Rezha Maulana Jaya</v>
      </c>
      <c r="C532" s="44">
        <f>IFERROR(__xludf.DUMMYFUNCTION("""COMPUTED_VALUE"""),44167.0)</f>
        <v>44167</v>
      </c>
      <c r="D532" s="42" t="str">
        <f>IFERROR(__xludf.DUMMYFUNCTION("""COMPUTED_VALUE"""),"Buat screen search, result search,modal filter, chatlist,tampilan inbox kosong")</f>
        <v>Buat screen search, result search,modal filter, chatlist,tampilan inbox kosong</v>
      </c>
      <c r="E532" s="42" t="str">
        <f>IFERROR(__xludf.DUMMYFUNCTION("""COMPUTED_VALUE"""),"Eslintnya di file yg saya buat itu ga keluar")</f>
        <v>Eslintnya di file yg saya buat itu ga keluar</v>
      </c>
      <c r="F532" s="42" t="str">
        <f>IFERROR(__xludf.DUMMYFUNCTION("""COMPUTED_VALUE"""),"Screen search pegawai cari perusahaan")</f>
        <v>Screen search pegawai cari perusahaan</v>
      </c>
    </row>
    <row r="533">
      <c r="A533" s="43">
        <f>IFERROR(__xludf.DUMMYFUNCTION("""COMPUTED_VALUE"""),44167.39609947917)</f>
        <v>44167.3961</v>
      </c>
      <c r="B533" s="42" t="str">
        <f>IFERROR(__xludf.DUMMYFUNCTION("""COMPUTED_VALUE"""),"Muhammad")</f>
        <v>Muhammad</v>
      </c>
      <c r="C533" s="44">
        <f>IFERROR(__xludf.DUMMYFUNCTION("""COMPUTED_VALUE"""),44167.0)</f>
        <v>44167</v>
      </c>
      <c r="D533" s="42" t="str">
        <f>IFERROR(__xludf.DUMMYFUNCTION("""COMPUTED_VALUE"""),"Create routes work experience, routes portofolio, and routes skill")</f>
        <v>Create routes work experience, routes portofolio, and routes skill</v>
      </c>
      <c r="E533" s="42"/>
      <c r="F533" s="42" t="str">
        <f>IFERROR(__xludf.DUMMYFUNCTION("""COMPUTED_VALUE"""),"Create home route for worker and recruiter")</f>
        <v>Create home route for worker and recruiter</v>
      </c>
    </row>
    <row r="534">
      <c r="A534" s="43">
        <f>IFERROR(__xludf.DUMMYFUNCTION("""COMPUTED_VALUE"""),44167.3985722338)</f>
        <v>44167.39857</v>
      </c>
      <c r="B534" s="42" t="str">
        <f>IFERROR(__xludf.DUMMYFUNCTION("""COMPUTED_VALUE"""),"Muhamad Faris Alkodri")</f>
        <v>Muhamad Faris Alkodri</v>
      </c>
      <c r="C534" s="44">
        <f>IFERROR(__xludf.DUMMYFUNCTION("""COMPUTED_VALUE"""),44167.0)</f>
        <v>44167</v>
      </c>
      <c r="D534" s="42" t="str">
        <f>IFERROR(__xludf.DUMMYFUNCTION("""COMPUTED_VALUE"""),"As a PM I was collecting all of my firends' works, also testing and merging all of their works into the master branch.
Today the daily stand up for Cloverview teams are:
wahyu:
1. mengerjakan yang di backlog (CRUD untuk worker, dan message) udah semua tin"&amp;"ggal yang pagination message, sort by, search message udah, 
list: udah sort by descending
roomchat: belum sort by descending
get list all company: search masih belum, sort, pagination belum
Bawazier:
Yang udah dikerjakan:
1. mengerjakan yang di backlog "&amp;"(CRUD for work experience, CRUD for account)
2. bikin data dummy udah ada seeder
Frontend:
Rasyid:
1. Home worker dan perekrut
2. Edit profile perekrut/perusahaan sudah termasuk form validation dan navigasi
3. Flow authorization untuk perekrut dan pekerj"&amp;"a
4. Mau bikin search dan search result bingung
Amam:
Yang udah dikerjakan:
1. Edit profile
2. Button tab
3. Tab view profile
Rezha:
Yang dikerjain:
1. Search
2. Filter
3. Result filter
4. List chat
")</f>
        <v>As a PM I was collecting all of my firends' works, also testing and merging all of their works into the master branch.
Today the daily stand up for Cloverview teams are:
wahyu:
1. mengerjakan yang di backlog (CRUD untuk worker, dan message) udah semua tinggal yang pagination message, sort by, search message udah, 
list: udah sort by descending
roomchat: belum sort by descending
get list all company: search masih belum, sort, pagination belum
Bawazier:
Yang udah dikerjakan:
1. mengerjakan yang di backlog (CRUD for work experience, CRUD for account)
2. bikin data dummy udah ada seeder
Frontend:
Rasyid:
1. Home worker dan perekrut
2. Edit profile perekrut/perusahaan sudah termasuk form validation dan navigasi
3. Flow authorization untuk perekrut dan pekerja
4. Mau bikin search dan search result bingung
Amam:
Yang udah dikerjakan:
1. Edit profile
2. Button tab
3. Tab view profile
Rezha:
Yang dikerjain:
1. Search
2. Filter
3. Result filter
4. List chat
</v>
      </c>
      <c r="E534" s="42" t="str">
        <f>IFERROR(__xludf.DUMMYFUNCTION("""COMPUTED_VALUE"""),"Backend:
Rama:
1. Kendala di pagination, sort, search
Bawazier:
1. search skill pakai string
2.  File upload
3. buat work experience kayak skill
Frontend:
Rasyid:
1. Nunggu screen search dan message
2. Tampilan ketika lihat portofolio (solved dengan men"&amp;"ggunakan modal)
Amam:
1. Buat portofolio dan user experiance (tapi sudah solved)
Rezha
1. implementasi flatlist
")</f>
        <v>Backend:
Rama:
1. Kendala di pagination, sort, search
Bawazier:
1. search skill pakai string
2.  File upload
3. buat work experience kayak skill
Frontend:
Rasyid:
1. Nunggu screen search dan message
2. Tampilan ketika lihat portofolio (solved dengan menggunakan modal)
Amam:
1. Buat portofolio dan user experiance (tapi sudah solved)
Rezha
1. implementasi flatlist
</v>
      </c>
      <c r="F534" s="42" t="str">
        <f>IFERROR(__xludf.DUMMYFUNCTION("""COMPUTED_VALUE"""),"Backend:
Rama:
1. fixing room chat
yang dikerjakan:
1. Home for worker
2. fixing yang work experience
3. CRUD for skill table (menesuaikan dengan API spec)
Frontend:
1. Modal untuk portofolio: Rasyid
2. search untuk pekerja: bang rezha
     filternya: na"&amp;"ma, lokasi, field
4. Chat room:  amam 
5. Image picker: Amam dan Rasyid
")</f>
        <v>Backend:
Rama:
1. fixing room chat
yang dikerjakan:
1. Home for worker
2. fixing yang work experience
3. CRUD for skill table (menesuaikan dengan API spec)
Frontend:
1. Modal untuk portofolio: Rasyid
2. search untuk pekerja: bang rezha
     filternya: nama, lokasi, field
4. Chat room:  amam 
5. Image picker: Amam dan Rasyid
</v>
      </c>
    </row>
    <row r="535">
      <c r="A535" s="43">
        <f>IFERROR(__xludf.DUMMYFUNCTION("""COMPUTED_VALUE"""),44167.40217591435)</f>
        <v>44167.40218</v>
      </c>
      <c r="B535" s="42" t="str">
        <f>IFERROR(__xludf.DUMMYFUNCTION("""COMPUTED_VALUE"""),"Furoidah Chilmi")</f>
        <v>Furoidah Chilmi</v>
      </c>
      <c r="C535" s="44">
        <f>IFERROR(__xludf.DUMMYFUNCTION("""COMPUTED_VALUE"""),44167.0)</f>
        <v>44167</v>
      </c>
      <c r="D535" s="42" t="str">
        <f>IFERROR(__xludf.DUMMYFUNCTION("""COMPUTED_VALUE"""),"Slicing screen edit profile perekrut, notification dan signup. CRUD path experience")</f>
        <v>Slicing screen edit profile perekrut, notification dan signup. CRUD path experience</v>
      </c>
      <c r="E535" s="42" t="str">
        <f>IFERROR(__xludf.DUMMYFUNCTION("""COMPUTED_VALUE"""),"-")</f>
        <v>-</v>
      </c>
      <c r="F535" s="42" t="str">
        <f>IFERROR(__xludf.DUMMYFUNCTION("""COMPUTED_VALUE"""),"Melanjutkan task")</f>
        <v>Melanjutkan task</v>
      </c>
    </row>
    <row r="536">
      <c r="A536" s="43">
        <f>IFERROR(__xludf.DUMMYFUNCTION("""COMPUTED_VALUE"""),44168.37059967592)</f>
        <v>44168.3706</v>
      </c>
      <c r="B536" s="42" t="str">
        <f>IFERROR(__xludf.DUMMYFUNCTION("""COMPUTED_VALUE"""),"Furoidah Chilmi")</f>
        <v>Furoidah Chilmi</v>
      </c>
      <c r="C536" s="44">
        <f>IFERROR(__xludf.DUMMYFUNCTION("""COMPUTED_VALUE"""),44168.0)</f>
        <v>44168</v>
      </c>
      <c r="D536" s="42" t="str">
        <f>IFERROR(__xludf.DUMMYFUNCTION("""COMPUTED_VALUE"""),"Auth flow di frontend")</f>
        <v>Auth flow di frontend</v>
      </c>
      <c r="E536" s="42" t="str">
        <f>IFERROR(__xludf.DUMMYFUNCTION("""COMPUTED_VALUE"""),"-")</f>
        <v>-</v>
      </c>
      <c r="F536" s="42" t="str">
        <f>IFERROR(__xludf.DUMMYFUNCTION("""COMPUTED_VALUE"""),"Melanjutkan task")</f>
        <v>Melanjutkan task</v>
      </c>
    </row>
    <row r="537">
      <c r="A537" s="43">
        <f>IFERROR(__xludf.DUMMYFUNCTION("""COMPUTED_VALUE"""),44168.38602914352)</f>
        <v>44168.38603</v>
      </c>
      <c r="B537" s="42" t="str">
        <f>IFERROR(__xludf.DUMMYFUNCTION("""COMPUTED_VALUE"""),"Wahyu Ramadhan")</f>
        <v>Wahyu Ramadhan</v>
      </c>
      <c r="C537" s="44">
        <f>IFERROR(__xludf.DUMMYFUNCTION("""COMPUTED_VALUE"""),44168.0)</f>
        <v>44168</v>
      </c>
      <c r="D537" s="42" t="str">
        <f>IFERROR(__xludf.DUMMYFUNCTION("""COMPUTED_VALUE"""),"create pagination in message")</f>
        <v>create pagination in message</v>
      </c>
      <c r="E537" s="42" t="str">
        <f>IFERROR(__xludf.DUMMYFUNCTION("""COMPUTED_VALUE"""),"-")</f>
        <v>-</v>
      </c>
      <c r="F537" s="42" t="str">
        <f>IFERROR(__xludf.DUMMYFUNCTION("""COMPUTED_VALUE"""),"check code again")</f>
        <v>check code again</v>
      </c>
    </row>
    <row r="538">
      <c r="A538" s="43">
        <f>IFERROR(__xludf.DUMMYFUNCTION("""COMPUTED_VALUE"""),44168.390652835646)</f>
        <v>44168.39065</v>
      </c>
      <c r="B538" s="42" t="str">
        <f>IFERROR(__xludf.DUMMYFUNCTION("""COMPUTED_VALUE"""),"Ahmad Asrofi")</f>
        <v>Ahmad Asrofi</v>
      </c>
      <c r="C538" s="44">
        <f>IFERROR(__xludf.DUMMYFUNCTION("""COMPUTED_VALUE"""),44168.0)</f>
        <v>44168</v>
      </c>
      <c r="D538" s="42" t="str">
        <f>IFERROR(__xludf.DUMMYFUNCTION("""COMPUTED_VALUE"""),"implement redux, get data profile. adding detail portofolio, edit portofolio and adding card view all in list job seeker")</f>
        <v>implement redux, get data profile. adding detail portofolio, edit portofolio and adding card view all in list job seeker</v>
      </c>
      <c r="E538" s="42" t="str">
        <f>IFERROR(__xludf.DUMMYFUNCTION("""COMPUTED_VALUE"""),"i didnt implement get data list job seeker in home screen because, there is an error associate in backend")</f>
        <v>i didnt implement get data list job seeker in home screen because, there is an error associate in backend</v>
      </c>
      <c r="F538" s="42" t="str">
        <f>IFERROR(__xludf.DUMMYFUNCTION("""COMPUTED_VALUE"""),"get data list job seeker,  implement get data on card view all")</f>
        <v>get data list job seeker,  implement get data on card view all</v>
      </c>
    </row>
    <row r="539">
      <c r="A539" s="43">
        <f>IFERROR(__xludf.DUMMYFUNCTION("""COMPUTED_VALUE"""),44168.3909250463)</f>
        <v>44168.39093</v>
      </c>
      <c r="B539" s="42" t="str">
        <f>IFERROR(__xludf.DUMMYFUNCTION("""COMPUTED_VALUE"""),"Muhammad Abdurasyid")</f>
        <v>Muhammad Abdurasyid</v>
      </c>
      <c r="C539" s="44">
        <f>IFERROR(__xludf.DUMMYFUNCTION("""COMPUTED_VALUE"""),44168.0)</f>
        <v>44168</v>
      </c>
      <c r="D539" s="42" t="str">
        <f>IFERROR(__xludf.DUMMYFUNCTION("""COMPUTED_VALUE"""),"1. Menambahkan upload image/camera di edit profile perekrut/company
2. Menambahkan modal utk lihat detail portofolio
3. Slicing screen search perekrut")</f>
        <v>1. Menambahkan upload image/camera di edit profile perekrut/company
2. Menambahkan modal utk lihat detail portofolio
3. Slicing screen search perekrut</v>
      </c>
      <c r="E539" s="42"/>
      <c r="F539" s="42" t="str">
        <f>IFERROR(__xludf.DUMMYFUNCTION("""COMPUTED_VALUE"""),"Integrasi frontend ke backend")</f>
        <v>Integrasi frontend ke backend</v>
      </c>
    </row>
    <row r="540">
      <c r="A540" s="43">
        <f>IFERROR(__xludf.DUMMYFUNCTION("""COMPUTED_VALUE"""),44168.3926946412)</f>
        <v>44168.39269</v>
      </c>
      <c r="B540" s="42" t="str">
        <f>IFERROR(__xludf.DUMMYFUNCTION("""COMPUTED_VALUE"""),"Ahmad Fatkhul Amam")</f>
        <v>Ahmad Fatkhul Amam</v>
      </c>
      <c r="C540" s="44">
        <f>IFERROR(__xludf.DUMMYFUNCTION("""COMPUTED_VALUE"""),44168.0)</f>
        <v>44168</v>
      </c>
      <c r="D540" s="42" t="str">
        <f>IFERROR(__xludf.DUMMYFUNCTION("""COMPUTED_VALUE"""),"make chat room screen, fixing image picker v2 implementation, fixing mising style")</f>
        <v>make chat room screen, fixing image picker v2 implementation, fixing mising style</v>
      </c>
      <c r="E540" s="42" t="str">
        <f>IFERROR(__xludf.DUMMYFUNCTION("""COMPUTED_VALUE"""),"implementation image picker v3")</f>
        <v>implementation image picker v3</v>
      </c>
      <c r="F540" s="42" t="str">
        <f>IFERROR(__xludf.DUMMYFUNCTION("""COMPUTED_VALUE"""),"managing data from backend")</f>
        <v>managing data from backend</v>
      </c>
    </row>
    <row r="541">
      <c r="A541" s="43">
        <f>IFERROR(__xludf.DUMMYFUNCTION("""COMPUTED_VALUE"""),44168.397129363424)</f>
        <v>44168.39713</v>
      </c>
      <c r="B541" s="42" t="str">
        <f>IFERROR(__xludf.DUMMYFUNCTION("""COMPUTED_VALUE"""),"Muhamad Faris Alkodri")</f>
        <v>Muhamad Faris Alkodri</v>
      </c>
      <c r="C541" s="44">
        <f>IFERROR(__xludf.DUMMYFUNCTION("""COMPUTED_VALUE"""),44168.0)</f>
        <v>44168</v>
      </c>
      <c r="D541" s="42" t="str">
        <f>IFERROR(__xludf.DUMMYFUNCTION("""COMPUTED_VALUE"""),"As a pm i did daily standup routine with my coworkers,
I also fixing bugs on frontend and backend,
what i fixing on frontend was the search result and backend was the search on company and on user
and I successfully deploy the backend to AWS
and daily st"&amp;"and up for my coworkers are:
frontend:
&gt; Amam: chat room, implementasi image picker,  and styling
&gt; Rosyid: - menambahkan upload image di edit profile perekrut/perusahaan
- menambahkan modal utk melihat detail portofolio pekerja
&gt; Rezha: -search result sc"&amp;"reen
backend:
&gt; Bawazier: Fix workExperience and workerSkill
create home route for list user and details user
&gt; Rama: pagination in message")</f>
        <v>As a pm i did daily standup routine with my coworkers,
I also fixing bugs on frontend and backend,
what i fixing on frontend was the search result and backend was the search on company and on user
and I successfully deploy the backend to AWS
and daily stand up for my coworkers are:
frontend:
&gt; Amam: chat room, implementasi image picker,  and styling
&gt; Rosyid: - menambahkan upload image di edit profile perekrut/perusahaan
- menambahkan modal utk melihat detail portofolio pekerja
&gt; Rezha: -search result screen
backend:
&gt; Bawazier: Fix workExperience and workerSkill
create home route for list user and details user
&gt; Rama: pagination in message</v>
      </c>
      <c r="E541" s="42" t="str">
        <f>IFERROR(__xludf.DUMMYFUNCTION("""COMPUTED_VALUE"""),"My problems are in some screens it quite difficult to implement so i manipulate the data from backend
In backend there was an error when limiting nested include in sequelize
frontend:
&gt; Amam: nothing
&gt; Rosyid: nothing
&gt; Rezha: ?
backend:
&gt; Bawazier: Cust"&amp;"om search for list user error and limiting on nested include
&gt; Rama: -")</f>
        <v>My problems are in some screens it quite difficult to implement so i manipulate the data from backend
In backend there was an error when limiting nested include in sequelize
frontend:
&gt; Amam: nothing
&gt; Rosyid: nothing
&gt; Rezha: ?
backend:
&gt; Bawazier: Custom search for list user error and limiting on nested include
&gt; Rama: -</v>
      </c>
      <c r="F541" s="42" t="str">
        <f>IFERROR(__xludf.DUMMYFUNCTION("""COMPUTED_VALUE"""),"Frontend:
&gt; Amam, Rosyid, Rezha, Rama: managing data on frontend
Backend:
&gt; Bawazier: notification setting")</f>
        <v>Frontend:
&gt; Amam, Rosyid, Rezha, Rama: managing data on frontend
Backend:
&gt; Bawazier: notification setting</v>
      </c>
    </row>
    <row r="542">
      <c r="A542" s="43">
        <f>IFERROR(__xludf.DUMMYFUNCTION("""COMPUTED_VALUE"""),44168.3979344213)</f>
        <v>44168.39793</v>
      </c>
      <c r="B542" s="42" t="str">
        <f>IFERROR(__xludf.DUMMYFUNCTION("""COMPUTED_VALUE"""),"Fahmi Aziz Ismail")</f>
        <v>Fahmi Aziz Ismail</v>
      </c>
      <c r="C542" s="44">
        <f>IFERROR(__xludf.DUMMYFUNCTION("""COMPUTED_VALUE"""),44168.0)</f>
        <v>44168</v>
      </c>
      <c r="D542" s="42" t="str">
        <f>IFERROR(__xludf.DUMMYFUNCTION("""COMPUTED_VALUE""")," revisi list jobSeeker dan associate, revisi skills bagian post skills, upload skills,  get list skills, dan associate portofolio")</f>
        <v> revisi list jobSeeker dan associate, revisi skills bagian post skills, upload skills,  get list skills, dan associate portofolio</v>
      </c>
      <c r="E542" s="42"/>
      <c r="F542" s="42" t="str">
        <f>IFERROR(__xludf.DUMMYFUNCTION("""COMPUTED_VALUE"""),"associate bagian experience, integrasi bagian edit profile")</f>
        <v>associate bagian experience, integrasi bagian edit profile</v>
      </c>
    </row>
    <row r="543">
      <c r="A543" s="43">
        <f>IFERROR(__xludf.DUMMYFUNCTION("""COMPUTED_VALUE"""),44168.404742280094)</f>
        <v>44168.40474</v>
      </c>
      <c r="B543" s="42" t="str">
        <f>IFERROR(__xludf.DUMMYFUNCTION("""COMPUTED_VALUE"""),"Iqbal Athorid")</f>
        <v>Iqbal Athorid</v>
      </c>
      <c r="C543" s="44">
        <f>IFERROR(__xludf.DUMMYFUNCTION("""COMPUTED_VALUE"""),44168.0)</f>
        <v>44168</v>
      </c>
      <c r="D543" s="42" t="str">
        <f>IFERROR(__xludf.DUMMYFUNCTION("""COMPUTED_VALUE"""),"create refresh Token, get user when login")</f>
        <v>create refresh Token, get user when login</v>
      </c>
      <c r="E543" s="42" t="str">
        <f>IFERROR(__xludf.DUMMYFUNCTION("""COMPUTED_VALUE"""),"redux-persist: rehydrate for ""root"" called after timeout")</f>
        <v>redux-persist: rehydrate for "root" called after timeout</v>
      </c>
      <c r="F543" s="42" t="str">
        <f>IFERROR(__xludf.DUMMYFUNCTION("""COMPUTED_VALUE"""),"edit profile perekrut,search pekerja,Profile Info")</f>
        <v>edit profile perekrut,search pekerja,Profile Info</v>
      </c>
    </row>
    <row r="544">
      <c r="A544" s="43">
        <f>IFERROR(__xludf.DUMMYFUNCTION("""COMPUTED_VALUE"""),44182.36260112269)</f>
        <v>44182.3626</v>
      </c>
      <c r="B544" s="42" t="str">
        <f>IFERROR(__xludf.DUMMYFUNCTION("""COMPUTED_VALUE"""),"Timotius Simanjuntak")</f>
        <v>Timotius Simanjuntak</v>
      </c>
      <c r="C544" s="44">
        <f>IFERROR(__xludf.DUMMYFUNCTION("""COMPUTED_VALUE"""),44182.0)</f>
        <v>44182</v>
      </c>
      <c r="D544" s="42" t="str">
        <f>IFERROR(__xludf.DUMMYFUNCTION("""COMPUTED_VALUE"""),"fixing backend ecommerce week 4, and refactor some code")</f>
        <v>fixing backend ecommerce week 4, and refactor some code</v>
      </c>
      <c r="E544" s="42"/>
      <c r="F544" s="42" t="str">
        <f>IFERROR(__xludf.DUMMYFUNCTION("""COMPUTED_VALUE"""),"fixing ecommerce frontend week 7")</f>
        <v>fixing ecommerce frontend week 7</v>
      </c>
    </row>
    <row r="545">
      <c r="A545" s="43">
        <f>IFERROR(__xludf.DUMMYFUNCTION("""COMPUTED_VALUE"""),44182.37920585649)</f>
        <v>44182.37921</v>
      </c>
      <c r="B545" s="42" t="str">
        <f>IFERROR(__xludf.DUMMYFUNCTION("""COMPUTED_VALUE"""),"Ahmad Fatkhul Amam")</f>
        <v>Ahmad Fatkhul Amam</v>
      </c>
      <c r="C545" s="44">
        <f>IFERROR(__xludf.DUMMYFUNCTION("""COMPUTED_VALUE"""),44182.0)</f>
        <v>44182</v>
      </c>
      <c r="D545" s="42" t="str">
        <f>IFERROR(__xludf.DUMMYFUNCTION("""COMPUTED_VALUE"""),"blanja app readme.md, fix upload news picture, sort news by created at, fixing edit user profile blanja (backend) , try to make realtime chat app, and fixing some bug after build")</f>
        <v>blanja app readme.md, fix upload news picture, sort news by created at, fixing edit user profile blanja (backend) , try to make realtime chat app, and fixing some bug after build</v>
      </c>
      <c r="E545" s="42" t="str">
        <f>IFERROR(__xludf.DUMMYFUNCTION("""COMPUTED_VALUE"""),"my realtime socket.on not working")</f>
        <v>my realtime socket.on not working</v>
      </c>
      <c r="F545" s="42" t="str">
        <f>IFERROR(__xludf.DUMMYFUNCTION("""COMPUTED_VALUE"""),"fixing realtime chat app and try to make realtime notification")</f>
        <v>fixing realtime chat app and try to make realtime notification</v>
      </c>
    </row>
    <row r="546">
      <c r="A546" s="43">
        <f>IFERROR(__xludf.DUMMYFUNCTION("""COMPUTED_VALUE"""),44182.37954627315)</f>
        <v>44182.37955</v>
      </c>
      <c r="B546" s="42" t="str">
        <f>IFERROR(__xludf.DUMMYFUNCTION("""COMPUTED_VALUE"""),"Furoidah Chilmi")</f>
        <v>Furoidah Chilmi</v>
      </c>
      <c r="C546" s="44">
        <f>IFERROR(__xludf.DUMMYFUNCTION("""COMPUTED_VALUE"""),44182.0)</f>
        <v>44182</v>
      </c>
      <c r="D546" s="42" t="str">
        <f>IFERROR(__xludf.DUMMYFUNCTION("""COMPUTED_VALUE"""),"revisi newsportal:
- tambah form validation
- tambah indikator loading tiap screen
- tambah refreshcontroller 
- perbaiki post method dengan image
- perbaiki beberapa bug di screen edit news
- perbaiki bug di screen edit profile")</f>
        <v>revisi newsportal:
- tambah form validation
- tambah indikator loading tiap screen
- tambah refreshcontroller 
- perbaiki post method dengan image
- perbaiki beberapa bug di screen edit news
- perbaiki bug di screen edit profile</v>
      </c>
      <c r="E546" s="42" t="str">
        <f>IFERROR(__xludf.DUMMYFUNCTION("""COMPUTED_VALUE"""),"setelah tambah splash screen dan rename app, ada error yg belum bisa disolve. cannot compile appDebugJavaJavac")</f>
        <v>setelah tambah splash screen dan rename app, ada error yg belum bisa disolve. cannot compile appDebugJavaJavac</v>
      </c>
      <c r="F546" s="42" t="str">
        <f>IFERROR(__xludf.DUMMYFUNCTION("""COMPUTED_VALUE"""),"- tambah integrasi change password,
- tambah integrasi add to bookmark
- infinite scroll
- search news by category
- sort
- deploy
- build")</f>
        <v>- tambah integrasi change password,
- tambah integrasi add to bookmark
- infinite scroll
- search news by category
- sort
- deploy
- build</v>
      </c>
    </row>
    <row r="547">
      <c r="A547" s="43">
        <f>IFERROR(__xludf.DUMMYFUNCTION("""COMPUTED_VALUE"""),44182.37985167824)</f>
        <v>44182.37985</v>
      </c>
      <c r="B547" s="42" t="str">
        <f>IFERROR(__xludf.DUMMYFUNCTION("""COMPUTED_VALUE"""),"Fahmi Aziz Ismail")</f>
        <v>Fahmi Aziz Ismail</v>
      </c>
      <c r="C547" s="44">
        <f>IFERROR(__xludf.DUMMYFUNCTION("""COMPUTED_VALUE"""),44182.0)</f>
        <v>44182</v>
      </c>
      <c r="D547" s="42" t="str">
        <f>IFERROR(__xludf.DUMMYFUNCTION("""COMPUTED_VALUE"""),"revisi aplikasi news:
integrasi backend dan frontend: buat berita, edit berita, hapus berita, add bookmark,  hapus bookmark, search, sort, validasi form buat berita dan edit berita")</f>
        <v>revisi aplikasi news:
integrasi backend dan frontend: buat berita, edit berita, hapus berita, add bookmark,  hapus bookmark, search, sort, validasi form buat berita dan edit berita</v>
      </c>
      <c r="E547" s="42"/>
      <c r="F547" s="42" t="str">
        <f>IFERROR(__xludf.DUMMYFUNCTION("""COMPUTED_VALUE"""),"edit profile, validasi form login, register, dan edit profile")</f>
        <v>edit profile, validasi form login, register, dan edit profile</v>
      </c>
    </row>
    <row r="548">
      <c r="A548" s="43">
        <f>IFERROR(__xludf.DUMMYFUNCTION("""COMPUTED_VALUE"""),44182.3838419213)</f>
        <v>44182.38384</v>
      </c>
      <c r="B548" s="42" t="str">
        <f>IFERROR(__xludf.DUMMYFUNCTION("""COMPUTED_VALUE"""),"Muhamad Faris Alkodri")</f>
        <v>Muhamad Faris Alkodri</v>
      </c>
      <c r="C548" s="44">
        <f>IFERROR(__xludf.DUMMYFUNCTION("""COMPUTED_VALUE"""),44182.0)</f>
        <v>44182</v>
      </c>
      <c r="D548" s="42" t="str">
        <f>IFERROR(__xludf.DUMMYFUNCTION("""COMPUTED_VALUE"""),"I have completed my API, fixing bugs on my react js e-commerce project especially on admin in pagination, redux, add formik for signup, add formik for create item,  add prettier and eslint so my code can be tidier, add image and item details, and etc")</f>
        <v>I have completed my API, fixing bugs on my react js e-commerce project especially on admin in pagination, redux, add formik for signup, add formik for create item,  add prettier and eslint so my code can be tidier, add image and item details, and etc</v>
      </c>
      <c r="E548" s="42" t="str">
        <f>IFERROR(__xludf.DUMMYFUNCTION("""COMPUTED_VALUE"""),"i have problem in declaring new object in class component, i have to learn again for react classs component because it feels too complicated and the syntax i.e. this.setState and other 'this' on class component is too long for me, but after i installed pr"&amp;"ettier my code seems tidier")</f>
        <v>i have problem in declaring new object in class component, i have to learn again for react classs component because it feels too complicated and the syntax i.e. this.setState and other 'this' on class component is too long for me, but after i installed prettier my code seems tidier</v>
      </c>
      <c r="F548" s="42" t="str">
        <f>IFERROR(__xludf.DUMMYFUNCTION("""COMPUTED_VALUE"""),"i want to updating my reactjs component especially on edit item for admin, checkout for user, edit profile and avatar for user, and etc")</f>
        <v>i want to updating my reactjs component especially on edit item for admin, checkout for user, edit profile and avatar for user, and etc</v>
      </c>
    </row>
    <row r="549">
      <c r="A549" s="43">
        <f>IFERROR(__xludf.DUMMYFUNCTION("""COMPUTED_VALUE"""),44182.38708673611)</f>
        <v>44182.38709</v>
      </c>
      <c r="B549" s="42" t="str">
        <f>IFERROR(__xludf.DUMMYFUNCTION("""COMPUTED_VALUE"""),"Pramesti Regita Cahyani")</f>
        <v>Pramesti Regita Cahyani</v>
      </c>
      <c r="C549" s="44">
        <f>IFERROR(__xludf.DUMMYFUNCTION("""COMPUTED_VALUE"""),44182.0)</f>
        <v>44182</v>
      </c>
      <c r="D549" s="42" t="str">
        <f>IFERROR(__xludf.DUMMYFUNCTION("""COMPUTED_VALUE"""),"Merevisi aplikasi newsportal sekalian buat portofolinya di web Arkademy")</f>
        <v>Merevisi aplikasi newsportal sekalian buat portofolinya di web Arkademy</v>
      </c>
      <c r="E549" s="42" t="str">
        <f>IFERROR(__xludf.DUMMYFUNCTION("""COMPUTED_VALUE"""),"Bukan termasuk problem tapi lebih ke pekerjaan yang belum dikerjakan yaitu membuat README semua project")</f>
        <v>Bukan termasuk problem tapi lebih ke pekerjaan yang belum dikerjakan yaitu membuat README semua project</v>
      </c>
      <c r="F549" s="42" t="str">
        <f>IFERROR(__xludf.DUMMYFUNCTION("""COMPUTED_VALUE"""),"Karena yang nilainya masih dibawah B tinggal yang ecommerce web jadi saya mau menggerjakan untuk slicingnya dahulu agar bisa dimasukkan ke portofolio, kemudian lanjut ke pengisian data masih lewat postman karena di aplikasinya belum selesai")</f>
        <v>Karena yang nilainya masih dibawah B tinggal yang ecommerce web jadi saya mau menggerjakan untuk slicingnya dahulu agar bisa dimasukkan ke portofolio, kemudian lanjut ke pengisian data masih lewat postman karena di aplikasinya belum selesai</v>
      </c>
    </row>
    <row r="550">
      <c r="A550" s="43">
        <f>IFERROR(__xludf.DUMMYFUNCTION("""COMPUTED_VALUE"""),44182.40345039352)</f>
        <v>44182.40345</v>
      </c>
      <c r="B550" s="42" t="str">
        <f>IFERROR(__xludf.DUMMYFUNCTION("""COMPUTED_VALUE"""),"Ahmad Asrofi")</f>
        <v>Ahmad Asrofi</v>
      </c>
      <c r="C550" s="44">
        <f>IFERROR(__xludf.DUMMYFUNCTION("""COMPUTED_VALUE"""),44182.0)</f>
        <v>44182</v>
      </c>
      <c r="D550" s="42" t="str">
        <f>IFERROR(__xludf.DUMMYFUNCTION("""COMPUTED_VALUE"""),"add a splash screen, icon and name app and fixing some errors for project newsportal")</f>
        <v>add a splash screen, icon and name app and fixing some errors for project newsportal</v>
      </c>
      <c r="E550" s="42"/>
      <c r="F550" s="42" t="str">
        <f>IFERROR(__xludf.DUMMYFUNCTION("""COMPUTED_VALUE"""),"im going to implement camera, update profile and search news")</f>
        <v>im going to implement camera, update profile and search news</v>
      </c>
    </row>
    <row r="551">
      <c r="A551" s="43">
        <f>IFERROR(__xludf.DUMMYFUNCTION("""COMPUTED_VALUE"""),44182.45285174769)</f>
        <v>44182.45285</v>
      </c>
      <c r="B551" s="42" t="str">
        <f>IFERROR(__xludf.DUMMYFUNCTION("""COMPUTED_VALUE"""),"Muhammad Abdurasyid")</f>
        <v>Muhammad Abdurasyid</v>
      </c>
      <c r="C551" s="44">
        <f>IFERROR(__xludf.DUMMYFUNCTION("""COMPUTED_VALUE"""),44182.0)</f>
        <v>44182</v>
      </c>
      <c r="D551" s="42" t="str">
        <f>IFERROR(__xludf.DUMMYFUNCTION("""COMPUTED_VALUE"""),"- Build CV bagian portofolio
- Update readme backend utk repo e-commerce, chatin &amp; portalnews
- Update readme frontend utk repo e-commerce, chatin, portalnews &amp; peworld")</f>
        <v>- Build CV bagian portofolio
- Update readme backend utk repo e-commerce, chatin &amp; portalnews
- Update readme frontend utk repo e-commerce, chatin, portalnews &amp; peworld</v>
      </c>
      <c r="E551" s="42"/>
      <c r="F551" s="42" t="str">
        <f>IFERROR(__xludf.DUMMYFUNCTION("""COMPUTED_VALUE"""),"Revisi tugas minggu 5 &amp; 7")</f>
        <v>Revisi tugas minggu 5 &amp; 7</v>
      </c>
    </row>
    <row r="552">
      <c r="A552" s="43">
        <f>IFERROR(__xludf.DUMMYFUNCTION("""COMPUTED_VALUE"""),44182.460616550925)</f>
        <v>44182.46062</v>
      </c>
      <c r="B552" s="42" t="str">
        <f>IFERROR(__xludf.DUMMYFUNCTION("""COMPUTED_VALUE"""),"Muhammad")</f>
        <v>Muhammad</v>
      </c>
      <c r="C552" s="44">
        <f>IFERROR(__xludf.DUMMYFUNCTION("""COMPUTED_VALUE"""),44182.0)</f>
        <v>44182</v>
      </c>
      <c r="D552" s="42" t="str">
        <f>IFERROR(__xludf.DUMMYFUNCTION("""COMPUTED_VALUE"""),"Create topup feature
fix components
fix order details")</f>
        <v>Create topup feature
fix components
fix order details</v>
      </c>
      <c r="E552" s="42" t="str">
        <f>IFERROR(__xludf.DUMMYFUNCTION("""COMPUTED_VALUE"""),"Get quantity from cart")</f>
        <v>Get quantity from cart</v>
      </c>
      <c r="F552" s="42" t="str">
        <f>IFERROR(__xludf.DUMMYFUNCTION("""COMPUTED_VALUE"""),"Pagination, filter, and sort products
Fix navigation")</f>
        <v>Pagination, filter, and sort products
Fix navigation</v>
      </c>
    </row>
    <row r="553">
      <c r="A553" s="43">
        <f>IFERROR(__xludf.DUMMYFUNCTION("""COMPUTED_VALUE"""),44183.33923355324)</f>
        <v>44183.33923</v>
      </c>
      <c r="B553" s="42" t="str">
        <f>IFERROR(__xludf.DUMMYFUNCTION("""COMPUTED_VALUE"""),"Furoidah Chilmi")</f>
        <v>Furoidah Chilmi</v>
      </c>
      <c r="C553" s="44">
        <f>IFERROR(__xludf.DUMMYFUNCTION("""COMPUTED_VALUE"""),44183.0)</f>
        <v>44183</v>
      </c>
      <c r="D553" s="42" t="str">
        <f>IFERROR(__xludf.DUMMYFUNCTION("""COMPUTED_VALUE"""),"- integrasi change password
- bookmark route
- solving errors")</f>
        <v>- integrasi change password
- bookmark route
- solving errors</v>
      </c>
      <c r="E553" s="42" t="str">
        <f>IFERROR(__xludf.DUMMYFUNCTION("""COMPUTED_VALUE"""),"-")</f>
        <v>-</v>
      </c>
      <c r="F553" s="42" t="str">
        <f>IFERROR(__xludf.DUMMYFUNCTION("""COMPUTED_VALUE"""),"- infinite scroll
- sort
- deploy
- build")</f>
        <v>- infinite scroll
- sort
- deploy
- build</v>
      </c>
    </row>
    <row r="554">
      <c r="A554" s="43">
        <f>IFERROR(__xludf.DUMMYFUNCTION("""COMPUTED_VALUE"""),44183.37730921296)</f>
        <v>44183.37731</v>
      </c>
      <c r="B554" s="42" t="str">
        <f>IFERROR(__xludf.DUMMYFUNCTION("""COMPUTED_VALUE"""),"Ahmad Fatkhul Amam")</f>
        <v>Ahmad Fatkhul Amam</v>
      </c>
      <c r="C554" s="44">
        <f>IFERROR(__xludf.DUMMYFUNCTION("""COMPUTED_VALUE"""),44183.0)</f>
        <v>44183</v>
      </c>
      <c r="D554" s="42" t="str">
        <f>IFERROR(__xludf.DUMMYFUNCTION("""COMPUTED_VALUE"""),"try to make realtime chat app( configure socket.io), styling blanja ecommerce website, state managemenet ecommerce website, localStorage ecommerce website implementation")</f>
        <v>try to make realtime chat app( configure socket.io), styling blanja ecommerce website, state managemenet ecommerce website, localStorage ecommerce website implementation</v>
      </c>
      <c r="E554" s="42" t="str">
        <f>IFERROR(__xludf.DUMMYFUNCTION("""COMPUTED_VALUE"""),"the socket.io configuration on my frontend hasn't worked")</f>
        <v>the socket.io configuration on my frontend hasn't worked</v>
      </c>
      <c r="F554" s="42" t="str">
        <f>IFERROR(__xludf.DUMMYFUNCTION("""COMPUTED_VALUE"""),"manage state for ecommerce website and tidy up the style")</f>
        <v>manage state for ecommerce website and tidy up the style</v>
      </c>
    </row>
    <row r="555">
      <c r="A555" s="43">
        <f>IFERROR(__xludf.DUMMYFUNCTION("""COMPUTED_VALUE"""),44183.38732967593)</f>
        <v>44183.38733</v>
      </c>
      <c r="B555" s="42" t="str">
        <f>IFERROR(__xludf.DUMMYFUNCTION("""COMPUTED_VALUE"""),"Timotius Simanjuntak")</f>
        <v>Timotius Simanjuntak</v>
      </c>
      <c r="C555" s="44">
        <f>IFERROR(__xludf.DUMMYFUNCTION("""COMPUTED_VALUE"""),44183.0)</f>
        <v>44183</v>
      </c>
      <c r="D555" s="42" t="str">
        <f>IFERROR(__xludf.DUMMYFUNCTION("""COMPUTED_VALUE"""),"fixing frontend ecommerce week 7,")</f>
        <v>fixing frontend ecommerce week 7,</v>
      </c>
      <c r="E555" s="42"/>
      <c r="F555" s="42" t="str">
        <f>IFERROR(__xludf.DUMMYFUNCTION("""COMPUTED_VALUE"""),"fixing react native ecommerce week 9")</f>
        <v>fixing react native ecommerce week 9</v>
      </c>
    </row>
    <row r="556">
      <c r="A556" s="43">
        <f>IFERROR(__xludf.DUMMYFUNCTION("""COMPUTED_VALUE"""),44183.39252474537)</f>
        <v>44183.39252</v>
      </c>
      <c r="B556" s="42" t="str">
        <f>IFERROR(__xludf.DUMMYFUNCTION("""COMPUTED_VALUE"""),"Fahmi Aziz Ismail")</f>
        <v>Fahmi Aziz Ismail</v>
      </c>
      <c r="C556" s="44">
        <f>IFERROR(__xludf.DUMMYFUNCTION("""COMPUTED_VALUE"""),44183.0)</f>
        <v>44183</v>
      </c>
      <c r="D556" s="42" t="str">
        <f>IFERROR(__xludf.DUMMYFUNCTION("""COMPUTED_VALUE"""),"revisi aplikasi news: edit profile, menambahkan form validasi login, register, edit profile, build apk release")</f>
        <v>revisi aplikasi news: edit profile, menambahkan form validasi login, register, edit profile, build apk release</v>
      </c>
      <c r="E556" s="42"/>
      <c r="F556" s="42" t="str">
        <f>IFERROR(__xludf.DUMMYFUNCTION("""COMPUTED_VALUE"""),"memperbaiki build release aplikasi chat")</f>
        <v>memperbaiki build release aplikasi chat</v>
      </c>
    </row>
    <row r="557">
      <c r="A557" s="43">
        <f>IFERROR(__xludf.DUMMYFUNCTION("""COMPUTED_VALUE"""),44183.40557396991)</f>
        <v>44183.40557</v>
      </c>
      <c r="B557" s="42" t="str">
        <f>IFERROR(__xludf.DUMMYFUNCTION("""COMPUTED_VALUE"""),"Muhamad Faris Alkodri")</f>
        <v>Muhamad Faris Alkodri</v>
      </c>
      <c r="C557" s="44">
        <f>IFERROR(__xludf.DUMMYFUNCTION("""COMPUTED_VALUE"""),44183.0)</f>
        <v>44183</v>
      </c>
      <c r="D557" s="42" t="str">
        <f>IFERROR(__xludf.DUMMYFUNCTION("""COMPUTED_VALUE"""),"Still on react js perfecting add item and edit items")</f>
        <v>Still on react js perfecting add item and edit items</v>
      </c>
      <c r="E557" s="42" t="str">
        <f>IFERROR(__xludf.DUMMYFUNCTION("""COMPUTED_VALUE"""),"My problem is on the styling and also react-select, i just want to make the admin more convinience so i can easily add and remove items and move on to another tasks")</f>
        <v>My problem is on the styling and also react-select, i just want to make the admin more convinience so i can easily add and remove items and move on to another tasks</v>
      </c>
      <c r="F557" s="42" t="str">
        <f>IFERROR(__xludf.DUMMYFUNCTION("""COMPUTED_VALUE"""),"i want to perfecting my profile, add and create transaction and also add payment, and then if it all done i want to move on to mobile apps")</f>
        <v>i want to perfecting my profile, add and create transaction and also add payment, and then if it all done i want to move on to mobile apps</v>
      </c>
    </row>
    <row r="558">
      <c r="A558" s="43">
        <f>IFERROR(__xludf.DUMMYFUNCTION("""COMPUTED_VALUE"""),44184.39708746527)</f>
        <v>44184.39709</v>
      </c>
      <c r="B558" s="42" t="str">
        <f>IFERROR(__xludf.DUMMYFUNCTION("""COMPUTED_VALUE"""),"Muhamad Faris Alkodri")</f>
        <v>Muhamad Faris Alkodri</v>
      </c>
      <c r="C558" s="44">
        <f>IFERROR(__xludf.DUMMYFUNCTION("""COMPUTED_VALUE"""),44184.0)</f>
        <v>44184</v>
      </c>
      <c r="D558" s="42" t="str">
        <f>IFERROR(__xludf.DUMMYFUNCTION("""COMPUTED_VALUE"""),"There was error in create reactjs and edit react js, still struggling on that")</f>
        <v>There was error in create reactjs and edit react js, still struggling on that</v>
      </c>
      <c r="E558" s="42" t="str">
        <f>IFERROR(__xludf.DUMMYFUNCTION("""COMPUTED_VALUE"""),"My problems are i cannot append empty object for files in form data")</f>
        <v>My problems are i cannot append empty object for files in form data</v>
      </c>
      <c r="F558" s="42" t="str">
        <f>IFERROR(__xludf.DUMMYFUNCTION("""COMPUTED_VALUE"""),"i want to resolve that problems and continue to mobile")</f>
        <v>i want to resolve that problems and continue to mobile</v>
      </c>
    </row>
    <row r="559">
      <c r="A559" s="43">
        <f>IFERROR(__xludf.DUMMYFUNCTION("""COMPUTED_VALUE"""),44186.3862749074)</f>
        <v>44186.38627</v>
      </c>
      <c r="B559" s="42" t="str">
        <f>IFERROR(__xludf.DUMMYFUNCTION("""COMPUTED_VALUE"""),"Ahmad Fatkhul Amam")</f>
        <v>Ahmad Fatkhul Amam</v>
      </c>
      <c r="C559" s="44">
        <f>IFERROR(__xludf.DUMMYFUNCTION("""COMPUTED_VALUE"""),44186.0)</f>
        <v>44186</v>
      </c>
      <c r="D559" s="42" t="str">
        <f>IFERROR(__xludf.DUMMYFUNCTION("""COMPUTED_VALUE"""),"add modal update success indicator ecmmerce web, logout ecommerce web, styling card product and make it be a component(website)")</f>
        <v>add modal update success indicator ecmmerce web, logout ecommerce web, styling card product and make it be a component(website)</v>
      </c>
      <c r="E559" s="42" t="str">
        <f>IFERROR(__xludf.DUMMYFUNCTION("""COMPUTED_VALUE"""),"persisit data in e commerce website")</f>
        <v>persisit data in e commerce website</v>
      </c>
      <c r="F559" s="42" t="str">
        <f>IFERROR(__xludf.DUMMYFUNCTION("""COMPUTED_VALUE"""),"fixing and tidyng up style for ecommerce website")</f>
        <v>fixing and tidyng up style for ecommerce website</v>
      </c>
    </row>
    <row r="560">
      <c r="A560" s="43">
        <f>IFERROR(__xludf.DUMMYFUNCTION("""COMPUTED_VALUE"""),44186.49726748843)</f>
        <v>44186.49727</v>
      </c>
      <c r="B560" s="42" t="str">
        <f>IFERROR(__xludf.DUMMYFUNCTION("""COMPUTED_VALUE"""),"Pramesti Regita Cahyani")</f>
        <v>Pramesti Regita Cahyani</v>
      </c>
      <c r="C560" s="44">
        <f>IFERROR(__xludf.DUMMYFUNCTION("""COMPUTED_VALUE"""),44186.0)</f>
        <v>44186</v>
      </c>
      <c r="D560" s="42" t="str">
        <f>IFERROR(__xludf.DUMMYFUNCTION("""COMPUTED_VALUE"""),"Merevisi backend dan carousel frontend (ecommerce)")</f>
        <v>Merevisi backend dan carousel frontend (ecommerce)</v>
      </c>
      <c r="E560" s="42" t="str">
        <f>IFERROR(__xludf.DUMMYFUNCTION("""COMPUTED_VALUE"""),"belum bisa pindah ke halaman detail product")</f>
        <v>belum bisa pindah ke halaman detail product</v>
      </c>
      <c r="F560" s="42" t="str">
        <f>IFERROR(__xludf.DUMMYFUNCTION("""COMPUTED_VALUE"""),"Merevisi home/card item agar bisa masuk ke produck detail, melanjutkan revisi bagian profile")</f>
        <v>Merevisi home/card item agar bisa masuk ke produck detail, melanjutkan revisi bagian profile</v>
      </c>
    </row>
    <row r="561">
      <c r="A561" s="43">
        <f>IFERROR(__xludf.DUMMYFUNCTION("""COMPUTED_VALUE"""),44186.49820741898)</f>
        <v>44186.49821</v>
      </c>
      <c r="B561" s="42" t="str">
        <f>IFERROR(__xludf.DUMMYFUNCTION("""COMPUTED_VALUE"""),"Rezha Maulana Jaya")</f>
        <v>Rezha Maulana Jaya</v>
      </c>
      <c r="C561" s="44">
        <f>IFERROR(__xludf.DUMMYFUNCTION("""COMPUTED_VALUE"""),44186.0)</f>
        <v>44186</v>
      </c>
      <c r="D561" s="42" t="str">
        <f>IFERROR(__xludf.DUMMYFUNCTION("""COMPUTED_VALUE"""),"deploy app chat, mengerjakan newportal  di fixin dulu dari tampilan sampai fungsionalnya")</f>
        <v>deploy app chat, mengerjakan newportal  di fixin dulu dari tampilan sampai fungsionalnya</v>
      </c>
      <c r="E561" s="42" t="str">
        <f>IFERROR(__xludf.DUMMYFUNCTION("""COMPUTED_VALUE"""),"pagination buat implementasinya masih bingung")</f>
        <v>pagination buat implementasinya masih bingung</v>
      </c>
      <c r="F561" s="42" t="str">
        <f>IFERROR(__xludf.DUMMYFUNCTION("""COMPUTED_VALUE"""),"fix deploy dulu lanjut ke ecommerce ,deploat newsportal klo  chat ini udah sukses langsung di deploy")</f>
        <v>fix deploy dulu lanjut ke ecommerce ,deploat newsportal klo  chat ini udah sukses langsung di deploy</v>
      </c>
    </row>
    <row r="562">
      <c r="A562" s="43">
        <f>IFERROR(__xludf.DUMMYFUNCTION("""COMPUTED_VALUE"""),44186.498354270836)</f>
        <v>44186.49835</v>
      </c>
      <c r="B562" s="42" t="str">
        <f>IFERROR(__xludf.DUMMYFUNCTION("""COMPUTED_VALUE"""),"Fahmi Aziz Ismail")</f>
        <v>Fahmi Aziz Ismail</v>
      </c>
      <c r="C562" s="44">
        <f>IFERROR(__xludf.DUMMYFUNCTION("""COMPUTED_VALUE"""),44186.0)</f>
        <v>44186</v>
      </c>
      <c r="D562" s="42" t="str">
        <f>IFERROR(__xludf.DUMMYFUNCTION("""COMPUTED_VALUE"""),"revisi build apk news portal dan chat")</f>
        <v>revisi build apk news portal dan chat</v>
      </c>
      <c r="E562" s="42"/>
      <c r="F562" s="42" t="str">
        <f>IFERROR(__xludf.DUMMYFUNCTION("""COMPUTED_VALUE"""),"revisi apk ecommerce: sort, search, upload image, form validation, dan build")</f>
        <v>revisi apk ecommerce: sort, search, upload image, form validation, dan build</v>
      </c>
    </row>
    <row r="563">
      <c r="A563" s="43">
        <f>IFERROR(__xludf.DUMMYFUNCTION("""COMPUTED_VALUE"""),44186.50643356481)</f>
        <v>44186.50643</v>
      </c>
      <c r="B563" s="42" t="str">
        <f>IFERROR(__xludf.DUMMYFUNCTION("""COMPUTED_VALUE"""),"Muhamad Faris Alkodri")</f>
        <v>Muhamad Faris Alkodri</v>
      </c>
      <c r="C563" s="44">
        <f>IFERROR(__xludf.DUMMYFUNCTION("""COMPUTED_VALUE"""),44186.0)</f>
        <v>44186</v>
      </c>
      <c r="D563" s="42" t="str">
        <f>IFERROR(__xludf.DUMMYFUNCTION("""COMPUTED_VALUE"""),"I have successfully editing my create and update items on reactjs project (admin)")</f>
        <v>I have successfully editing my create and update items on reactjs project (admin)</v>
      </c>
      <c r="E563" s="42" t="str">
        <f>IFERROR(__xludf.DUMMYFUNCTION("""COMPUTED_VALUE"""),"Problem is more of styling")</f>
        <v>Problem is more of styling</v>
      </c>
      <c r="F563" s="42" t="str">
        <f>IFERROR(__xludf.DUMMYFUNCTION("""COMPUTED_VALUE"""),"i want be able to display the data for seller and going to implement search and sort on that, and then continue for costumer path (edit profile, add address, add cart, and checkout)")</f>
        <v>i want be able to display the data for seller and going to implement search and sort on that, and then continue for costumer path (edit profile, add address, add cart, and checkout)</v>
      </c>
    </row>
    <row r="564">
      <c r="A564" s="43">
        <f>IFERROR(__xludf.DUMMYFUNCTION("""COMPUTED_VALUE"""),44186.51661877315)</f>
        <v>44186.51662</v>
      </c>
      <c r="B564" s="42" t="str">
        <f>IFERROR(__xludf.DUMMYFUNCTION("""COMPUTED_VALUE"""),"Muhammad")</f>
        <v>Muhammad</v>
      </c>
      <c r="C564" s="44">
        <f>IFERROR(__xludf.DUMMYFUNCTION("""COMPUTED_VALUE"""),44186.0)</f>
        <v>44186</v>
      </c>
      <c r="D564" s="42" t="str">
        <f>IFERROR(__xludf.DUMMYFUNCTION("""COMPUTED_VALUE"""),"Revision Messaging App (SendBae)
- Pagination (done)
- Min &amp; Max File (done)
- token expired (done)
- handling expired (progress)
- Realtime (problem)")</f>
        <v>Revision Messaging App (SendBae)
- Pagination (done)
- Min &amp; Max File (done)
- token expired (done)
- handling expired (progress)
- Realtime (problem)</v>
      </c>
      <c r="E564" s="42" t="str">
        <f>IFERROR(__xludf.DUMMYFUNCTION("""COMPUTED_VALUE"""),"Realtime working only when stay in one screen, if move screen socket not working again")</f>
        <v>Realtime working only when stay in one screen, if move screen socket not working again</v>
      </c>
      <c r="F564" s="42" t="str">
        <f>IFERROR(__xludf.DUMMYFUNCTION("""COMPUTED_VALUE"""),"fix realtime and handling expired")</f>
        <v>fix realtime and handling expired</v>
      </c>
    </row>
    <row r="565">
      <c r="A565" s="43">
        <f>IFERROR(__xludf.DUMMYFUNCTION("""COMPUTED_VALUE"""),44186.52486733797)</f>
        <v>44186.52487</v>
      </c>
      <c r="B565" s="42" t="str">
        <f>IFERROR(__xludf.DUMMYFUNCTION("""COMPUTED_VALUE"""),"Wahyu Ramadhan")</f>
        <v>Wahyu Ramadhan</v>
      </c>
      <c r="C565" s="44">
        <f>IFERROR(__xludf.DUMMYFUNCTION("""COMPUTED_VALUE"""),44186.0)</f>
        <v>44186</v>
      </c>
      <c r="D565" s="42" t="str">
        <f>IFERROR(__xludf.DUMMYFUNCTION("""COMPUTED_VALUE"""),"fix newsportal mobile and realtime mobile")</f>
        <v>fix newsportal mobile and realtime mobile</v>
      </c>
      <c r="E565" s="42" t="str">
        <f>IFERROR(__xludf.DUMMYFUNCTION("""COMPUTED_VALUE"""),"in news portal mobile the image is delay")</f>
        <v>in news portal mobile the image is delay</v>
      </c>
      <c r="F565" s="42" t="str">
        <f>IFERROR(__xludf.DUMMYFUNCTION("""COMPUTED_VALUE"""),"fix ecommerce mobile")</f>
        <v>fix ecommerce mobile</v>
      </c>
    </row>
    <row r="566">
      <c r="A566" s="43">
        <f>IFERROR(__xludf.DUMMYFUNCTION("""COMPUTED_VALUE"""),44186.57727368055)</f>
        <v>44186.57727</v>
      </c>
      <c r="B566" s="42" t="str">
        <f>IFERROR(__xludf.DUMMYFUNCTION("""COMPUTED_VALUE"""),"Ahmad Asrofi")</f>
        <v>Ahmad Asrofi</v>
      </c>
      <c r="C566" s="44">
        <f>IFERROR(__xludf.DUMMYFUNCTION("""COMPUTED_VALUE"""),44186.0)</f>
        <v>44186</v>
      </c>
      <c r="D566" s="42" t="str">
        <f>IFERROR(__xludf.DUMMYFUNCTION("""COMPUTED_VALUE"""),"add change password, get myarticle, delete my article")</f>
        <v>add change password, get myarticle, delete my article</v>
      </c>
      <c r="E566" s="42"/>
      <c r="F566" s="42" t="str">
        <f>IFERROR(__xludf.DUMMYFUNCTION("""COMPUTED_VALUE"""),"local notification, build app debug, fixing backend ecommerce")</f>
        <v>local notification, build app debug, fixing backend ecommerce</v>
      </c>
    </row>
    <row r="567">
      <c r="A567" s="43">
        <f>IFERROR(__xludf.DUMMYFUNCTION("""COMPUTED_VALUE"""),44187.35296158565)</f>
        <v>44187.35296</v>
      </c>
      <c r="B567" s="42" t="str">
        <f>IFERROR(__xludf.DUMMYFUNCTION("""COMPUTED_VALUE"""),"Muhammad Abdurasyid")</f>
        <v>Muhammad Abdurasyid</v>
      </c>
      <c r="C567" s="44">
        <f>IFERROR(__xludf.DUMMYFUNCTION("""COMPUTED_VALUE"""),44187.0)</f>
        <v>44187</v>
      </c>
      <c r="D567" s="42" t="str">
        <f>IFERROR(__xludf.DUMMYFUNCTION("""COMPUTED_VALUE"""),"-")</f>
        <v>-</v>
      </c>
      <c r="E567" s="42"/>
      <c r="F567" s="42" t="str">
        <f>IFERROR(__xludf.DUMMYFUNCTION("""COMPUTED_VALUE"""),"Slicing halaman hasil pencarian, menambahkan fungsi search item &amp; pagination")</f>
        <v>Slicing halaman hasil pencarian, menambahkan fungsi search item &amp; pagination</v>
      </c>
    </row>
    <row r="568">
      <c r="A568" s="43">
        <f>IFERROR(__xludf.DUMMYFUNCTION("""COMPUTED_VALUE"""),44187.37386640046)</f>
        <v>44187.37387</v>
      </c>
      <c r="B568" s="42" t="str">
        <f>IFERROR(__xludf.DUMMYFUNCTION("""COMPUTED_VALUE"""),"Satrio Nugroho")</f>
        <v>Satrio Nugroho</v>
      </c>
      <c r="C568" s="44">
        <f>IFERROR(__xludf.DUMMYFUNCTION("""COMPUTED_VALUE"""),44187.0)</f>
        <v>44187</v>
      </c>
      <c r="D568" s="42" t="str">
        <f>IFERROR(__xludf.DUMMYFUNCTION("""COMPUTED_VALUE"""),"Mengerjakan ecommerce mobile Perbaikan bug di auth login , register, managing data get items &amp; category")</f>
        <v>Mengerjakan ecommerce mobile Perbaikan bug di auth login , register, managing data get items &amp; category</v>
      </c>
      <c r="E568" s="42"/>
      <c r="F568" s="42" t="str">
        <f>IFERROR(__xludf.DUMMYFUNCTION("""COMPUTED_VALUE"""),"Melanjutkan managing data update address , update picture , add transaction, ")</f>
        <v>Melanjutkan managing data update address , update picture , add transaction, </v>
      </c>
    </row>
    <row r="569">
      <c r="A569" s="43">
        <f>IFERROR(__xludf.DUMMYFUNCTION("""COMPUTED_VALUE"""),44187.3906025)</f>
        <v>44187.3906</v>
      </c>
      <c r="B569" s="42" t="str">
        <f>IFERROR(__xludf.DUMMYFUNCTION("""COMPUTED_VALUE"""),"Muhamad Faris Alkodri")</f>
        <v>Muhamad Faris Alkodri</v>
      </c>
      <c r="C569" s="44">
        <f>IFERROR(__xludf.DUMMYFUNCTION("""COMPUTED_VALUE"""),44187.0)</f>
        <v>44187</v>
      </c>
      <c r="D569" s="42" t="str">
        <f>IFERROR(__xludf.DUMMYFUNCTION("""COMPUTED_VALUE"""),"I have updated the add bag and adding loading modal for my reactjs, done pagination, add, search, sort and filter for admins")</f>
        <v>I have updated the add bag and adding loading modal for my reactjs, done pagination, add, search, sort and filter for admins</v>
      </c>
      <c r="E569" s="42" t="str">
        <f>IFERROR(__xludf.DUMMYFUNCTION("""COMPUTED_VALUE"""),"the problems are more of styling and make component being more responsive")</f>
        <v>the problems are more of styling and make component being more responsive</v>
      </c>
      <c r="F569" s="42" t="str">
        <f>IFERROR(__xludf.DUMMYFUNCTION("""COMPUTED_VALUE"""),"i want to continue for checkout and add address and also edit profile for user")</f>
        <v>i want to continue for checkout and add address and also edit profile for user</v>
      </c>
    </row>
    <row r="570">
      <c r="A570" s="43">
        <f>IFERROR(__xludf.DUMMYFUNCTION("""COMPUTED_VALUE"""),44187.39103131944)</f>
        <v>44187.39103</v>
      </c>
      <c r="B570" s="42" t="str">
        <f>IFERROR(__xludf.DUMMYFUNCTION("""COMPUTED_VALUE"""),"Rezha Maulana Jaya")</f>
        <v>Rezha Maulana Jaya</v>
      </c>
      <c r="C570" s="44">
        <f>IFERROR(__xludf.DUMMYFUNCTION("""COMPUTED_VALUE"""),44187.0)</f>
        <v>44187</v>
      </c>
      <c r="D570" s="42" t="str">
        <f>IFERROR(__xludf.DUMMYFUNCTION("""COMPUTED_VALUE"""),"deploy and build chat,fix desain newsportal")</f>
        <v>deploy and build chat,fix desain newsportal</v>
      </c>
      <c r="E570" s="42" t="str">
        <f>IFERROR(__xludf.DUMMYFUNCTION("""COMPUTED_VALUE"""),"di pagination ")</f>
        <v>di pagination </v>
      </c>
      <c r="F570" s="42" t="str">
        <f>IFERROR(__xludf.DUMMYFUNCTION("""COMPUTED_VALUE"""),"fix newsportal deploy and build
")</f>
        <v>fix newsportal deploy and build
</v>
      </c>
    </row>
    <row r="571">
      <c r="A571" s="43">
        <f>IFERROR(__xludf.DUMMYFUNCTION("""COMPUTED_VALUE"""),44187.41101976852)</f>
        <v>44187.41102</v>
      </c>
      <c r="B571" s="42" t="str">
        <f>IFERROR(__xludf.DUMMYFUNCTION("""COMPUTED_VALUE"""),"Ahmad Fatkhul Amam")</f>
        <v>Ahmad Fatkhul Amam</v>
      </c>
      <c r="C571" s="44">
        <f>IFERROR(__xludf.DUMMYFUNCTION("""COMPUTED_VALUE"""),44187.0)</f>
        <v>44187</v>
      </c>
      <c r="D571" s="42" t="str">
        <f>IFERROR(__xludf.DUMMYFUNCTION("""COMPUTED_VALUE"""),"styling blanja website")</f>
        <v>styling blanja website</v>
      </c>
      <c r="E571" s="42" t="str">
        <f>IFERROR(__xludf.DUMMYFUNCTION("""COMPUTED_VALUE"""),"forget some style for website and confused with mobile style")</f>
        <v>forget some style for website and confused with mobile style</v>
      </c>
      <c r="F571" s="42" t="str">
        <f>IFERROR(__xludf.DUMMYFUNCTION("""COMPUTED_VALUE"""),"still improving website style and managing data")</f>
        <v>still improving website style and managing data</v>
      </c>
    </row>
    <row r="572">
      <c r="A572" s="43">
        <f>IFERROR(__xludf.DUMMYFUNCTION("""COMPUTED_VALUE"""),44188.40605247685)</f>
        <v>44188.40605</v>
      </c>
      <c r="B572" s="42" t="str">
        <f>IFERROR(__xludf.DUMMYFUNCTION("""COMPUTED_VALUE"""),"Muhamad Faris Alkodri")</f>
        <v>Muhamad Faris Alkodri</v>
      </c>
      <c r="C572" s="44">
        <f>IFERROR(__xludf.DUMMYFUNCTION("""COMPUTED_VALUE"""),44188.0)</f>
        <v>44188</v>
      </c>
      <c r="D572" s="42" t="str">
        <f>IFERROR(__xludf.DUMMYFUNCTION("""COMPUTED_VALUE"""),"I was working on upload profile, and address in reactjs, also fixing update and add item")</f>
        <v>I was working on upload profile, and address in reactjs, also fixing update and add item</v>
      </c>
      <c r="E572" s="42" t="str">
        <f>IFERROR(__xludf.DUMMYFUNCTION("""COMPUTED_VALUE"""),"my problems are on uploading files but keeping the order, because i was append undefined for files that not uploaded yet but multer seems deleting it, it make the uploaded files does not ordered by users desire")</f>
        <v>my problems are on uploading files but keeping the order, because i was append undefined for files that not uploaded yet but multer seems deleting it, it make the uploaded files does not ordered by users desire</v>
      </c>
      <c r="F572" s="42" t="str">
        <f>IFERROR(__xludf.DUMMYFUNCTION("""COMPUTED_VALUE"""),"i want to make checkout, and transaction component")</f>
        <v>i want to make checkout, and transaction component</v>
      </c>
    </row>
    <row r="573">
      <c r="A573" s="43">
        <f>IFERROR(__xludf.DUMMYFUNCTION("""COMPUTED_VALUE"""),44189.38568836806)</f>
        <v>44189.38569</v>
      </c>
      <c r="B573" s="42" t="str">
        <f>IFERROR(__xludf.DUMMYFUNCTION("""COMPUTED_VALUE"""),"Muhamad Faris Alkodri")</f>
        <v>Muhamad Faris Alkodri</v>
      </c>
      <c r="C573" s="44">
        <f>IFERROR(__xludf.DUMMYFUNCTION("""COMPUTED_VALUE"""),44189.0)</f>
        <v>44189</v>
      </c>
      <c r="D573" s="42" t="str">
        <f>IFERROR(__xludf.DUMMYFUNCTION("""COMPUTED_VALUE"""),"I was decorating navigation bar, add search page and done filtering search page")</f>
        <v>I was decorating navigation bar, add search page and done filtering search page</v>
      </c>
      <c r="E573" s="42" t="str">
        <f>IFERROR(__xludf.DUMMYFUNCTION("""COMPUTED_VALUE"""),"i was having problem on using Popover component on reactstarp, and finally i make my own popover component to solve that")</f>
        <v>i was having problem on using Popover component on reactstarp, and finally i make my own popover component to solve that</v>
      </c>
      <c r="F573" s="42" t="str">
        <f>IFERROR(__xludf.DUMMYFUNCTION("""COMPUTED_VALUE"""),"i was going to slicing checkout page and transaction page, also edit profile and add address page")</f>
        <v>i was going to slicing checkout page and transaction page, also edit profile and add address page</v>
      </c>
    </row>
    <row r="574">
      <c r="A574" s="43">
        <f>IFERROR(__xludf.DUMMYFUNCTION("""COMPUTED_VALUE"""),44189.42508032407)</f>
        <v>44189.42508</v>
      </c>
      <c r="B574" s="42" t="str">
        <f>IFERROR(__xludf.DUMMYFUNCTION("""COMPUTED_VALUE"""),"Muhammad Abdurasyid")</f>
        <v>Muhammad Abdurasyid</v>
      </c>
      <c r="C574" s="44">
        <f>IFERROR(__xludf.DUMMYFUNCTION("""COMPUTED_VALUE"""),44189.0)</f>
        <v>44189</v>
      </c>
      <c r="D574" s="42" t="str">
        <f>IFERROR(__xludf.DUMMYFUNCTION("""COMPUTED_VALUE"""),"Slicing halaman hasil pencarian, berikut dengan integrasi ke backend utk proses pencarian produk, lengkap dengan sort &amp; pagination")</f>
        <v>Slicing halaman hasil pencarian, berikut dengan integrasi ke backend utk proses pencarian produk, lengkap dengan sort &amp; pagination</v>
      </c>
      <c r="E574" s="42" t="str">
        <f>IFERROR(__xludf.DUMMYFUNCTION("""COMPUTED_VALUE"""),"Saya sedikit kesulitan utk redirect pencarian ke halaman hasil pencarian, karena this.props.history.push selalu undefined. Setelah saya mengganti komponen navbar menjadi bentuk fungsional, saya dapat menggunakan useHistory dari react router sehingga redir"&amp;"ect halaman lebih mudah")</f>
        <v>Saya sedikit kesulitan utk redirect pencarian ke halaman hasil pencarian, karena this.props.history.push selalu undefined. Setelah saya mengganti komponen navbar menjadi bentuk fungsional, saya dapat menggunakan useHistory dari react router sehingga redirect halaman lebih mudah</v>
      </c>
      <c r="F574" s="42" t="str">
        <f>IFERROR(__xludf.DUMMYFUNCTION("""COMPUTED_VALUE"""),"Slicing halaman order, integrasi backend di bagian proses checkout &amp; my order")</f>
        <v>Slicing halaman order, integrasi backend di bagian proses checkout &amp; my order</v>
      </c>
    </row>
    <row r="575">
      <c r="A575" s="42"/>
      <c r="B575" s="42"/>
      <c r="C575" s="42"/>
      <c r="D575" s="42"/>
      <c r="E575" s="42"/>
      <c r="F575" s="42"/>
    </row>
    <row r="576">
      <c r="A576" s="42"/>
      <c r="B576" s="42"/>
      <c r="C576" s="42"/>
      <c r="D576" s="42"/>
      <c r="E576" s="42"/>
      <c r="F576" s="42"/>
    </row>
    <row r="577">
      <c r="A577" s="42"/>
      <c r="B577" s="42"/>
      <c r="C577" s="42"/>
      <c r="D577" s="42"/>
      <c r="E577" s="42"/>
      <c r="F577" s="42"/>
    </row>
    <row r="578">
      <c r="A578" s="42"/>
      <c r="B578" s="42"/>
      <c r="C578" s="42"/>
      <c r="D578" s="42"/>
      <c r="E578" s="42"/>
      <c r="F578" s="42"/>
    </row>
    <row r="579">
      <c r="A579" s="42"/>
      <c r="B579" s="42"/>
      <c r="C579" s="42"/>
      <c r="D579" s="42"/>
      <c r="E579" s="42"/>
      <c r="F579" s="42"/>
    </row>
    <row r="580">
      <c r="A580" s="42"/>
      <c r="B580" s="42"/>
      <c r="C580" s="42"/>
      <c r="D580" s="42"/>
      <c r="E580" s="42"/>
      <c r="F580" s="42"/>
    </row>
    <row r="581">
      <c r="A581" s="42"/>
      <c r="B581" s="42"/>
      <c r="C581" s="42"/>
      <c r="D581" s="42"/>
      <c r="E581" s="42"/>
      <c r="F581" s="42"/>
    </row>
    <row r="582">
      <c r="A582" s="42"/>
      <c r="B582" s="42"/>
      <c r="C582" s="42"/>
      <c r="D582" s="42"/>
      <c r="E582" s="42"/>
      <c r="F582" s="42"/>
    </row>
    <row r="583">
      <c r="A583" s="42"/>
      <c r="B583" s="42"/>
      <c r="C583" s="42"/>
      <c r="D583" s="42"/>
      <c r="E583" s="42"/>
      <c r="F583" s="42"/>
    </row>
    <row r="584">
      <c r="A584" s="42"/>
      <c r="B584" s="42"/>
      <c r="C584" s="42"/>
      <c r="D584" s="42"/>
      <c r="E584" s="42"/>
      <c r="F584" s="42"/>
    </row>
    <row r="585">
      <c r="A585" s="42"/>
      <c r="B585" s="42"/>
      <c r="C585" s="42"/>
      <c r="D585" s="42"/>
      <c r="E585" s="42"/>
      <c r="F585" s="42"/>
    </row>
    <row r="586">
      <c r="A586" s="42"/>
      <c r="B586" s="42"/>
      <c r="C586" s="42"/>
      <c r="D586" s="42"/>
      <c r="E586" s="42"/>
      <c r="F586" s="42"/>
    </row>
    <row r="587">
      <c r="A587" s="42"/>
      <c r="B587" s="42"/>
      <c r="C587" s="42"/>
      <c r="D587" s="42"/>
      <c r="E587" s="42"/>
      <c r="F587" s="42"/>
    </row>
    <row r="588">
      <c r="A588" s="42"/>
      <c r="B588" s="42"/>
      <c r="C588" s="42"/>
      <c r="D588" s="42"/>
      <c r="E588" s="42"/>
      <c r="F588" s="42"/>
    </row>
    <row r="589">
      <c r="A589" s="42"/>
      <c r="B589" s="42"/>
      <c r="C589" s="42"/>
      <c r="D589" s="42"/>
      <c r="E589" s="42"/>
      <c r="F589" s="42"/>
    </row>
    <row r="590">
      <c r="A590" s="42"/>
      <c r="B590" s="42"/>
      <c r="C590" s="42"/>
      <c r="D590" s="42"/>
      <c r="E590" s="42"/>
      <c r="F590" s="42"/>
    </row>
    <row r="591">
      <c r="A591" s="42"/>
      <c r="B591" s="42"/>
      <c r="C591" s="42"/>
      <c r="D591" s="42"/>
      <c r="E591" s="42"/>
      <c r="F591" s="42"/>
    </row>
    <row r="592">
      <c r="A592" s="42"/>
      <c r="B592" s="42"/>
      <c r="C592" s="42"/>
      <c r="D592" s="42"/>
      <c r="E592" s="42"/>
      <c r="F592" s="42"/>
    </row>
    <row r="593">
      <c r="A593" s="42"/>
      <c r="B593" s="42"/>
      <c r="C593" s="42"/>
      <c r="D593" s="42"/>
      <c r="E593" s="42"/>
      <c r="F593" s="42"/>
    </row>
    <row r="594">
      <c r="A594" s="42"/>
      <c r="B594" s="42"/>
      <c r="C594" s="42"/>
      <c r="D594" s="42"/>
      <c r="E594" s="42"/>
      <c r="F594" s="42"/>
    </row>
    <row r="595">
      <c r="A595" s="42"/>
      <c r="B595" s="42"/>
      <c r="C595" s="42"/>
      <c r="D595" s="42"/>
      <c r="E595" s="42"/>
      <c r="F595" s="42"/>
    </row>
    <row r="596">
      <c r="A596" s="42"/>
      <c r="B596" s="42"/>
      <c r="C596" s="42"/>
      <c r="D596" s="42"/>
      <c r="E596" s="42"/>
      <c r="F596" s="42"/>
    </row>
    <row r="597">
      <c r="A597" s="42"/>
      <c r="B597" s="42"/>
      <c r="C597" s="42"/>
      <c r="D597" s="42"/>
      <c r="E597" s="42"/>
      <c r="F597" s="42"/>
    </row>
    <row r="598">
      <c r="A598" s="42"/>
      <c r="B598" s="42"/>
      <c r="C598" s="42"/>
      <c r="D598" s="42"/>
      <c r="E598" s="42"/>
      <c r="F598" s="42"/>
    </row>
    <row r="599">
      <c r="A599" s="42"/>
      <c r="B599" s="42"/>
      <c r="C599" s="42"/>
      <c r="D599" s="42"/>
      <c r="E599" s="42"/>
      <c r="F599" s="42"/>
    </row>
    <row r="600">
      <c r="A600" s="42"/>
      <c r="B600" s="42"/>
      <c r="C600" s="42"/>
      <c r="D600" s="42"/>
      <c r="E600" s="42"/>
      <c r="F600" s="42"/>
    </row>
    <row r="601">
      <c r="A601" s="42"/>
      <c r="B601" s="42"/>
      <c r="C601" s="42"/>
      <c r="D601" s="42"/>
      <c r="E601" s="42"/>
      <c r="F601" s="42"/>
    </row>
    <row r="602">
      <c r="A602" s="42"/>
      <c r="B602" s="42"/>
      <c r="C602" s="42"/>
      <c r="D602" s="42"/>
      <c r="E602" s="42"/>
      <c r="F602" s="42"/>
    </row>
    <row r="603">
      <c r="A603" s="42"/>
      <c r="B603" s="42"/>
      <c r="C603" s="42"/>
      <c r="D603" s="42"/>
      <c r="E603" s="42"/>
      <c r="F603" s="42"/>
    </row>
    <row r="604">
      <c r="A604" s="42"/>
      <c r="B604" s="42"/>
      <c r="C604" s="42"/>
      <c r="D604" s="42"/>
      <c r="E604" s="42"/>
      <c r="F604" s="42"/>
    </row>
    <row r="605">
      <c r="A605" s="42"/>
      <c r="B605" s="42"/>
      <c r="C605" s="42"/>
      <c r="D605" s="42"/>
      <c r="E605" s="42"/>
      <c r="F605" s="42"/>
    </row>
    <row r="606">
      <c r="A606" s="42"/>
      <c r="B606" s="42"/>
      <c r="C606" s="42"/>
      <c r="D606" s="42"/>
      <c r="E606" s="42"/>
      <c r="F606" s="42"/>
    </row>
    <row r="607">
      <c r="A607" s="42"/>
      <c r="B607" s="42"/>
      <c r="C607" s="42"/>
      <c r="D607" s="42"/>
      <c r="E607" s="42"/>
      <c r="F607" s="42"/>
    </row>
    <row r="608">
      <c r="A608" s="42"/>
      <c r="B608" s="42"/>
      <c r="C608" s="42"/>
      <c r="D608" s="42"/>
      <c r="E608" s="42"/>
      <c r="F608" s="42"/>
    </row>
    <row r="609">
      <c r="A609" s="42"/>
      <c r="B609" s="42"/>
      <c r="C609" s="42"/>
      <c r="D609" s="42"/>
      <c r="E609" s="42"/>
      <c r="F609" s="42"/>
    </row>
    <row r="610">
      <c r="A610" s="42"/>
      <c r="B610" s="42"/>
      <c r="C610" s="42"/>
      <c r="D610" s="42"/>
      <c r="E610" s="42"/>
      <c r="F610" s="42"/>
    </row>
    <row r="611">
      <c r="A611" s="42"/>
      <c r="B611" s="42"/>
      <c r="C611" s="42"/>
      <c r="D611" s="42"/>
      <c r="E611" s="42"/>
      <c r="F611" s="42"/>
    </row>
    <row r="612">
      <c r="A612" s="42"/>
      <c r="B612" s="42"/>
      <c r="C612" s="42"/>
      <c r="D612" s="42"/>
      <c r="E612" s="42"/>
      <c r="F612" s="42"/>
    </row>
    <row r="613">
      <c r="A613" s="42"/>
      <c r="B613" s="42"/>
      <c r="C613" s="42"/>
      <c r="D613" s="42"/>
      <c r="E613" s="42"/>
      <c r="F613" s="42"/>
    </row>
    <row r="614">
      <c r="A614" s="42"/>
      <c r="B614" s="42"/>
      <c r="C614" s="42"/>
      <c r="D614" s="42"/>
      <c r="E614" s="42"/>
      <c r="F614" s="42"/>
    </row>
    <row r="615">
      <c r="A615" s="42"/>
      <c r="B615" s="42"/>
      <c r="C615" s="42"/>
      <c r="D615" s="42"/>
      <c r="E615" s="42"/>
      <c r="F615" s="42"/>
    </row>
    <row r="616">
      <c r="A616" s="42"/>
      <c r="B616" s="42"/>
      <c r="C616" s="42"/>
      <c r="D616" s="42"/>
      <c r="E616" s="42"/>
      <c r="F616" s="42"/>
    </row>
    <row r="617">
      <c r="A617" s="42"/>
      <c r="B617" s="42"/>
      <c r="C617" s="42"/>
      <c r="D617" s="42"/>
      <c r="E617" s="42"/>
      <c r="F617" s="42"/>
    </row>
    <row r="618">
      <c r="A618" s="42"/>
      <c r="B618" s="42"/>
      <c r="C618" s="42"/>
      <c r="D618" s="42"/>
      <c r="E618" s="42"/>
      <c r="F618" s="42"/>
    </row>
    <row r="619">
      <c r="A619" s="42"/>
      <c r="B619" s="42"/>
      <c r="C619" s="42"/>
      <c r="D619" s="42"/>
      <c r="E619" s="42"/>
      <c r="F619" s="42"/>
    </row>
    <row r="620">
      <c r="A620" s="42"/>
      <c r="B620" s="42"/>
      <c r="C620" s="42"/>
      <c r="D620" s="42"/>
      <c r="E620" s="42"/>
      <c r="F620" s="42"/>
    </row>
    <row r="621">
      <c r="A621" s="42"/>
      <c r="B621" s="42"/>
      <c r="C621" s="42"/>
      <c r="D621" s="42"/>
      <c r="E621" s="42"/>
      <c r="F621" s="42"/>
    </row>
    <row r="622">
      <c r="A622" s="42"/>
      <c r="B622" s="42"/>
      <c r="C622" s="42"/>
      <c r="D622" s="42"/>
      <c r="E622" s="42"/>
      <c r="F622" s="42"/>
    </row>
    <row r="623">
      <c r="A623" s="42"/>
      <c r="B623" s="42"/>
      <c r="C623" s="42"/>
      <c r="D623" s="42"/>
      <c r="E623" s="42"/>
      <c r="F623" s="42"/>
    </row>
    <row r="624">
      <c r="A624" s="42"/>
      <c r="B624" s="42"/>
      <c r="C624" s="42"/>
      <c r="D624" s="42"/>
      <c r="E624" s="42"/>
      <c r="F624" s="42"/>
    </row>
    <row r="625">
      <c r="A625" s="42"/>
      <c r="B625" s="42"/>
      <c r="C625" s="42"/>
      <c r="D625" s="42"/>
      <c r="E625" s="42"/>
      <c r="F625" s="42"/>
    </row>
    <row r="626">
      <c r="A626" s="42"/>
      <c r="B626" s="42"/>
      <c r="C626" s="42"/>
      <c r="D626" s="42"/>
      <c r="E626" s="42"/>
      <c r="F626" s="42"/>
    </row>
    <row r="627">
      <c r="A627" s="42"/>
      <c r="B627" s="42"/>
      <c r="C627" s="42"/>
      <c r="D627" s="42"/>
      <c r="E627" s="42"/>
      <c r="F627" s="42"/>
    </row>
    <row r="628">
      <c r="A628" s="42"/>
      <c r="B628" s="42"/>
      <c r="C628" s="42"/>
      <c r="D628" s="42"/>
      <c r="E628" s="42"/>
      <c r="F628" s="42"/>
    </row>
    <row r="629">
      <c r="A629" s="42"/>
      <c r="B629" s="42"/>
      <c r="C629" s="42"/>
      <c r="D629" s="42"/>
      <c r="E629" s="42"/>
      <c r="F629" s="42"/>
    </row>
    <row r="630">
      <c r="A630" s="42"/>
      <c r="B630" s="42"/>
      <c r="C630" s="42"/>
      <c r="D630" s="42"/>
      <c r="E630" s="42"/>
      <c r="F630" s="42"/>
    </row>
    <row r="631">
      <c r="A631" s="42"/>
      <c r="B631" s="42"/>
      <c r="C631" s="42"/>
      <c r="D631" s="42"/>
      <c r="E631" s="42"/>
      <c r="F631" s="42"/>
    </row>
    <row r="632">
      <c r="A632" s="42"/>
      <c r="B632" s="42"/>
      <c r="C632" s="42"/>
      <c r="D632" s="42"/>
      <c r="E632" s="42"/>
      <c r="F632" s="42"/>
    </row>
    <row r="633">
      <c r="A633" s="42"/>
      <c r="B633" s="42"/>
      <c r="C633" s="42"/>
      <c r="D633" s="42"/>
      <c r="E633" s="42"/>
      <c r="F633" s="42"/>
    </row>
    <row r="634">
      <c r="A634" s="42"/>
      <c r="B634" s="42"/>
      <c r="C634" s="42"/>
      <c r="D634" s="42"/>
      <c r="E634" s="42"/>
      <c r="F634" s="42"/>
    </row>
    <row r="635">
      <c r="A635" s="42"/>
      <c r="B635" s="42"/>
      <c r="C635" s="42"/>
      <c r="D635" s="42"/>
      <c r="E635" s="42"/>
      <c r="F635" s="42"/>
    </row>
    <row r="636">
      <c r="A636" s="42"/>
      <c r="B636" s="42"/>
      <c r="C636" s="42"/>
      <c r="D636" s="42"/>
      <c r="E636" s="42"/>
      <c r="F636" s="42"/>
    </row>
    <row r="637">
      <c r="A637" s="42"/>
      <c r="B637" s="42"/>
      <c r="C637" s="42"/>
      <c r="D637" s="42"/>
      <c r="E637" s="42"/>
      <c r="F637" s="42"/>
    </row>
    <row r="638">
      <c r="A638" s="42"/>
      <c r="B638" s="42"/>
      <c r="C638" s="42"/>
      <c r="D638" s="42"/>
      <c r="E638" s="42"/>
      <c r="F638" s="42"/>
    </row>
    <row r="639">
      <c r="A639" s="42"/>
      <c r="B639" s="42"/>
      <c r="C639" s="42"/>
      <c r="D639" s="42"/>
      <c r="E639" s="42"/>
      <c r="F639" s="42"/>
    </row>
    <row r="640">
      <c r="A640" s="42"/>
      <c r="B640" s="42"/>
      <c r="C640" s="42"/>
      <c r="D640" s="42"/>
      <c r="E640" s="42"/>
      <c r="F640" s="42"/>
    </row>
    <row r="641">
      <c r="A641" s="42"/>
      <c r="B641" s="42"/>
      <c r="C641" s="42"/>
      <c r="D641" s="42"/>
      <c r="E641" s="42"/>
      <c r="F641" s="42"/>
    </row>
    <row r="642">
      <c r="A642" s="42"/>
      <c r="B642" s="42"/>
      <c r="C642" s="42"/>
      <c r="D642" s="42"/>
      <c r="E642" s="42"/>
      <c r="F642" s="42"/>
    </row>
    <row r="643">
      <c r="A643" s="42"/>
      <c r="B643" s="42"/>
      <c r="C643" s="42"/>
      <c r="D643" s="42"/>
      <c r="E643" s="42"/>
      <c r="F643" s="42"/>
    </row>
    <row r="644">
      <c r="A644" s="42"/>
      <c r="B644" s="42"/>
      <c r="C644" s="42"/>
      <c r="D644" s="42"/>
      <c r="E644" s="42"/>
      <c r="F644" s="42"/>
    </row>
    <row r="645">
      <c r="A645" s="42"/>
      <c r="B645" s="42"/>
      <c r="C645" s="42"/>
      <c r="D645" s="42"/>
      <c r="E645" s="42"/>
      <c r="F645" s="42"/>
    </row>
    <row r="646">
      <c r="A646" s="42"/>
      <c r="B646" s="42"/>
      <c r="C646" s="42"/>
      <c r="D646" s="42"/>
      <c r="E646" s="42"/>
      <c r="F646" s="42"/>
    </row>
    <row r="647">
      <c r="A647" s="42"/>
      <c r="B647" s="42"/>
      <c r="C647" s="42"/>
      <c r="D647" s="42"/>
      <c r="E647" s="42"/>
      <c r="F647" s="42"/>
    </row>
    <row r="648">
      <c r="A648" s="42"/>
      <c r="B648" s="42"/>
      <c r="C648" s="42"/>
      <c r="D648" s="42"/>
      <c r="E648" s="42"/>
      <c r="F648" s="42"/>
    </row>
    <row r="649">
      <c r="A649" s="42"/>
      <c r="B649" s="42"/>
      <c r="C649" s="42"/>
      <c r="D649" s="42"/>
      <c r="E649" s="42"/>
      <c r="F649" s="42"/>
    </row>
    <row r="650">
      <c r="A650" s="42"/>
      <c r="B650" s="42"/>
      <c r="C650" s="42"/>
      <c r="D650" s="42"/>
      <c r="E650" s="42"/>
      <c r="F650" s="42"/>
    </row>
    <row r="651">
      <c r="A651" s="42"/>
      <c r="B651" s="42"/>
      <c r="C651" s="42"/>
      <c r="D651" s="42"/>
      <c r="E651" s="42"/>
      <c r="F651" s="42"/>
    </row>
    <row r="652">
      <c r="A652" s="42"/>
      <c r="B652" s="42"/>
      <c r="C652" s="42"/>
      <c r="D652" s="42"/>
      <c r="E652" s="42"/>
      <c r="F652" s="42"/>
    </row>
    <row r="653">
      <c r="A653" s="42"/>
      <c r="B653" s="42"/>
      <c r="C653" s="42"/>
      <c r="D653" s="42"/>
      <c r="E653" s="42"/>
      <c r="F653" s="42"/>
    </row>
    <row r="654">
      <c r="A654" s="42"/>
      <c r="B654" s="42"/>
      <c r="C654" s="42"/>
      <c r="D654" s="42"/>
      <c r="E654" s="42"/>
      <c r="F654" s="42"/>
    </row>
    <row r="655">
      <c r="A655" s="42"/>
      <c r="B655" s="42"/>
      <c r="C655" s="42"/>
      <c r="D655" s="42"/>
      <c r="E655" s="42"/>
      <c r="F655" s="42"/>
    </row>
    <row r="656">
      <c r="A656" s="42"/>
      <c r="B656" s="42"/>
      <c r="C656" s="42"/>
      <c r="D656" s="42"/>
      <c r="E656" s="42"/>
      <c r="F656" s="42"/>
    </row>
    <row r="657">
      <c r="A657" s="42"/>
      <c r="B657" s="42"/>
      <c r="C657" s="42"/>
      <c r="D657" s="42"/>
      <c r="E657" s="42"/>
      <c r="F657" s="42"/>
    </row>
    <row r="658">
      <c r="A658" s="42"/>
      <c r="B658" s="42"/>
      <c r="C658" s="42"/>
      <c r="D658" s="42"/>
      <c r="E658" s="42"/>
      <c r="F658" s="42"/>
    </row>
    <row r="659">
      <c r="A659" s="42"/>
      <c r="B659" s="42"/>
      <c r="C659" s="42"/>
      <c r="D659" s="42"/>
      <c r="E659" s="42"/>
      <c r="F659" s="42"/>
    </row>
    <row r="660">
      <c r="A660" s="42"/>
      <c r="B660" s="42"/>
      <c r="C660" s="42"/>
      <c r="D660" s="42"/>
      <c r="E660" s="42"/>
      <c r="F660" s="42"/>
    </row>
    <row r="661">
      <c r="A661" s="42"/>
      <c r="B661" s="42"/>
      <c r="C661" s="42"/>
      <c r="D661" s="42"/>
      <c r="E661" s="42"/>
      <c r="F661" s="42"/>
    </row>
    <row r="662">
      <c r="A662" s="42"/>
      <c r="B662" s="42"/>
      <c r="C662" s="42"/>
      <c r="D662" s="42"/>
      <c r="E662" s="42"/>
      <c r="F662" s="42"/>
    </row>
    <row r="663">
      <c r="A663" s="42"/>
      <c r="B663" s="42"/>
      <c r="C663" s="42"/>
      <c r="D663" s="42"/>
      <c r="E663" s="42"/>
      <c r="F663" s="42"/>
    </row>
    <row r="664">
      <c r="A664" s="42"/>
      <c r="B664" s="42"/>
      <c r="C664" s="42"/>
      <c r="D664" s="42"/>
      <c r="E664" s="42"/>
      <c r="F664" s="42"/>
    </row>
    <row r="665">
      <c r="A665" s="42"/>
      <c r="B665" s="42"/>
      <c r="C665" s="42"/>
      <c r="D665" s="42"/>
      <c r="E665" s="42"/>
      <c r="F665" s="42"/>
    </row>
    <row r="666">
      <c r="A666" s="42"/>
      <c r="B666" s="42"/>
      <c r="C666" s="42"/>
      <c r="D666" s="42"/>
      <c r="E666" s="42"/>
      <c r="F666" s="42"/>
    </row>
    <row r="667">
      <c r="A667" s="42"/>
      <c r="B667" s="42"/>
      <c r="C667" s="42"/>
      <c r="D667" s="42"/>
      <c r="E667" s="42"/>
      <c r="F667" s="42"/>
    </row>
    <row r="668">
      <c r="A668" s="42"/>
      <c r="B668" s="42"/>
      <c r="C668" s="42"/>
      <c r="D668" s="42"/>
      <c r="E668" s="42"/>
      <c r="F668" s="42"/>
    </row>
    <row r="669">
      <c r="A669" s="42"/>
      <c r="B669" s="42"/>
      <c r="C669" s="42"/>
      <c r="D669" s="42"/>
      <c r="E669" s="42"/>
      <c r="F669" s="42"/>
    </row>
    <row r="670">
      <c r="A670" s="42"/>
      <c r="B670" s="42"/>
      <c r="C670" s="42"/>
      <c r="D670" s="42"/>
      <c r="E670" s="42"/>
      <c r="F670" s="42"/>
    </row>
    <row r="671">
      <c r="A671" s="42"/>
      <c r="B671" s="42"/>
      <c r="C671" s="42"/>
      <c r="D671" s="42"/>
      <c r="E671" s="42"/>
      <c r="F671" s="42"/>
    </row>
    <row r="672">
      <c r="A672" s="42"/>
      <c r="B672" s="42"/>
      <c r="C672" s="42"/>
      <c r="D672" s="42"/>
      <c r="E672" s="42"/>
      <c r="F672" s="42"/>
    </row>
    <row r="673">
      <c r="A673" s="42"/>
      <c r="B673" s="42"/>
      <c r="C673" s="42"/>
      <c r="D673" s="42"/>
      <c r="E673" s="42"/>
      <c r="F673" s="42"/>
    </row>
    <row r="674">
      <c r="A674" s="42"/>
      <c r="B674" s="42"/>
      <c r="C674" s="42"/>
      <c r="D674" s="42"/>
      <c r="E674" s="42"/>
      <c r="F674" s="4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7.14"/>
  </cols>
  <sheetData>
    <row r="1">
      <c r="A1" s="45" t="str">
        <f>IFERROR(__xludf.DUMMYFUNCTION("IMPORTRANGE(""https://docs.google.com/spreadsheets/d/1IBkD4-5PcXY29EMQYXfvJHM8pQCpCfAbLgZuPg7fGhY/edit?usp=sharing"", ""$A:$M"")"),"Timestamp")</f>
        <v>Timestamp</v>
      </c>
      <c r="B1" s="42" t="str">
        <f>IFERROR(__xludf.DUMMYFUNCTION("""COMPUTED_VALUE"""),"Nama")</f>
        <v>Nama</v>
      </c>
      <c r="C1" s="42" t="str">
        <f>IFERROR(__xludf.DUMMYFUNCTION("""COMPUTED_VALUE"""),"CAMP")</f>
        <v>CAMP</v>
      </c>
      <c r="D1" s="42" t="str">
        <f>IFERROR(__xludf.DUMMYFUNCTION("""COMPUTED_VALUE"""),"Track")</f>
        <v>Track</v>
      </c>
      <c r="E1" s="42" t="str">
        <f>IFERROR(__xludf.DUMMYFUNCTION("""COMPUTED_VALUE"""),"Batch")</f>
        <v>Batch</v>
      </c>
      <c r="F1" s="42" t="str">
        <f>IFERROR(__xludf.DUMMYFUNCTION("""COMPUTED_VALUE"""),"Kloter")</f>
        <v>Kloter</v>
      </c>
      <c r="G1" s="42" t="str">
        <f>IFERROR(__xludf.DUMMYFUNCTION("""COMPUTED_VALUE"""),"Quiz Code")</f>
        <v>Quiz Code</v>
      </c>
      <c r="H1" s="42" t="str">
        <f>IFERROR(__xludf.DUMMYFUNCTION("""COMPUTED_VALUE"""),"Quiz Type")</f>
        <v>Quiz Type</v>
      </c>
      <c r="I1" s="42" t="str">
        <f>IFERROR(__xludf.DUMMYFUNCTION("""COMPUTED_VALUE"""),"Link answer code")</f>
        <v>Link answer code</v>
      </c>
      <c r="J1" s="42" t="str">
        <f>IFERROR(__xludf.DUMMYFUNCTION("""COMPUTED_VALUE"""),"Link answer flowchart")</f>
        <v>Link answer flowchart</v>
      </c>
      <c r="K1" s="42" t="str">
        <f>IFERROR(__xludf.DUMMYFUNCTION("""COMPUTED_VALUE"""),"File answer flowchart")</f>
        <v>File answer flowchart</v>
      </c>
      <c r="L1" s="42" t="str">
        <f>IFERROR(__xludf.DUMMYFUNCTION("""COMPUTED_VALUE"""),"Nilai")</f>
        <v>Nilai</v>
      </c>
      <c r="M1" s="42" t="str">
        <f>IFERROR(__xludf.DUMMYFUNCTION("""COMPUTED_VALUE"""),"Catatan")</f>
        <v>Catatan</v>
      </c>
    </row>
    <row r="2">
      <c r="A2" s="43">
        <f>IFERROR(__xludf.DUMMYFUNCTION("""COMPUTED_VALUE"""),43999.573727627314)</f>
        <v>43999.57373</v>
      </c>
      <c r="B2" s="42" t="str">
        <f>IFERROR(__xludf.DUMMYFUNCTION("""COMPUTED_VALUE"""),"Muhamad Adam")</f>
        <v>Muhamad Adam</v>
      </c>
      <c r="C2" s="42" t="str">
        <f>IFERROR(__xludf.DUMMYFUNCTION("""COMPUTED_VALUE"""),"Online")</f>
        <v>Online</v>
      </c>
      <c r="D2" s="42" t="str">
        <f>IFERROR(__xludf.DUMMYFUNCTION("""COMPUTED_VALUE"""),"Fullstack Mobile Developer")</f>
        <v>Fullstack Mobile Developer</v>
      </c>
      <c r="E2" s="42">
        <f>IFERROR(__xludf.DUMMYFUNCTION("""COMPUTED_VALUE"""),16.0)</f>
        <v>16</v>
      </c>
      <c r="F2" s="42">
        <f>IFERROR(__xludf.DUMMYFUNCTION("""COMPUTED_VALUE"""),3.0)</f>
        <v>3</v>
      </c>
      <c r="G2" s="42" t="str">
        <f>IFERROR(__xludf.DUMMYFUNCTION("""COMPUTED_VALUE"""),"ARKWH1")</f>
        <v>ARKWH1</v>
      </c>
      <c r="H2" s="42" t="str">
        <f>IFERROR(__xludf.DUMMYFUNCTION("""COMPUTED_VALUE"""),"Flowchart + Logic")</f>
        <v>Flowchart + Logic</v>
      </c>
      <c r="I2" s="46" t="str">
        <f>IFERROR(__xludf.DUMMYFUNCTION("""COMPUTED_VALUE"""),"https://repl.it/@MuhamadAdam/ARKWH1")</f>
        <v>https://repl.it/@MuhamadAdam/ARKWH1</v>
      </c>
      <c r="J2" s="46" t="str">
        <f>IFERROR(__xludf.DUMMYFUNCTION("""COMPUTED_VALUE"""),"https://drive.google.com/file/d/1i-NAxzbg4UjdWqCXq5bleBcXfB5stMwQ/view?usp=sharing")</f>
        <v>https://drive.google.com/file/d/1i-NAxzbg4UjdWqCXq5bleBcXfB5stMwQ/view?usp=sharing</v>
      </c>
      <c r="K2" s="42"/>
      <c r="L2" s="42"/>
      <c r="M2" s="42"/>
    </row>
    <row r="3">
      <c r="A3" s="43">
        <f>IFERROR(__xludf.DUMMYFUNCTION("""COMPUTED_VALUE"""),43999.578406099536)</f>
        <v>43999.57841</v>
      </c>
      <c r="B3" s="42" t="str">
        <f>IFERROR(__xludf.DUMMYFUNCTION("""COMPUTED_VALUE"""),"Ilham Bagas Saputra")</f>
        <v>Ilham Bagas Saputra</v>
      </c>
      <c r="C3" s="42" t="str">
        <f>IFERROR(__xludf.DUMMYFUNCTION("""COMPUTED_VALUE"""),"Online")</f>
        <v>Online</v>
      </c>
      <c r="D3" s="42" t="str">
        <f>IFERROR(__xludf.DUMMYFUNCTION("""COMPUTED_VALUE"""),"Fullstack Mobile Developer")</f>
        <v>Fullstack Mobile Developer</v>
      </c>
      <c r="E3" s="42">
        <f>IFERROR(__xludf.DUMMYFUNCTION("""COMPUTED_VALUE"""),16.0)</f>
        <v>16</v>
      </c>
      <c r="F3" s="42">
        <f>IFERROR(__xludf.DUMMYFUNCTION("""COMPUTED_VALUE"""),2.0)</f>
        <v>2</v>
      </c>
      <c r="G3" s="42" t="str">
        <f>IFERROR(__xludf.DUMMYFUNCTION("""COMPUTED_VALUE"""),"ARKWH1")</f>
        <v>ARKWH1</v>
      </c>
      <c r="H3" s="42" t="str">
        <f>IFERROR(__xludf.DUMMYFUNCTION("""COMPUTED_VALUE"""),"Flowchart + Logic")</f>
        <v>Flowchart + Logic</v>
      </c>
      <c r="I3" s="46" t="str">
        <f>IFERROR(__xludf.DUMMYFUNCTION("""COMPUTED_VALUE"""),"https://repl.it/@bgsilham/QuizWeek1-IlhamBagasSaputra")</f>
        <v>https://repl.it/@bgsilham/QuizWeek1-IlhamBagasSaputra</v>
      </c>
      <c r="J3" s="46" t="str">
        <f>IFERROR(__xludf.DUMMYFUNCTION("""COMPUTED_VALUE"""),"https://drive.google.com/file/d/1n_k0DSpDljLA-Zux0IfLd1TjvpE1yDUj/view?usp=sharing")</f>
        <v>https://drive.google.com/file/d/1n_k0DSpDljLA-Zux0IfLd1TjvpE1yDUj/view?usp=sharing</v>
      </c>
      <c r="K3" s="42"/>
      <c r="L3" s="42">
        <f>IFERROR(__xludf.DUMMYFUNCTION("""COMPUTED_VALUE"""),1.8)</f>
        <v>1.8</v>
      </c>
      <c r="M3" s="42" t="str">
        <f>IFERROR(__xludf.DUMMYFUNCTION("""COMPUTED_VALUE"""),"Hasil sesuai ekspektasi. Flowchart masih bisa dipersingkat lagi")</f>
        <v>Hasil sesuai ekspektasi. Flowchart masih bisa dipersingkat lagi</v>
      </c>
    </row>
    <row r="4">
      <c r="A4" s="43">
        <f>IFERROR(__xludf.DUMMYFUNCTION("""COMPUTED_VALUE"""),43999.587406516206)</f>
        <v>43999.58741</v>
      </c>
      <c r="B4" s="42" t="str">
        <f>IFERROR(__xludf.DUMMYFUNCTION("""COMPUTED_VALUE"""),"Dwiky Satria Hutomo")</f>
        <v>Dwiky Satria Hutomo</v>
      </c>
      <c r="C4" s="42" t="str">
        <f>IFERROR(__xludf.DUMMYFUNCTION("""COMPUTED_VALUE"""),"Online")</f>
        <v>Online</v>
      </c>
      <c r="D4" s="42" t="str">
        <f>IFERROR(__xludf.DUMMYFUNCTION("""COMPUTED_VALUE"""),"Fullstack Mobile Developer")</f>
        <v>Fullstack Mobile Developer</v>
      </c>
      <c r="E4" s="42">
        <f>IFERROR(__xludf.DUMMYFUNCTION("""COMPUTED_VALUE"""),16.0)</f>
        <v>16</v>
      </c>
      <c r="F4" s="42">
        <f>IFERROR(__xludf.DUMMYFUNCTION("""COMPUTED_VALUE"""),1.0)</f>
        <v>1</v>
      </c>
      <c r="G4" s="42" t="str">
        <f>IFERROR(__xludf.DUMMYFUNCTION("""COMPUTED_VALUE"""),"ARKWH1")</f>
        <v>ARKWH1</v>
      </c>
      <c r="H4" s="42" t="str">
        <f>IFERROR(__xludf.DUMMYFUNCTION("""COMPUTED_VALUE"""),"Flowchart + Logic")</f>
        <v>Flowchart + Logic</v>
      </c>
      <c r="I4" s="46" t="str">
        <f>IFERROR(__xludf.DUMMYFUNCTION("""COMPUTED_VALUE"""),"https://playcode.io/622367/")</f>
        <v>https://playcode.io/622367/</v>
      </c>
      <c r="J4" s="46" t="str">
        <f>IFERROR(__xludf.DUMMYFUNCTION("""COMPUTED_VALUE"""),"https://drive.google.com/file/d/1IGdBbA8tk1BhO9p_jbqoy5hWERbwQTq_/view?usp=sharing")</f>
        <v>https://drive.google.com/file/d/1IGdBbA8tk1BhO9p_jbqoy5hWERbwQTq_/view?usp=sharing</v>
      </c>
      <c r="K4" s="42"/>
      <c r="L4" s="42">
        <f>IFERROR(__xludf.DUMMYFUNCTION("""COMPUTED_VALUE"""),2.0)</f>
        <v>2</v>
      </c>
      <c r="M4" s="42"/>
    </row>
    <row r="5">
      <c r="A5" s="43">
        <f>IFERROR(__xludf.DUMMYFUNCTION("""COMPUTED_VALUE"""),43999.588375949075)</f>
        <v>43999.58838</v>
      </c>
      <c r="B5" s="42" t="str">
        <f>IFERROR(__xludf.DUMMYFUNCTION("""COMPUTED_VALUE"""),"Muhamad Abiyasa Sastra Wardana")</f>
        <v>Muhamad Abiyasa Sastra Wardana</v>
      </c>
      <c r="C5" s="42" t="str">
        <f>IFERROR(__xludf.DUMMYFUNCTION("""COMPUTED_VALUE"""),"Online")</f>
        <v>Online</v>
      </c>
      <c r="D5" s="42" t="str">
        <f>IFERROR(__xludf.DUMMYFUNCTION("""COMPUTED_VALUE"""),"Fullstack Mobile Developer")</f>
        <v>Fullstack Mobile Developer</v>
      </c>
      <c r="E5" s="42">
        <f>IFERROR(__xludf.DUMMYFUNCTION("""COMPUTED_VALUE"""),16.0)</f>
        <v>16</v>
      </c>
      <c r="F5" s="42">
        <f>IFERROR(__xludf.DUMMYFUNCTION("""COMPUTED_VALUE"""),3.0)</f>
        <v>3</v>
      </c>
      <c r="G5" s="42" t="str">
        <f>IFERROR(__xludf.DUMMYFUNCTION("""COMPUTED_VALUE"""),"ARKWH1")</f>
        <v>ARKWH1</v>
      </c>
      <c r="H5" s="42" t="str">
        <f>IFERROR(__xludf.DUMMYFUNCTION("""COMPUTED_VALUE"""),"Flowchart + Logic")</f>
        <v>Flowchart + Logic</v>
      </c>
      <c r="I5" s="46" t="str">
        <f>IFERROR(__xludf.DUMMYFUNCTION("""COMPUTED_VALUE"""),"https://repl.it/@byasaa/Quiz-Arkademy-Week-1#index.js")</f>
        <v>https://repl.it/@byasaa/Quiz-Arkademy-Week-1#index.js</v>
      </c>
      <c r="J5" s="46" t="str">
        <f>IFERROR(__xludf.DUMMYFUNCTION("""COMPUTED_VALUE"""),"https://drive.google.com/file/d/1dd_8tqwvqB-9rfzqKBdk95GM340QOGOD/view?usp=sharing")</f>
        <v>https://drive.google.com/file/d/1dd_8tqwvqB-9rfzqKBdk95GM340QOGOD/view?usp=sharing</v>
      </c>
      <c r="K5" s="42"/>
      <c r="L5" s="42">
        <f>IFERROR(__xludf.DUMMYFUNCTION("""COMPUTED_VALUE"""),1.0)</f>
        <v>1</v>
      </c>
      <c r="M5" s="42" t="str">
        <f>IFERROR(__xludf.DUMMYFUNCTION("""COMPUTED_VALUE"""),"flowchart nya ga bisa diakses")</f>
        <v>flowchart nya ga bisa diakses</v>
      </c>
    </row>
    <row r="6">
      <c r="A6" s="43">
        <f>IFERROR(__xludf.DUMMYFUNCTION("""COMPUTED_VALUE"""),43999.58944210648)</f>
        <v>43999.58944</v>
      </c>
      <c r="B6" s="42" t="str">
        <f>IFERROR(__xludf.DUMMYFUNCTION("""COMPUTED_VALUE"""),"Bilkis Ismail")</f>
        <v>Bilkis Ismail</v>
      </c>
      <c r="C6" s="42" t="str">
        <f>IFERROR(__xludf.DUMMYFUNCTION("""COMPUTED_VALUE"""),"Online")</f>
        <v>Online</v>
      </c>
      <c r="D6" s="42" t="str">
        <f>IFERROR(__xludf.DUMMYFUNCTION("""COMPUTED_VALUE"""),"Fullstack Mobile Developer")</f>
        <v>Fullstack Mobile Developer</v>
      </c>
      <c r="E6" s="42">
        <f>IFERROR(__xludf.DUMMYFUNCTION("""COMPUTED_VALUE"""),16.0)</f>
        <v>16</v>
      </c>
      <c r="F6" s="42">
        <f>IFERROR(__xludf.DUMMYFUNCTION("""COMPUTED_VALUE"""),2.0)</f>
        <v>2</v>
      </c>
      <c r="G6" s="42" t="str">
        <f>IFERROR(__xludf.DUMMYFUNCTION("""COMPUTED_VALUE"""),"ARKWH1")</f>
        <v>ARKWH1</v>
      </c>
      <c r="H6" s="42" t="str">
        <f>IFERROR(__xludf.DUMMYFUNCTION("""COMPUTED_VALUE"""),"Flowchart + Logic")</f>
        <v>Flowchart + Logic</v>
      </c>
      <c r="I6" s="46" t="str">
        <f>IFERROR(__xludf.DUMMYFUNCTION("""COMPUTED_VALUE"""),"https://playcode.io/622360/")</f>
        <v>https://playcode.io/622360/</v>
      </c>
      <c r="J6" s="46" t="str">
        <f>IFERROR(__xludf.DUMMYFUNCTION("""COMPUTED_VALUE"""),"https://drive.google.com/file/d/1vNf2H4hKwaYqVsYji1xqDE3nlODEuekc/view?usp=sharing")</f>
        <v>https://drive.google.com/file/d/1vNf2H4hKwaYqVsYji1xqDE3nlODEuekc/view?usp=sharing</v>
      </c>
      <c r="K6" s="42"/>
      <c r="L6" s="42">
        <f>IFERROR(__xludf.DUMMYFUNCTION("""COMPUTED_VALUE"""),1.0)</f>
        <v>1</v>
      </c>
      <c r="M6" s="42" t="str">
        <f>IFERROR(__xludf.DUMMYFUNCTION("""COMPUTED_VALUE"""),"Menggunakan pengecekan tipe data sebelum melakukan operasi, hasil tidak sesuai. Flowchat singkat padat jelas sesuai dengan kode yang diimplementasi.")</f>
        <v>Menggunakan pengecekan tipe data sebelum melakukan operasi, hasil tidak sesuai. Flowchat singkat padat jelas sesuai dengan kode yang diimplementasi.</v>
      </c>
    </row>
    <row r="7">
      <c r="A7" s="43">
        <f>IFERROR(__xludf.DUMMYFUNCTION("""COMPUTED_VALUE"""),43999.594566886575)</f>
        <v>43999.59457</v>
      </c>
      <c r="B7" s="42" t="str">
        <f>IFERROR(__xludf.DUMMYFUNCTION("""COMPUTED_VALUE"""),"Muhammad Rizky Ramadhan")</f>
        <v>Muhammad Rizky Ramadhan</v>
      </c>
      <c r="C7" s="42" t="str">
        <f>IFERROR(__xludf.DUMMYFUNCTION("""COMPUTED_VALUE"""),"Online")</f>
        <v>Online</v>
      </c>
      <c r="D7" s="42" t="str">
        <f>IFERROR(__xludf.DUMMYFUNCTION("""COMPUTED_VALUE"""),"Fullstack Mobile Developer")</f>
        <v>Fullstack Mobile Developer</v>
      </c>
      <c r="E7" s="42">
        <f>IFERROR(__xludf.DUMMYFUNCTION("""COMPUTED_VALUE"""),16.0)</f>
        <v>16</v>
      </c>
      <c r="F7" s="42">
        <f>IFERROR(__xludf.DUMMYFUNCTION("""COMPUTED_VALUE"""),3.0)</f>
        <v>3</v>
      </c>
      <c r="G7" s="42" t="str">
        <f>IFERROR(__xludf.DUMMYFUNCTION("""COMPUTED_VALUE"""),"ARKWH1")</f>
        <v>ARKWH1</v>
      </c>
      <c r="H7" s="42" t="str">
        <f>IFERROR(__xludf.DUMMYFUNCTION("""COMPUTED_VALUE"""),"Flowchart + Logic")</f>
        <v>Flowchart + Logic</v>
      </c>
      <c r="I7" s="46" t="str">
        <f>IFERROR(__xludf.DUMMYFUNCTION("""COMPUTED_VALUE"""),"https://playcode.io/599840/")</f>
        <v>https://playcode.io/599840/</v>
      </c>
      <c r="J7" s="46" t="str">
        <f>IFERROR(__xludf.DUMMYFUNCTION("""COMPUTED_VALUE"""),"https://drive.google.com/drive/folders/1uLryGeeOy0vRFAULDz_m49qXeTWYKIMg?usp=sharing")</f>
        <v>https://drive.google.com/drive/folders/1uLryGeeOy0vRFAULDz_m49qXeTWYKIMg?usp=sharing</v>
      </c>
      <c r="K7" s="42"/>
      <c r="L7" s="42">
        <f>IFERROR(__xludf.DUMMYFUNCTION("""COMPUTED_VALUE"""),2.0)</f>
        <v>2</v>
      </c>
      <c r="M7" s="42" t="str">
        <f>IFERROR(__xludf.DUMMYFUNCTION("""COMPUTED_VALUE"""),"flowchart nya kurang true false")</f>
        <v>flowchart nya kurang true false</v>
      </c>
    </row>
    <row r="8">
      <c r="A8" s="43">
        <f>IFERROR(__xludf.DUMMYFUNCTION("""COMPUTED_VALUE"""),43999.596123587966)</f>
        <v>43999.59612</v>
      </c>
      <c r="B8" s="42" t="str">
        <f>IFERROR(__xludf.DUMMYFUNCTION("""COMPUTED_VALUE"""),"Dezza Rizqi")</f>
        <v>Dezza Rizqi</v>
      </c>
      <c r="C8" s="42" t="str">
        <f>IFERROR(__xludf.DUMMYFUNCTION("""COMPUTED_VALUE"""),"Online")</f>
        <v>Online</v>
      </c>
      <c r="D8" s="42" t="str">
        <f>IFERROR(__xludf.DUMMYFUNCTION("""COMPUTED_VALUE"""),"Fullstack Mobile Developer")</f>
        <v>Fullstack Mobile Developer</v>
      </c>
      <c r="E8" s="42">
        <f>IFERROR(__xludf.DUMMYFUNCTION("""COMPUTED_VALUE"""),16.0)</f>
        <v>16</v>
      </c>
      <c r="F8" s="42">
        <f>IFERROR(__xludf.DUMMYFUNCTION("""COMPUTED_VALUE"""),2.0)</f>
        <v>2</v>
      </c>
      <c r="G8" s="42" t="str">
        <f>IFERROR(__xludf.DUMMYFUNCTION("""COMPUTED_VALUE"""),"ARKWH1")</f>
        <v>ARKWH1</v>
      </c>
      <c r="H8" s="42" t="str">
        <f>IFERROR(__xludf.DUMMYFUNCTION("""COMPUTED_VALUE"""),"Flowchart + Logic")</f>
        <v>Flowchart + Logic</v>
      </c>
      <c r="I8" s="46" t="str">
        <f>IFERROR(__xludf.DUMMYFUNCTION("""COMPUTED_VALUE"""),"https://repl.it/@ParkD/Weekly-Quiz-Week-1")</f>
        <v>https://repl.it/@ParkD/Weekly-Quiz-Week-1</v>
      </c>
      <c r="J8" s="46" t="str">
        <f>IFERROR(__xludf.DUMMYFUNCTION("""COMPUTED_VALUE"""),"https://drive.google.com/file/d/1AiMMf7_yKbVZr088X7zZ199oBTdxlI7K/view?usp=sharing")</f>
        <v>https://drive.google.com/file/d/1AiMMf7_yKbVZr088X7zZ199oBTdxlI7K/view?usp=sharing</v>
      </c>
      <c r="K8" s="46" t="str">
        <f>IFERROR(__xludf.DUMMYFUNCTION("""COMPUTED_VALUE"""),"https://drive.google.com/open?id=1uGXeiRTviNEYEi-4RGktYR2rJtktpDDQ")</f>
        <v>https://drive.google.com/open?id=1uGXeiRTviNEYEi-4RGktYR2rJtktpDDQ</v>
      </c>
      <c r="L8" s="42">
        <f>IFERROR(__xludf.DUMMYFUNCTION("""COMPUTED_VALUE"""),1.5)</f>
        <v>1.5</v>
      </c>
      <c r="M8" s="42" t="str">
        <f>IFERROR(__xludf.DUMMYFUNCTION("""COMPUTED_VALUE"""),"Proses rumit, tapi hasilnya sesuai dengan ekspektasi. Flowchart bisa diperbaiki dan dipersingkat lagi")</f>
        <v>Proses rumit, tapi hasilnya sesuai dengan ekspektasi. Flowchart bisa diperbaiki dan dipersingkat lagi</v>
      </c>
    </row>
    <row r="9">
      <c r="A9" s="43">
        <f>IFERROR(__xludf.DUMMYFUNCTION("""COMPUTED_VALUE"""),43999.596795011574)</f>
        <v>43999.5968</v>
      </c>
      <c r="B9" s="42" t="str">
        <f>IFERROR(__xludf.DUMMYFUNCTION("""COMPUTED_VALUE"""),"Tri Fajar Pangestu")</f>
        <v>Tri Fajar Pangestu</v>
      </c>
      <c r="C9" s="42" t="str">
        <f>IFERROR(__xludf.DUMMYFUNCTION("""COMPUTED_VALUE"""),"Online")</f>
        <v>Online</v>
      </c>
      <c r="D9" s="42" t="str">
        <f>IFERROR(__xludf.DUMMYFUNCTION("""COMPUTED_VALUE"""),"Fullstack Mobile Developer")</f>
        <v>Fullstack Mobile Developer</v>
      </c>
      <c r="E9" s="42">
        <f>IFERROR(__xludf.DUMMYFUNCTION("""COMPUTED_VALUE"""),16.0)</f>
        <v>16</v>
      </c>
      <c r="F9" s="42">
        <f>IFERROR(__xludf.DUMMYFUNCTION("""COMPUTED_VALUE"""),2.0)</f>
        <v>2</v>
      </c>
      <c r="G9" s="42" t="str">
        <f>IFERROR(__xludf.DUMMYFUNCTION("""COMPUTED_VALUE"""),"ARKWH1")</f>
        <v>ARKWH1</v>
      </c>
      <c r="H9" s="42" t="str">
        <f>IFERROR(__xludf.DUMMYFUNCTION("""COMPUTED_VALUE"""),"Flowchart + Logic")</f>
        <v>Flowchart + Logic</v>
      </c>
      <c r="I9" s="46" t="str">
        <f>IFERROR(__xludf.DUMMYFUNCTION("""COMPUTED_VALUE"""),"https://repl.it/@fajarpng/arkademy-quis-w1#w1quis.js")</f>
        <v>https://repl.it/@fajarpng/arkademy-quis-w1#w1quis.js</v>
      </c>
      <c r="J9" s="42"/>
      <c r="K9" s="46" t="str">
        <f>IFERROR(__xludf.DUMMYFUNCTION("""COMPUTED_VALUE"""),"https://drive.google.com/open?id=1z4UAjRnu3FTdqzx7N5g7Gf8iKaun1Uwf")</f>
        <v>https://drive.google.com/open?id=1z4UAjRnu3FTdqzx7N5g7Gf8iKaun1Uwf</v>
      </c>
      <c r="L9" s="42">
        <f>IFERROR(__xludf.DUMMYFUNCTION("""COMPUTED_VALUE"""),1.5)</f>
        <v>1.5</v>
      </c>
      <c r="M9" s="42" t="str">
        <f>IFERROR(__xludf.DUMMYFUNCTION("""COMPUTED_VALUE"""),"Hasil sesuai, Flowchart dapat diperbaiki lagi")</f>
        <v>Hasil sesuai, Flowchart dapat diperbaiki lagi</v>
      </c>
    </row>
    <row r="10">
      <c r="A10" s="43">
        <f>IFERROR(__xludf.DUMMYFUNCTION("""COMPUTED_VALUE"""),43999.59804453704)</f>
        <v>43999.59804</v>
      </c>
      <c r="B10" s="42" t="str">
        <f>IFERROR(__xludf.DUMMYFUNCTION("""COMPUTED_VALUE"""),"Prio Arief Gunawan")</f>
        <v>Prio Arief Gunawan</v>
      </c>
      <c r="C10" s="42" t="str">
        <f>IFERROR(__xludf.DUMMYFUNCTION("""COMPUTED_VALUE"""),"Online")</f>
        <v>Online</v>
      </c>
      <c r="D10" s="42" t="str">
        <f>IFERROR(__xludf.DUMMYFUNCTION("""COMPUTED_VALUE"""),"Fullstack Mobile Developer")</f>
        <v>Fullstack Mobile Developer</v>
      </c>
      <c r="E10" s="42">
        <f>IFERROR(__xludf.DUMMYFUNCTION("""COMPUTED_VALUE"""),16.0)</f>
        <v>16</v>
      </c>
      <c r="F10" s="42">
        <f>IFERROR(__xludf.DUMMYFUNCTION("""COMPUTED_VALUE"""),3.0)</f>
        <v>3</v>
      </c>
      <c r="G10" s="42" t="str">
        <f>IFERROR(__xludf.DUMMYFUNCTION("""COMPUTED_VALUE"""),"ARKWH1")</f>
        <v>ARKWH1</v>
      </c>
      <c r="H10" s="42" t="str">
        <f>IFERROR(__xludf.DUMMYFUNCTION("""COMPUTED_VALUE"""),"Flowchart + Logic")</f>
        <v>Flowchart + Logic</v>
      </c>
      <c r="I10" s="46" t="str">
        <f>IFERROR(__xludf.DUMMYFUNCTION("""COMPUTED_VALUE"""),"https://repl.it/@prioarief/quiz1Ark")</f>
        <v>https://repl.it/@prioarief/quiz1Ark</v>
      </c>
      <c r="J10" s="42"/>
      <c r="K10" s="46" t="str">
        <f>IFERROR(__xludf.DUMMYFUNCTION("""COMPUTED_VALUE"""),"https://drive.google.com/open?id=1YEofGG2PKm5eaU1_GOuVQ1sCSMou2SPy")</f>
        <v>https://drive.google.com/open?id=1YEofGG2PKm5eaU1_GOuVQ1sCSMou2SPy</v>
      </c>
      <c r="L10" s="42">
        <f>IFERROR(__xludf.DUMMYFUNCTION("""COMPUTED_VALUE"""),2.0)</f>
        <v>2</v>
      </c>
      <c r="M10" s="42"/>
    </row>
    <row r="11">
      <c r="A11" s="43">
        <f>IFERROR(__xludf.DUMMYFUNCTION("""COMPUTED_VALUE"""),43999.59823991898)</f>
        <v>43999.59824</v>
      </c>
      <c r="B11" s="42" t="str">
        <f>IFERROR(__xludf.DUMMYFUNCTION("""COMPUTED_VALUE"""),"Faris Ramadhan")</f>
        <v>Faris Ramadhan</v>
      </c>
      <c r="C11" s="42" t="str">
        <f>IFERROR(__xludf.DUMMYFUNCTION("""COMPUTED_VALUE"""),"Online")</f>
        <v>Online</v>
      </c>
      <c r="D11" s="42" t="str">
        <f>IFERROR(__xludf.DUMMYFUNCTION("""COMPUTED_VALUE"""),"Fullstack Mobile Developer")</f>
        <v>Fullstack Mobile Developer</v>
      </c>
      <c r="E11" s="42">
        <f>IFERROR(__xludf.DUMMYFUNCTION("""COMPUTED_VALUE"""),16.0)</f>
        <v>16</v>
      </c>
      <c r="F11" s="42">
        <f>IFERROR(__xludf.DUMMYFUNCTION("""COMPUTED_VALUE"""),3.0)</f>
        <v>3</v>
      </c>
      <c r="G11" s="42" t="str">
        <f>IFERROR(__xludf.DUMMYFUNCTION("""COMPUTED_VALUE"""),"ARKWH1")</f>
        <v>ARKWH1</v>
      </c>
      <c r="H11" s="42" t="str">
        <f>IFERROR(__xludf.DUMMYFUNCTION("""COMPUTED_VALUE"""),"Flowchart + Logic")</f>
        <v>Flowchart + Logic</v>
      </c>
      <c r="I11" s="46" t="str">
        <f>IFERROR(__xludf.DUMMYFUNCTION("""COMPUTED_VALUE"""),"https://repl.it/join/kbikjakq-knocknockguessw")</f>
        <v>https://repl.it/join/kbikjakq-knocknockguessw</v>
      </c>
      <c r="J11" s="46" t="str">
        <f>IFERROR(__xludf.DUMMYFUNCTION("""COMPUTED_VALUE"""),"https://drive.google.com/file/d/16gPZaDhQZDZk2WWUSVaP8G6Y5pO6n97_/view")</f>
        <v>https://drive.google.com/file/d/16gPZaDhQZDZk2WWUSVaP8G6Y5pO6n97_/view</v>
      </c>
      <c r="K11" s="42"/>
      <c r="L11" s="42">
        <f>IFERROR(__xludf.DUMMYFUNCTION("""COMPUTED_VALUE"""),0.5)</f>
        <v>0.5</v>
      </c>
      <c r="M11" s="46" t="str">
        <f>IFERROR(__xludf.DUMMYFUNCTION("""COMPUTED_VALUE"""),"repl.it nya gabisa dibuka, flowchart nya kurang kondisi cek total diskon")</f>
        <v>repl.it nya gabisa dibuka, flowchart nya kurang kondisi cek total diskon</v>
      </c>
    </row>
    <row r="12">
      <c r="A12" s="43">
        <f>IFERROR(__xludf.DUMMYFUNCTION("""COMPUTED_VALUE"""),43999.59846606481)</f>
        <v>43999.59847</v>
      </c>
      <c r="B12" s="42" t="str">
        <f>IFERROR(__xludf.DUMMYFUNCTION("""COMPUTED_VALUE"""),"Dimas Wahyu Juhair Mokodompit")</f>
        <v>Dimas Wahyu Juhair Mokodompit</v>
      </c>
      <c r="C12" s="42" t="str">
        <f>IFERROR(__xludf.DUMMYFUNCTION("""COMPUTED_VALUE"""),"Online")</f>
        <v>Online</v>
      </c>
      <c r="D12" s="42" t="str">
        <f>IFERROR(__xludf.DUMMYFUNCTION("""COMPUTED_VALUE"""),"Fullstack Mobile Developer")</f>
        <v>Fullstack Mobile Developer</v>
      </c>
      <c r="E12" s="42">
        <f>IFERROR(__xludf.DUMMYFUNCTION("""COMPUTED_VALUE"""),16.0)</f>
        <v>16</v>
      </c>
      <c r="F12" s="42">
        <f>IFERROR(__xludf.DUMMYFUNCTION("""COMPUTED_VALUE"""),3.0)</f>
        <v>3</v>
      </c>
      <c r="G12" s="42" t="str">
        <f>IFERROR(__xludf.DUMMYFUNCTION("""COMPUTED_VALUE"""),"ARKWH1")</f>
        <v>ARKWH1</v>
      </c>
      <c r="H12" s="42" t="str">
        <f>IFERROR(__xludf.DUMMYFUNCTION("""COMPUTED_VALUE"""),"Flowchart + Logic")</f>
        <v>Flowchart + Logic</v>
      </c>
      <c r="I12" s="46" t="str">
        <f>IFERROR(__xludf.DUMMYFUNCTION("""COMPUTED_VALUE"""),"https://repl.it/@DimasMokodompit/Weekly-Quiz-week-1")</f>
        <v>https://repl.it/@DimasMokodompit/Weekly-Quiz-week-1</v>
      </c>
      <c r="J12" s="46" t="str">
        <f>IFERROR(__xludf.DUMMYFUNCTION("""COMPUTED_VALUE"""),"https://drive.google.com/file/d/11hr0kKAWGpo6lQ39eONLYyOPXgSDsM90/view?usp=sharing")</f>
        <v>https://drive.google.com/file/d/11hr0kKAWGpo6lQ39eONLYyOPXgSDsM90/view?usp=sharing</v>
      </c>
      <c r="K12" s="42"/>
      <c r="L12" s="42">
        <f>IFERROR(__xludf.DUMMYFUNCTION("""COMPUTED_VALUE"""),1.0)</f>
        <v>1</v>
      </c>
      <c r="M12" s="42" t="str">
        <f>IFERROR(__xludf.DUMMYFUNCTION("""COMPUTED_VALUE"""),"codenya kurang tepat sesuai soal, karna di soal minimum 60000, sedangkan di codenya diatas 60000, flowchart nya ga ada end")</f>
        <v>codenya kurang tepat sesuai soal, karna di soal minimum 60000, sedangkan di codenya diatas 60000, flowchart nya ga ada end</v>
      </c>
    </row>
    <row r="13">
      <c r="A13" s="43">
        <f>IFERROR(__xludf.DUMMYFUNCTION("""COMPUTED_VALUE"""),43999.598528518516)</f>
        <v>43999.59853</v>
      </c>
      <c r="B13" s="42" t="str">
        <f>IFERROR(__xludf.DUMMYFUNCTION("""COMPUTED_VALUE"""),"M Ismoyo Setyonowidagdo")</f>
        <v>M Ismoyo Setyonowidagdo</v>
      </c>
      <c r="C13" s="42" t="str">
        <f>IFERROR(__xludf.DUMMYFUNCTION("""COMPUTED_VALUE"""),"Online")</f>
        <v>Online</v>
      </c>
      <c r="D13" s="42" t="str">
        <f>IFERROR(__xludf.DUMMYFUNCTION("""COMPUTED_VALUE"""),"Fullstack Mobile Developer")</f>
        <v>Fullstack Mobile Developer</v>
      </c>
      <c r="E13" s="42">
        <f>IFERROR(__xludf.DUMMYFUNCTION("""COMPUTED_VALUE"""),16.0)</f>
        <v>16</v>
      </c>
      <c r="F13" s="42">
        <f>IFERROR(__xludf.DUMMYFUNCTION("""COMPUTED_VALUE"""),3.0)</f>
        <v>3</v>
      </c>
      <c r="G13" s="42" t="str">
        <f>IFERROR(__xludf.DUMMYFUNCTION("""COMPUTED_VALUE"""),"ARKWH1")</f>
        <v>ARKWH1</v>
      </c>
      <c r="H13" s="42" t="str">
        <f>IFERROR(__xludf.DUMMYFUNCTION("""COMPUTED_VALUE"""),"Flowchart + Logic")</f>
        <v>Flowchart + Logic</v>
      </c>
      <c r="I13" s="46" t="str">
        <f>IFERROR(__xludf.DUMMYFUNCTION("""COMPUTED_VALUE"""),"https://playcode.io/622387/")</f>
        <v>https://playcode.io/622387/</v>
      </c>
      <c r="J13" s="46" t="str">
        <f>IFERROR(__xludf.DUMMYFUNCTION("""COMPUTED_VALUE"""),"https://drive.google.com/file/d/1q3GJHeyja9fP7PMjqPIjsBmk1nRdZMEk/view?usp=sharing")</f>
        <v>https://drive.google.com/file/d/1q3GJHeyja9fP7PMjqPIjsBmk1nRdZMEk/view?usp=sharing</v>
      </c>
      <c r="K13" s="42"/>
      <c r="L13" s="42">
        <f>IFERROR(__xludf.DUMMYFUNCTION("""COMPUTED_VALUE"""),1.0)</f>
        <v>1</v>
      </c>
      <c r="M13" s="42" t="str">
        <f>IFERROR(__xludf.DUMMYFUNCTION("""COMPUTED_VALUE"""),"code dan flowchart nya, utk diskin dikalikan dengan totalPrice, bukan price")</f>
        <v>code dan flowchart nya, utk diskin dikalikan dengan totalPrice, bukan price</v>
      </c>
    </row>
    <row r="14">
      <c r="A14" s="43">
        <f>IFERROR(__xludf.DUMMYFUNCTION("""COMPUTED_VALUE"""),43999.59936748842)</f>
        <v>43999.59937</v>
      </c>
      <c r="B14" s="42" t="str">
        <f>IFERROR(__xludf.DUMMYFUNCTION("""COMPUTED_VALUE"""),"Muhamad Adam")</f>
        <v>Muhamad Adam</v>
      </c>
      <c r="C14" s="42" t="str">
        <f>IFERROR(__xludf.DUMMYFUNCTION("""COMPUTED_VALUE"""),"Online")</f>
        <v>Online</v>
      </c>
      <c r="D14" s="42" t="str">
        <f>IFERROR(__xludf.DUMMYFUNCTION("""COMPUTED_VALUE"""),"Fullstack Mobile Developer")</f>
        <v>Fullstack Mobile Developer</v>
      </c>
      <c r="E14" s="42">
        <f>IFERROR(__xludf.DUMMYFUNCTION("""COMPUTED_VALUE"""),16.0)</f>
        <v>16</v>
      </c>
      <c r="F14" s="42">
        <f>IFERROR(__xludf.DUMMYFUNCTION("""COMPUTED_VALUE"""),2.0)</f>
        <v>2</v>
      </c>
      <c r="G14" s="42" t="str">
        <f>IFERROR(__xludf.DUMMYFUNCTION("""COMPUTED_VALUE"""),"ARKWH1")</f>
        <v>ARKWH1</v>
      </c>
      <c r="H14" s="42" t="str">
        <f>IFERROR(__xludf.DUMMYFUNCTION("""COMPUTED_VALUE"""),"Flowchart + Logic")</f>
        <v>Flowchart + Logic</v>
      </c>
      <c r="I14" s="46" t="str">
        <f>IFERROR(__xludf.DUMMYFUNCTION("""COMPUTED_VALUE"""),"https://repl.it/@MuhamadAdam/ARKWH1")</f>
        <v>https://repl.it/@MuhamadAdam/ARKWH1</v>
      </c>
      <c r="J14" s="46" t="str">
        <f>IFERROR(__xludf.DUMMYFUNCTION("""COMPUTED_VALUE"""),"https://drive.google.com/file/d/1i-NAxzbg4UjdWqCXq5bleBcXfB5stMwQ/view?usp=sharing")</f>
        <v>https://drive.google.com/file/d/1i-NAxzbg4UjdWqCXq5bleBcXfB5stMwQ/view?usp=sharing</v>
      </c>
      <c r="K14" s="42"/>
      <c r="L14" s="42">
        <f>IFERROR(__xludf.DUMMYFUNCTION("""COMPUTED_VALUE"""),1.8)</f>
        <v>1.8</v>
      </c>
      <c r="M14" s="42" t="str">
        <f>IFERROR(__xludf.DUMMYFUNCTION("""COMPUTED_VALUE"""),"Hasil sesuai, Flowchart sesuai dan bagusnya lebih dirapihkan lagi")</f>
        <v>Hasil sesuai, Flowchart sesuai dan bagusnya lebih dirapihkan lagi</v>
      </c>
    </row>
    <row r="15">
      <c r="A15" s="43">
        <f>IFERROR(__xludf.DUMMYFUNCTION("""COMPUTED_VALUE"""),43999.60139210648)</f>
        <v>43999.60139</v>
      </c>
      <c r="B15" s="42" t="str">
        <f>IFERROR(__xludf.DUMMYFUNCTION("""COMPUTED_VALUE"""),"ALIFKHI MIFTAHUL JANAH")</f>
        <v>ALIFKHI MIFTAHUL JANAH</v>
      </c>
      <c r="C15" s="42" t="str">
        <f>IFERROR(__xludf.DUMMYFUNCTION("""COMPUTED_VALUE"""),"Online")</f>
        <v>Online</v>
      </c>
      <c r="D15" s="42" t="str">
        <f>IFERROR(__xludf.DUMMYFUNCTION("""COMPUTED_VALUE"""),"Fullstack Mobile Developer")</f>
        <v>Fullstack Mobile Developer</v>
      </c>
      <c r="E15" s="42">
        <f>IFERROR(__xludf.DUMMYFUNCTION("""COMPUTED_VALUE"""),16.0)</f>
        <v>16</v>
      </c>
      <c r="F15" s="42">
        <f>IFERROR(__xludf.DUMMYFUNCTION("""COMPUTED_VALUE"""),3.0)</f>
        <v>3</v>
      </c>
      <c r="G15" s="42" t="str">
        <f>IFERROR(__xludf.DUMMYFUNCTION("""COMPUTED_VALUE"""),"ARKWH1")</f>
        <v>ARKWH1</v>
      </c>
      <c r="H15" s="42" t="str">
        <f>IFERROR(__xludf.DUMMYFUNCTION("""COMPUTED_VALUE"""),"Flowchart + Logic")</f>
        <v>Flowchart + Logic</v>
      </c>
      <c r="I15" s="46" t="str">
        <f>IFERROR(__xludf.DUMMYFUNCTION("""COMPUTED_VALUE"""),"https://repl.it/@ALIFKI/Weekly-Quiz-Week-1#index.js")</f>
        <v>https://repl.it/@ALIFKI/Weekly-Quiz-Week-1#index.js</v>
      </c>
      <c r="J15" s="46" t="str">
        <f>IFERROR(__xludf.DUMMYFUNCTION("""COMPUTED_VALUE"""),"https://drive.google.com/file/d/1wLXtKBuFPUv5sOOcnhknkGiC4UqdIbFO/view?usp=sharing")</f>
        <v>https://drive.google.com/file/d/1wLXtKBuFPUv5sOOcnhknkGiC4UqdIbFO/view?usp=sharing</v>
      </c>
      <c r="K15" s="42"/>
      <c r="L15" s="42">
        <f>IFERROR(__xludf.DUMMYFUNCTION("""COMPUTED_VALUE"""),2.0)</f>
        <v>2</v>
      </c>
      <c r="M15" s="42"/>
    </row>
    <row r="16">
      <c r="A16" s="43">
        <f>IFERROR(__xludf.DUMMYFUNCTION("""COMPUTED_VALUE"""),43999.601576284724)</f>
        <v>43999.60158</v>
      </c>
      <c r="B16" s="42" t="str">
        <f>IFERROR(__xludf.DUMMYFUNCTION("""COMPUTED_VALUE"""),"Rega Aji Prayogo")</f>
        <v>Rega Aji Prayogo</v>
      </c>
      <c r="C16" s="42" t="str">
        <f>IFERROR(__xludf.DUMMYFUNCTION("""COMPUTED_VALUE"""),"Online")</f>
        <v>Online</v>
      </c>
      <c r="D16" s="42" t="str">
        <f>IFERROR(__xludf.DUMMYFUNCTION("""COMPUTED_VALUE"""),"Fullstack Mobile Developer")</f>
        <v>Fullstack Mobile Developer</v>
      </c>
      <c r="E16" s="42">
        <f>IFERROR(__xludf.DUMMYFUNCTION("""COMPUTED_VALUE"""),16.0)</f>
        <v>16</v>
      </c>
      <c r="F16" s="42">
        <f>IFERROR(__xludf.DUMMYFUNCTION("""COMPUTED_VALUE"""),1.0)</f>
        <v>1</v>
      </c>
      <c r="G16" s="42" t="str">
        <f>IFERROR(__xludf.DUMMYFUNCTION("""COMPUTED_VALUE"""),"ARKWH1")</f>
        <v>ARKWH1</v>
      </c>
      <c r="H16" s="42" t="str">
        <f>IFERROR(__xludf.DUMMYFUNCTION("""COMPUTED_VALUE"""),"Flowchart + Logic")</f>
        <v>Flowchart + Logic</v>
      </c>
      <c r="I16" s="46" t="str">
        <f>IFERROR(__xludf.DUMMYFUNCTION("""COMPUTED_VALUE"""),"https://repl.it/join/ufqvrjdk-regaprayogo")</f>
        <v>https://repl.it/join/ufqvrjdk-regaprayogo</v>
      </c>
      <c r="J16" s="42"/>
      <c r="K16" s="46" t="str">
        <f>IFERROR(__xludf.DUMMYFUNCTION("""COMPUTED_VALUE"""),"https://drive.google.com/open?id=16wU8zbbAOd45jRbh6RnhcoWumsfqxHZd")</f>
        <v>https://drive.google.com/open?id=16wU8zbbAOd45jRbh6RnhcoWumsfqxHZd</v>
      </c>
      <c r="L16" s="42">
        <f>IFERROR(__xludf.DUMMYFUNCTION("""COMPUTED_VALUE"""),2.0)</f>
        <v>2</v>
      </c>
      <c r="M16" s="42"/>
    </row>
    <row r="17">
      <c r="A17" s="43">
        <f>IFERROR(__xludf.DUMMYFUNCTION("""COMPUTED_VALUE"""),43999.60191783565)</f>
        <v>43999.60192</v>
      </c>
      <c r="B17" s="42" t="str">
        <f>IFERROR(__xludf.DUMMYFUNCTION("""COMPUTED_VALUE"""),"Daniel Saputra")</f>
        <v>Daniel Saputra</v>
      </c>
      <c r="C17" s="42" t="str">
        <f>IFERROR(__xludf.DUMMYFUNCTION("""COMPUTED_VALUE"""),"Online")</f>
        <v>Online</v>
      </c>
      <c r="D17" s="42" t="str">
        <f>IFERROR(__xludf.DUMMYFUNCTION("""COMPUTED_VALUE"""),"Fullstack Mobile Developer")</f>
        <v>Fullstack Mobile Developer</v>
      </c>
      <c r="E17" s="42">
        <f>IFERROR(__xludf.DUMMYFUNCTION("""COMPUTED_VALUE"""),16.0)</f>
        <v>16</v>
      </c>
      <c r="F17" s="42">
        <f>IFERROR(__xludf.DUMMYFUNCTION("""COMPUTED_VALUE"""),3.0)</f>
        <v>3</v>
      </c>
      <c r="G17" s="42" t="str">
        <f>IFERROR(__xludf.DUMMYFUNCTION("""COMPUTED_VALUE"""),"ARKWH1")</f>
        <v>ARKWH1</v>
      </c>
      <c r="H17" s="42" t="str">
        <f>IFERROR(__xludf.DUMMYFUNCTION("""COMPUTED_VALUE"""),"Flowchart + Logic")</f>
        <v>Flowchart + Logic</v>
      </c>
      <c r="I17" s="46" t="str">
        <f>IFERROR(__xludf.DUMMYFUNCTION("""COMPUTED_VALUE"""),"https://repl.it/@danielwetan/Weekly-Task-1-Arka")</f>
        <v>https://repl.it/@danielwetan/Weekly-Task-1-Arka</v>
      </c>
      <c r="J17" s="46" t="str">
        <f>IFERROR(__xludf.DUMMYFUNCTION("""COMPUTED_VALUE"""),"https://drive.google.com/file/d/1ZyBSA978TKfjhIO98FSpMN3kWRJN1oKZ/view?usp=sharing")</f>
        <v>https://drive.google.com/file/d/1ZyBSA978TKfjhIO98FSpMN3kWRJN1oKZ/view?usp=sharing</v>
      </c>
      <c r="K17" s="42"/>
      <c r="L17" s="42">
        <f>IFERROR(__xludf.DUMMYFUNCTION("""COMPUTED_VALUE"""),2.0)</f>
        <v>2</v>
      </c>
      <c r="M17" s="42"/>
    </row>
    <row r="18">
      <c r="A18" s="43">
        <f>IFERROR(__xludf.DUMMYFUNCTION("""COMPUTED_VALUE"""),43999.60266788195)</f>
        <v>43999.60267</v>
      </c>
      <c r="B18" s="42" t="str">
        <f>IFERROR(__xludf.DUMMYFUNCTION("""COMPUTED_VALUE"""),"Dicky Julian Pratama")</f>
        <v>Dicky Julian Pratama</v>
      </c>
      <c r="C18" s="42" t="str">
        <f>IFERROR(__xludf.DUMMYFUNCTION("""COMPUTED_VALUE"""),"Online")</f>
        <v>Online</v>
      </c>
      <c r="D18" s="42" t="str">
        <f>IFERROR(__xludf.DUMMYFUNCTION("""COMPUTED_VALUE"""),"Fullstack Mobile Developer")</f>
        <v>Fullstack Mobile Developer</v>
      </c>
      <c r="E18" s="42">
        <f>IFERROR(__xludf.DUMMYFUNCTION("""COMPUTED_VALUE"""),16.0)</f>
        <v>16</v>
      </c>
      <c r="F18" s="42">
        <f>IFERROR(__xludf.DUMMYFUNCTION("""COMPUTED_VALUE"""),3.0)</f>
        <v>3</v>
      </c>
      <c r="G18" s="42" t="str">
        <f>IFERROR(__xludf.DUMMYFUNCTION("""COMPUTED_VALUE"""),"ARKWH1")</f>
        <v>ARKWH1</v>
      </c>
      <c r="H18" s="42" t="str">
        <f>IFERROR(__xludf.DUMMYFUNCTION("""COMPUTED_VALUE"""),"Flowchart + Logic")</f>
        <v>Flowchart + Logic</v>
      </c>
      <c r="I18" s="46" t="str">
        <f>IFERROR(__xludf.DUMMYFUNCTION("""COMPUTED_VALUE"""),"https://repl.it/@dickyjulian/ArkaQuiz1#index.js")</f>
        <v>https://repl.it/@dickyjulian/ArkaQuiz1#index.js</v>
      </c>
      <c r="J18" s="46" t="str">
        <f>IFERROR(__xludf.DUMMYFUNCTION("""COMPUTED_VALUE"""),"https://drive.google.com/file/d/1NMCywDLfNJ4Q5NbWsbp9ttAg1XGYO1QB/view?usp=sharing")</f>
        <v>https://drive.google.com/file/d/1NMCywDLfNJ4Q5NbWsbp9ttAg1XGYO1QB/view?usp=sharing</v>
      </c>
      <c r="K18" s="42"/>
      <c r="L18" s="42">
        <f>IFERROR(__xludf.DUMMYFUNCTION("""COMPUTED_VALUE"""),2.0)</f>
        <v>2</v>
      </c>
      <c r="M18" s="42"/>
    </row>
    <row r="19">
      <c r="A19" s="43">
        <f>IFERROR(__xludf.DUMMYFUNCTION("""COMPUTED_VALUE"""),43999.602962488425)</f>
        <v>43999.60296</v>
      </c>
      <c r="B19" s="42" t="str">
        <f>IFERROR(__xludf.DUMMYFUNCTION("""COMPUTED_VALUE"""),"Faris Ramadhan")</f>
        <v>Faris Ramadhan</v>
      </c>
      <c r="C19" s="42" t="str">
        <f>IFERROR(__xludf.DUMMYFUNCTION("""COMPUTED_VALUE"""),"Online")</f>
        <v>Online</v>
      </c>
      <c r="D19" s="42" t="str">
        <f>IFERROR(__xludf.DUMMYFUNCTION("""COMPUTED_VALUE"""),"Fullstack Mobile Developer")</f>
        <v>Fullstack Mobile Developer</v>
      </c>
      <c r="E19" s="42">
        <f>IFERROR(__xludf.DUMMYFUNCTION("""COMPUTED_VALUE"""),16.0)</f>
        <v>16</v>
      </c>
      <c r="F19" s="42">
        <f>IFERROR(__xludf.DUMMYFUNCTION("""COMPUTED_VALUE"""),3.0)</f>
        <v>3</v>
      </c>
      <c r="G19" s="42" t="str">
        <f>IFERROR(__xludf.DUMMYFUNCTION("""COMPUTED_VALUE"""),"ARKWH1")</f>
        <v>ARKWH1</v>
      </c>
      <c r="H19" s="42" t="str">
        <f>IFERROR(__xludf.DUMMYFUNCTION("""COMPUTED_VALUE"""),"Flowchart + Logic")</f>
        <v>Flowchart + Logic</v>
      </c>
      <c r="I19" s="46" t="str">
        <f>IFERROR(__xludf.DUMMYFUNCTION("""COMPUTED_VALUE"""),"https://repl.it/join/kbikjakq-knocknockguessw")</f>
        <v>https://repl.it/join/kbikjakq-knocknockguessw</v>
      </c>
      <c r="J19" s="46" t="str">
        <f>IFERROR(__xludf.DUMMYFUNCTION("""COMPUTED_VALUE"""),"https://drive.google.com/file/d/16gPZaDhQZDZk2WWUSVaP8G6Y5pO6n97_/view?usp=sharing")</f>
        <v>https://drive.google.com/file/d/16gPZaDhQZDZk2WWUSVaP8G6Y5pO6n97_/view?usp=sharing</v>
      </c>
      <c r="K19" s="42"/>
      <c r="L19" s="42"/>
      <c r="M19" s="42"/>
    </row>
    <row r="20">
      <c r="A20" s="43">
        <f>IFERROR(__xludf.DUMMYFUNCTION("""COMPUTED_VALUE"""),43999.60464950232)</f>
        <v>43999.60465</v>
      </c>
      <c r="B20" s="42" t="str">
        <f>IFERROR(__xludf.DUMMYFUNCTION("""COMPUTED_VALUE"""),"Adnin Rifandi Sutanto Putra")</f>
        <v>Adnin Rifandi Sutanto Putra</v>
      </c>
      <c r="C20" s="42" t="str">
        <f>IFERROR(__xludf.DUMMYFUNCTION("""COMPUTED_VALUE"""),"Online")</f>
        <v>Online</v>
      </c>
      <c r="D20" s="42" t="str">
        <f>IFERROR(__xludf.DUMMYFUNCTION("""COMPUTED_VALUE"""),"Fullstack Mobile Developer")</f>
        <v>Fullstack Mobile Developer</v>
      </c>
      <c r="E20" s="42">
        <f>IFERROR(__xludf.DUMMYFUNCTION("""COMPUTED_VALUE"""),16.0)</f>
        <v>16</v>
      </c>
      <c r="F20" s="42">
        <f>IFERROR(__xludf.DUMMYFUNCTION("""COMPUTED_VALUE"""),3.0)</f>
        <v>3</v>
      </c>
      <c r="G20" s="42" t="str">
        <f>IFERROR(__xludf.DUMMYFUNCTION("""COMPUTED_VALUE"""),"ARKWH1")</f>
        <v>ARKWH1</v>
      </c>
      <c r="H20" s="42" t="str">
        <f>IFERROR(__xludf.DUMMYFUNCTION("""COMPUTED_VALUE"""),"Flowchart + Logic")</f>
        <v>Flowchart + Logic</v>
      </c>
      <c r="I20" s="46" t="str">
        <f>IFERROR(__xludf.DUMMYFUNCTION("""COMPUTED_VALUE"""),"https://repl.it/@AdninRifandioff/Weekly-Quiz-week-1#index.js")</f>
        <v>https://repl.it/@AdninRifandioff/Weekly-Quiz-week-1#index.js</v>
      </c>
      <c r="J20" s="46" t="str">
        <f>IFERROR(__xludf.DUMMYFUNCTION("""COMPUTED_VALUE"""),"https://drive.google.com/file/d/1mHqhXtYPN0LHj-02m6gfoyXAF9YnkdsW/view?usp=sharing")</f>
        <v>https://drive.google.com/file/d/1mHqhXtYPN0LHj-02m6gfoyXAF9YnkdsW/view?usp=sharing</v>
      </c>
      <c r="K20" s="42"/>
      <c r="L20" s="42">
        <f>IFERROR(__xludf.DUMMYFUNCTION("""COMPUTED_VALUE"""),2.0)</f>
        <v>2</v>
      </c>
      <c r="M20" s="42"/>
    </row>
    <row r="21">
      <c r="A21" s="43">
        <f>IFERROR(__xludf.DUMMYFUNCTION("""COMPUTED_VALUE"""),43999.60509671296)</f>
        <v>43999.6051</v>
      </c>
      <c r="B21" s="42" t="str">
        <f>IFERROR(__xludf.DUMMYFUNCTION("""COMPUTED_VALUE"""),"Vikra Ardiansyah Zaini")</f>
        <v>Vikra Ardiansyah Zaini</v>
      </c>
      <c r="C21" s="42" t="str">
        <f>IFERROR(__xludf.DUMMYFUNCTION("""COMPUTED_VALUE"""),"Online")</f>
        <v>Online</v>
      </c>
      <c r="D21" s="42" t="str">
        <f>IFERROR(__xludf.DUMMYFUNCTION("""COMPUTED_VALUE"""),"Fullstack Mobile Developer")</f>
        <v>Fullstack Mobile Developer</v>
      </c>
      <c r="E21" s="42">
        <f>IFERROR(__xludf.DUMMYFUNCTION("""COMPUTED_VALUE"""),16.0)</f>
        <v>16</v>
      </c>
      <c r="F21" s="42">
        <f>IFERROR(__xludf.DUMMYFUNCTION("""COMPUTED_VALUE"""),1.0)</f>
        <v>1</v>
      </c>
      <c r="G21" s="42" t="str">
        <f>IFERROR(__xludf.DUMMYFUNCTION("""COMPUTED_VALUE"""),"ARKWH1")</f>
        <v>ARKWH1</v>
      </c>
      <c r="H21" s="42" t="str">
        <f>IFERROR(__xludf.DUMMYFUNCTION("""COMPUTED_VALUE"""),"Flowchart + Logic")</f>
        <v>Flowchart + Logic</v>
      </c>
      <c r="I21" s="46" t="str">
        <f>IFERROR(__xludf.DUMMYFUNCTION("""COMPUTED_VALUE"""),"https://playcode.io/622396/")</f>
        <v>https://playcode.io/622396/</v>
      </c>
      <c r="J21" s="46" t="str">
        <f>IFERROR(__xludf.DUMMYFUNCTION("""COMPUTED_VALUE"""),"https://drive.google.com/file/d/1EWZhyTOSRvIhoP3RLPVRchr6_1TZplD_/view?usp=sharing")</f>
        <v>https://drive.google.com/file/d/1EWZhyTOSRvIhoP3RLPVRchr6_1TZplD_/view?usp=sharing</v>
      </c>
      <c r="K21" s="42"/>
      <c r="L21" s="42">
        <f>IFERROR(__xludf.DUMMYFUNCTION("""COMPUTED_VALUE"""),2.0)</f>
        <v>2</v>
      </c>
      <c r="M21" s="42"/>
    </row>
    <row r="22">
      <c r="A22" s="43">
        <f>IFERROR(__xludf.DUMMYFUNCTION("""COMPUTED_VALUE"""),43999.60512622685)</f>
        <v>43999.60513</v>
      </c>
      <c r="B22" s="42" t="str">
        <f>IFERROR(__xludf.DUMMYFUNCTION("""COMPUTED_VALUE"""),"Zulfian")</f>
        <v>Zulfian</v>
      </c>
      <c r="C22" s="42" t="str">
        <f>IFERROR(__xludf.DUMMYFUNCTION("""COMPUTED_VALUE"""),"Online")</f>
        <v>Online</v>
      </c>
      <c r="D22" s="42" t="str">
        <f>IFERROR(__xludf.DUMMYFUNCTION("""COMPUTED_VALUE"""),"Fullstack Mobile Developer")</f>
        <v>Fullstack Mobile Developer</v>
      </c>
      <c r="E22" s="42">
        <f>IFERROR(__xludf.DUMMYFUNCTION("""COMPUTED_VALUE"""),16.0)</f>
        <v>16</v>
      </c>
      <c r="F22" s="42">
        <f>IFERROR(__xludf.DUMMYFUNCTION("""COMPUTED_VALUE"""),1.0)</f>
        <v>1</v>
      </c>
      <c r="G22" s="42" t="str">
        <f>IFERROR(__xludf.DUMMYFUNCTION("""COMPUTED_VALUE"""),"ARKWH1")</f>
        <v>ARKWH1</v>
      </c>
      <c r="H22" s="42" t="str">
        <f>IFERROR(__xludf.DUMMYFUNCTION("""COMPUTED_VALUE"""),"Flowchart + Logic")</f>
        <v>Flowchart + Logic</v>
      </c>
      <c r="I22" s="46" t="str">
        <f>IFERROR(__xludf.DUMMYFUNCTION("""COMPUTED_VALUE"""),"https://repl.it/@IzulZulfian/Weekly-Quiz-1")</f>
        <v>https://repl.it/@IzulZulfian/Weekly-Quiz-1</v>
      </c>
      <c r="J22" s="46" t="str">
        <f>IFERROR(__xludf.DUMMYFUNCTION("""COMPUTED_VALUE"""),"https://drive.google.com/file/d/1ngwcCZrw8WGvOB9kLXcnUlcC6bQOBCK4/view?usp=sharing")</f>
        <v>https://drive.google.com/file/d/1ngwcCZrw8WGvOB9kLXcnUlcC6bQOBCK4/view?usp=sharing</v>
      </c>
      <c r="K22" s="42"/>
      <c r="L22" s="42">
        <f>IFERROR(__xludf.DUMMYFUNCTION("""COMPUTED_VALUE"""),0.5)</f>
        <v>0.5</v>
      </c>
      <c r="M22" s="42" t="str">
        <f>IFERROR(__xludf.DUMMYFUNCTION("""COMPUTED_VALUE"""),"tidak mengumpulkan flowchart karena mengerjakan codenya dulu baru flowchartnya, namun waktunya sudah habis")</f>
        <v>tidak mengumpulkan flowchart karena mengerjakan codenya dulu baru flowchartnya, namun waktunya sudah habis</v>
      </c>
    </row>
    <row r="23">
      <c r="A23" s="43">
        <f>IFERROR(__xludf.DUMMYFUNCTION("""COMPUTED_VALUE"""),43999.606859884254)</f>
        <v>43999.60686</v>
      </c>
      <c r="B23" s="42" t="str">
        <f>IFERROR(__xludf.DUMMYFUNCTION("""COMPUTED_VALUE"""),"Prio Arief Gunawan")</f>
        <v>Prio Arief Gunawan</v>
      </c>
      <c r="C23" s="42" t="str">
        <f>IFERROR(__xludf.DUMMYFUNCTION("""COMPUTED_VALUE"""),"Online")</f>
        <v>Online</v>
      </c>
      <c r="D23" s="42" t="str">
        <f>IFERROR(__xludf.DUMMYFUNCTION("""COMPUTED_VALUE"""),"Fullstack Mobile Developer")</f>
        <v>Fullstack Mobile Developer</v>
      </c>
      <c r="E23" s="42">
        <f>IFERROR(__xludf.DUMMYFUNCTION("""COMPUTED_VALUE"""),16.0)</f>
        <v>16</v>
      </c>
      <c r="F23" s="42">
        <f>IFERROR(__xludf.DUMMYFUNCTION("""COMPUTED_VALUE"""),3.0)</f>
        <v>3</v>
      </c>
      <c r="G23" s="42" t="str">
        <f>IFERROR(__xludf.DUMMYFUNCTION("""COMPUTED_VALUE"""),"ARKWH1")</f>
        <v>ARKWH1</v>
      </c>
      <c r="H23" s="42" t="str">
        <f>IFERROR(__xludf.DUMMYFUNCTION("""COMPUTED_VALUE"""),"Flowchart + Logic")</f>
        <v>Flowchart + Logic</v>
      </c>
      <c r="I23" s="46" t="str">
        <f>IFERROR(__xludf.DUMMYFUNCTION("""COMPUTED_VALUE"""),"https://repl.it/join/ytnedlog-prioarief")</f>
        <v>https://repl.it/join/ytnedlog-prioarief</v>
      </c>
      <c r="J23" s="46" t="str">
        <f>IFERROR(__xludf.DUMMYFUNCTION("""COMPUTED_VALUE"""),"https://drive.google.com/file/d/1phFgO9-5bI70UWMoJIxiTdbFFGA_-S2n/view?usp=sharing")</f>
        <v>https://drive.google.com/file/d/1phFgO9-5bI70UWMoJIxiTdbFFGA_-S2n/view?usp=sharing</v>
      </c>
      <c r="K23" s="42"/>
      <c r="L23" s="42"/>
      <c r="M23" s="42"/>
    </row>
    <row r="24">
      <c r="A24" s="43">
        <f>IFERROR(__xludf.DUMMYFUNCTION("""COMPUTED_VALUE"""),43999.60742712963)</f>
        <v>43999.60743</v>
      </c>
      <c r="B24" s="42" t="str">
        <f>IFERROR(__xludf.DUMMYFUNCTION("""COMPUTED_VALUE"""),"Luthfi Widya Ekakusuma")</f>
        <v>Luthfi Widya Ekakusuma</v>
      </c>
      <c r="C24" s="42" t="str">
        <f>IFERROR(__xludf.DUMMYFUNCTION("""COMPUTED_VALUE"""),"Online")</f>
        <v>Online</v>
      </c>
      <c r="D24" s="42" t="str">
        <f>IFERROR(__xludf.DUMMYFUNCTION("""COMPUTED_VALUE"""),"Fullstack Mobile Developer")</f>
        <v>Fullstack Mobile Developer</v>
      </c>
      <c r="E24" s="42">
        <f>IFERROR(__xludf.DUMMYFUNCTION("""COMPUTED_VALUE"""),16.0)</f>
        <v>16</v>
      </c>
      <c r="F24" s="42">
        <f>IFERROR(__xludf.DUMMYFUNCTION("""COMPUTED_VALUE"""),2.0)</f>
        <v>2</v>
      </c>
      <c r="G24" s="42" t="str">
        <f>IFERROR(__xludf.DUMMYFUNCTION("""COMPUTED_VALUE"""),"ARKWH1")</f>
        <v>ARKWH1</v>
      </c>
      <c r="H24" s="42" t="str">
        <f>IFERROR(__xludf.DUMMYFUNCTION("""COMPUTED_VALUE"""),"Flowchart + Logic")</f>
        <v>Flowchart + Logic</v>
      </c>
      <c r="I24" s="46" t="str">
        <f>IFERROR(__xludf.DUMMYFUNCTION("""COMPUTED_VALUE"""),"https://repl.it/@luthfiwidya/quiz-weekly-1")</f>
        <v>https://repl.it/@luthfiwidya/quiz-weekly-1</v>
      </c>
      <c r="J24" s="46" t="str">
        <f>IFERROR(__xludf.DUMMYFUNCTION("""COMPUTED_VALUE"""),"https://drive.google.com/file/d/1bupurmb20a6r4ANPTYAyOQfS6paS4IZu/view?usp=sharing")</f>
        <v>https://drive.google.com/file/d/1bupurmb20a6r4ANPTYAyOQfS6paS4IZu/view?usp=sharing</v>
      </c>
      <c r="K24" s="42"/>
      <c r="L24" s="42">
        <f>IFERROR(__xludf.DUMMYFUNCTION("""COMPUTED_VALUE"""),1.2)</f>
        <v>1.2</v>
      </c>
      <c r="M24" s="42" t="str">
        <f>IFERROR(__xludf.DUMMYFUNCTION("""COMPUTED_VALUE"""),"Hasil tidak sesuai, hanya mengeluarkan hasil diskon dan tidak sesuai dengan ketentuan. Flowchat memiliki 2 cabang input padahal bisa dipersingkat lagi, tapi sesuai dengan program yang dibuat")</f>
        <v>Hasil tidak sesuai, hanya mengeluarkan hasil diskon dan tidak sesuai dengan ketentuan. Flowchat memiliki 2 cabang input padahal bisa dipersingkat lagi, tapi sesuai dengan program yang dibuat</v>
      </c>
    </row>
    <row r="25">
      <c r="A25" s="43">
        <f>IFERROR(__xludf.DUMMYFUNCTION("""COMPUTED_VALUE"""),43999.607714467595)</f>
        <v>43999.60771</v>
      </c>
      <c r="B25" s="42" t="str">
        <f>IFERROR(__xludf.DUMMYFUNCTION("""COMPUTED_VALUE"""),"Sinta herena")</f>
        <v>Sinta herena</v>
      </c>
      <c r="C25" s="42" t="str">
        <f>IFERROR(__xludf.DUMMYFUNCTION("""COMPUTED_VALUE"""),"Online")</f>
        <v>Online</v>
      </c>
      <c r="D25" s="42" t="str">
        <f>IFERROR(__xludf.DUMMYFUNCTION("""COMPUTED_VALUE"""),"Fullstack Mobile Developer")</f>
        <v>Fullstack Mobile Developer</v>
      </c>
      <c r="E25" s="42">
        <f>IFERROR(__xludf.DUMMYFUNCTION("""COMPUTED_VALUE"""),16.0)</f>
        <v>16</v>
      </c>
      <c r="F25" s="42">
        <f>IFERROR(__xludf.DUMMYFUNCTION("""COMPUTED_VALUE"""),3.0)</f>
        <v>3</v>
      </c>
      <c r="G25" s="42" t="str">
        <f>IFERROR(__xludf.DUMMYFUNCTION("""COMPUTED_VALUE"""),"ARKWH1")</f>
        <v>ARKWH1</v>
      </c>
      <c r="H25" s="42" t="str">
        <f>IFERROR(__xludf.DUMMYFUNCTION("""COMPUTED_VALUE"""),"Flowchart + Logic")</f>
        <v>Flowchart + Logic</v>
      </c>
      <c r="I25" s="46" t="str">
        <f>IFERROR(__xludf.DUMMYFUNCTION("""COMPUTED_VALUE"""),"https://repl.it/@herenacreative/NormalDirtyTaskscheduling#index.js")</f>
        <v>https://repl.it/@herenacreative/NormalDirtyTaskscheduling#index.js</v>
      </c>
      <c r="J25" s="46" t="str">
        <f>IFERROR(__xludf.DUMMYFUNCTION("""COMPUTED_VALUE"""),"https://drive.google.com/file/d/1T3p_2IrNXHVAeupUYeZ49gEXgkQr6tsM/view")</f>
        <v>https://drive.google.com/file/d/1T3p_2IrNXHVAeupUYeZ49gEXgkQr6tsM/view</v>
      </c>
      <c r="K25" s="42"/>
      <c r="L25" s="42">
        <f>IFERROR(__xludf.DUMMYFUNCTION("""COMPUTED_VALUE"""),0.5)</f>
        <v>0.5</v>
      </c>
      <c r="M25" s="42" t="str">
        <f>IFERROR(__xludf.DUMMYFUNCTION("""COMPUTED_VALUE"""),"codenya kurang tepat sesuai soal, karna di soal 
minimum 60000, sedangkan di codenya diatas 
60000, flowchart nya ga bisa diakses")</f>
        <v>codenya kurang tepat sesuai soal, karna di soal 
minimum 60000, sedangkan di codenya diatas 
60000, flowchart nya ga bisa diakses</v>
      </c>
    </row>
    <row r="26">
      <c r="A26" s="43">
        <f>IFERROR(__xludf.DUMMYFUNCTION("""COMPUTED_VALUE"""),43999.607782962965)</f>
        <v>43999.60778</v>
      </c>
      <c r="B26" s="42" t="str">
        <f>IFERROR(__xludf.DUMMYFUNCTION("""COMPUTED_VALUE"""),"Rina Lia Aryati")</f>
        <v>Rina Lia Aryati</v>
      </c>
      <c r="C26" s="42" t="str">
        <f>IFERROR(__xludf.DUMMYFUNCTION("""COMPUTED_VALUE"""),"Online")</f>
        <v>Online</v>
      </c>
      <c r="D26" s="42" t="str">
        <f>IFERROR(__xludf.DUMMYFUNCTION("""COMPUTED_VALUE"""),"Fullstack Mobile Developer")</f>
        <v>Fullstack Mobile Developer</v>
      </c>
      <c r="E26" s="42">
        <f>IFERROR(__xludf.DUMMYFUNCTION("""COMPUTED_VALUE"""),16.0)</f>
        <v>16</v>
      </c>
      <c r="F26" s="42">
        <f>IFERROR(__xludf.DUMMYFUNCTION("""COMPUTED_VALUE"""),2.0)</f>
        <v>2</v>
      </c>
      <c r="G26" s="42" t="str">
        <f>IFERROR(__xludf.DUMMYFUNCTION("""COMPUTED_VALUE"""),"ARKWH1")</f>
        <v>ARKWH1</v>
      </c>
      <c r="H26" s="42" t="str">
        <f>IFERROR(__xludf.DUMMYFUNCTION("""COMPUTED_VALUE"""),"Flowchart + Logic")</f>
        <v>Flowchart + Logic</v>
      </c>
      <c r="I26" s="46" t="str">
        <f>IFERROR(__xludf.DUMMYFUNCTION("""COMPUTED_VALUE"""),"https://repl.it/@RinaLia/QuizWeek1#index.js")</f>
        <v>https://repl.it/@RinaLia/QuizWeek1#index.js</v>
      </c>
      <c r="J26" s="46" t="str">
        <f>IFERROR(__xludf.DUMMYFUNCTION("""COMPUTED_VALUE"""),"https://drive.google.com/file/d/1dx-XJwtlWAyv2va5EORHUSUbxbEudGbq/view?usp=sharing")</f>
        <v>https://drive.google.com/file/d/1dx-XJwtlWAyv2va5EORHUSUbxbEudGbq/view?usp=sharing</v>
      </c>
      <c r="K26" s="42"/>
      <c r="L26" s="42">
        <f>IFERROR(__xludf.DUMMYFUNCTION("""COMPUTED_VALUE"""),0.5)</f>
        <v>0.5</v>
      </c>
      <c r="M26" s="42" t="str">
        <f>IFERROR(__xludf.DUMMYFUNCTION("""COMPUTED_VALUE"""),"Output tidak ada, terjadi error pada saat mendefinisikan persentase untuk diskon. Flowchart bercabang, bisa di persingkat dan diperbaiki lagi")</f>
        <v>Output tidak ada, terjadi error pada saat mendefinisikan persentase untuk diskon. Flowchart bercabang, bisa di persingkat dan diperbaiki lagi</v>
      </c>
    </row>
    <row r="27">
      <c r="A27" s="43">
        <f>IFERROR(__xludf.DUMMYFUNCTION("""COMPUTED_VALUE"""),43999.60788762731)</f>
        <v>43999.60789</v>
      </c>
      <c r="B27" s="42" t="str">
        <f>IFERROR(__xludf.DUMMYFUNCTION("""COMPUTED_VALUE"""),"Randi Maulana Akbar")</f>
        <v>Randi Maulana Akbar</v>
      </c>
      <c r="C27" s="42" t="str">
        <f>IFERROR(__xludf.DUMMYFUNCTION("""COMPUTED_VALUE"""),"Online")</f>
        <v>Online</v>
      </c>
      <c r="D27" s="42" t="str">
        <f>IFERROR(__xludf.DUMMYFUNCTION("""COMPUTED_VALUE"""),"Fullstack Mobile Developer")</f>
        <v>Fullstack Mobile Developer</v>
      </c>
      <c r="E27" s="42">
        <f>IFERROR(__xludf.DUMMYFUNCTION("""COMPUTED_VALUE"""),1.0)</f>
        <v>1</v>
      </c>
      <c r="F27" s="42">
        <f>IFERROR(__xludf.DUMMYFUNCTION("""COMPUTED_VALUE"""),1.0)</f>
        <v>1</v>
      </c>
      <c r="G27" s="42" t="str">
        <f>IFERROR(__xludf.DUMMYFUNCTION("""COMPUTED_VALUE"""),"ARKWH1")</f>
        <v>ARKWH1</v>
      </c>
      <c r="H27" s="42"/>
      <c r="I27" s="46" t="str">
        <f>IFERROR(__xludf.DUMMYFUNCTION("""COMPUTED_VALUE""")," https://playcode.io/")</f>
        <v> https://playcode.io/</v>
      </c>
      <c r="J27" s="42"/>
      <c r="K27" s="46" t="str">
        <f>IFERROR(__xludf.DUMMYFUNCTION("""COMPUTED_VALUE"""),"https://drive.google.com/open?id=1qlqjDT7ksrdWkGg1e2wew54KQS-R4_-W")</f>
        <v>https://drive.google.com/open?id=1qlqjDT7ksrdWkGg1e2wew54KQS-R4_-W</v>
      </c>
      <c r="L27" s="42"/>
      <c r="M27" s="42"/>
    </row>
    <row r="28">
      <c r="A28" s="43">
        <f>IFERROR(__xludf.DUMMYFUNCTION("""COMPUTED_VALUE"""),43999.609612789354)</f>
        <v>43999.60961</v>
      </c>
      <c r="B28" s="42" t="str">
        <f>IFERROR(__xludf.DUMMYFUNCTION("""COMPUTED_VALUE"""),"Bani Sholih")</f>
        <v>Bani Sholih</v>
      </c>
      <c r="C28" s="42" t="str">
        <f>IFERROR(__xludf.DUMMYFUNCTION("""COMPUTED_VALUE"""),"Online")</f>
        <v>Online</v>
      </c>
      <c r="D28" s="42" t="str">
        <f>IFERROR(__xludf.DUMMYFUNCTION("""COMPUTED_VALUE"""),"Fullstack Mobile Developer")</f>
        <v>Fullstack Mobile Developer</v>
      </c>
      <c r="E28" s="42">
        <f>IFERROR(__xludf.DUMMYFUNCTION("""COMPUTED_VALUE"""),16.0)</f>
        <v>16</v>
      </c>
      <c r="F28" s="42">
        <f>IFERROR(__xludf.DUMMYFUNCTION("""COMPUTED_VALUE"""),2.0)</f>
        <v>2</v>
      </c>
      <c r="G28" s="42" t="str">
        <f>IFERROR(__xludf.DUMMYFUNCTION("""COMPUTED_VALUE"""),"ARKWH1")</f>
        <v>ARKWH1</v>
      </c>
      <c r="H28" s="42" t="str">
        <f>IFERROR(__xludf.DUMMYFUNCTION("""COMPUTED_VALUE"""),"Flowchart + Logic")</f>
        <v>Flowchart + Logic</v>
      </c>
      <c r="I28" s="46" t="str">
        <f>IFERROR(__xludf.DUMMYFUNCTION("""COMPUTED_VALUE"""),"https://repl.it/@AkhirPekan/weeklyTugas")</f>
        <v>https://repl.it/@AkhirPekan/weeklyTugas</v>
      </c>
      <c r="J28" s="46" t="str">
        <f>IFERROR(__xludf.DUMMYFUNCTION("""COMPUTED_VALUE"""),"https://drive.google.com/file/d/19N6IJhMUh_JZ9OaXUroMC5jRxgrDQeBk/view")</f>
        <v>https://drive.google.com/file/d/19N6IJhMUh_JZ9OaXUroMC5jRxgrDQeBk/view</v>
      </c>
      <c r="K28" s="42"/>
      <c r="L28" s="42">
        <f>IFERROR(__xludf.DUMMYFUNCTION("""COMPUTED_VALUE"""),0.8)</f>
        <v>0.8</v>
      </c>
      <c r="M28" s="42" t="str">
        <f>IFERROR(__xludf.DUMMYFUNCTION("""COMPUTED_VALUE"""),"Ada error pada saat harga item kurang dari total untuk mendapatkan minimal discount, untuk hasilnya belum sesuai. Telat mengumpulkan flowchart karena tidak sempat diupload. Flowchart ambigu ada cabang buntu")</f>
        <v>Ada error pada saat harga item kurang dari total untuk mendapatkan minimal discount, untuk hasilnya belum sesuai. Telat mengumpulkan flowchart karena tidak sempat diupload. Flowchart ambigu ada cabang buntu</v>
      </c>
    </row>
    <row r="29">
      <c r="A29" s="43">
        <f>IFERROR(__xludf.DUMMYFUNCTION("""COMPUTED_VALUE"""),44000.46872575232)</f>
        <v>44000.46873</v>
      </c>
      <c r="B29" s="42" t="str">
        <f>IFERROR(__xludf.DUMMYFUNCTION("""COMPUTED_VALUE"""),"Redi")</f>
        <v>Redi</v>
      </c>
      <c r="C29" s="42" t="str">
        <f>IFERROR(__xludf.DUMMYFUNCTION("""COMPUTED_VALUE"""),"Online")</f>
        <v>Online</v>
      </c>
      <c r="D29" s="42" t="str">
        <f>IFERROR(__xludf.DUMMYFUNCTION("""COMPUTED_VALUE"""),"Fullstack Mobile Developer")</f>
        <v>Fullstack Mobile Developer</v>
      </c>
      <c r="E29" s="42">
        <f>IFERROR(__xludf.DUMMYFUNCTION("""COMPUTED_VALUE"""),16.0)</f>
        <v>16</v>
      </c>
      <c r="F29" s="42">
        <f>IFERROR(__xludf.DUMMYFUNCTION("""COMPUTED_VALUE"""),1.0)</f>
        <v>1</v>
      </c>
      <c r="G29" s="42" t="str">
        <f>IFERROR(__xludf.DUMMYFUNCTION("""COMPUTED_VALUE"""),"ARKWH1")</f>
        <v>ARKWH1</v>
      </c>
      <c r="H29" s="42" t="str">
        <f>IFERROR(__xludf.DUMMYFUNCTION("""COMPUTED_VALUE"""),"Flowchart + Logic")</f>
        <v>Flowchart + Logic</v>
      </c>
      <c r="I29" s="46" t="str">
        <f>IFERROR(__xludf.DUMMYFUNCTION("""COMPUTED_VALUE"""),"https://repl.it/repls/UtterChiefApplescript#index.js")</f>
        <v>https://repl.it/repls/UtterChiefApplescript#index.js</v>
      </c>
      <c r="J29" s="46" t="str">
        <f>IFERROR(__xludf.DUMMYFUNCTION("""COMPUTED_VALUE"""),"https://drive.google.com/file/d/1f9xp2cKCKWzuUmlEdZ0oL1tskRGRruMq/view?usp=sharing")</f>
        <v>https://drive.google.com/file/d/1f9xp2cKCKWzuUmlEdZ0oL1tskRGRruMq/view?usp=sharing</v>
      </c>
      <c r="K29" s="42"/>
      <c r="L29" s="42">
        <f>IFERROR(__xludf.DUMMYFUNCTION("""COMPUTED_VALUE"""),2.0)</f>
        <v>2</v>
      </c>
      <c r="M29" s="42"/>
    </row>
    <row r="30">
      <c r="A30" s="43">
        <f>IFERROR(__xludf.DUMMYFUNCTION("""COMPUTED_VALUE"""),44000.46965383102)</f>
        <v>44000.46965</v>
      </c>
      <c r="B30" s="42" t="str">
        <f>IFERROR(__xludf.DUMMYFUNCTION("""COMPUTED_VALUE"""),"Ichlas Wardy Gustama")</f>
        <v>Ichlas Wardy Gustama</v>
      </c>
      <c r="C30" s="42" t="str">
        <f>IFERROR(__xludf.DUMMYFUNCTION("""COMPUTED_VALUE"""),"Online")</f>
        <v>Online</v>
      </c>
      <c r="D30" s="42" t="str">
        <f>IFERROR(__xludf.DUMMYFUNCTION("""COMPUTED_VALUE"""),"Fullstack Mobile Developer")</f>
        <v>Fullstack Mobile Developer</v>
      </c>
      <c r="E30" s="42">
        <f>IFERROR(__xludf.DUMMYFUNCTION("""COMPUTED_VALUE"""),16.0)</f>
        <v>16</v>
      </c>
      <c r="F30" s="42">
        <f>IFERROR(__xludf.DUMMYFUNCTION("""COMPUTED_VALUE"""),1.0)</f>
        <v>1</v>
      </c>
      <c r="G30" s="42" t="str">
        <f>IFERROR(__xludf.DUMMYFUNCTION("""COMPUTED_VALUE"""),"ARKWH1")</f>
        <v>ARKWH1</v>
      </c>
      <c r="H30" s="42" t="str">
        <f>IFERROR(__xludf.DUMMYFUNCTION("""COMPUTED_VALUE"""),"Flowchart + Logic")</f>
        <v>Flowchart + Logic</v>
      </c>
      <c r="I30" s="46" t="str">
        <f>IFERROR(__xludf.DUMMYFUNCTION("""COMPUTED_VALUE"""),"https://playcode.io/622814/")</f>
        <v>https://playcode.io/622814/</v>
      </c>
      <c r="J30" s="42"/>
      <c r="K30" s="42"/>
      <c r="L30" s="42">
        <f>IFERROR(__xludf.DUMMYFUNCTION("""COMPUTED_VALUE"""),1.0)</f>
        <v>1</v>
      </c>
      <c r="M30" s="42" t="str">
        <f>IFERROR(__xludf.DUMMYFUNCTION("""COMPUTED_VALUE"""),"diperkiran tidak memahami soal dengan baik sehingga logika masih salah")</f>
        <v>diperkiran tidak memahami soal dengan baik sehingga logika masih salah</v>
      </c>
    </row>
    <row r="31">
      <c r="A31" s="43">
        <f>IFERROR(__xludf.DUMMYFUNCTION("""COMPUTED_VALUE"""),44006.565010543985)</f>
        <v>44006.56501</v>
      </c>
      <c r="B31" s="42" t="str">
        <f>IFERROR(__xludf.DUMMYFUNCTION("""COMPUTED_VALUE"""),"Ilham Bagas Saputra")</f>
        <v>Ilham Bagas Saputra</v>
      </c>
      <c r="C31" s="42" t="str">
        <f>IFERROR(__xludf.DUMMYFUNCTION("""COMPUTED_VALUE"""),"Online")</f>
        <v>Online</v>
      </c>
      <c r="D31" s="42" t="str">
        <f>IFERROR(__xludf.DUMMYFUNCTION("""COMPUTED_VALUE"""),"Fullstack Mobile Developer")</f>
        <v>Fullstack Mobile Developer</v>
      </c>
      <c r="E31" s="42">
        <f>IFERROR(__xludf.DUMMYFUNCTION("""COMPUTED_VALUE"""),16.0)</f>
        <v>16</v>
      </c>
      <c r="F31" s="42">
        <f>IFERROR(__xludf.DUMMYFUNCTION("""COMPUTED_VALUE"""),2.0)</f>
        <v>2</v>
      </c>
      <c r="G31" s="42" t="str">
        <f>IFERROR(__xludf.DUMMYFUNCTION("""COMPUTED_VALUE"""),"ARKWH2")</f>
        <v>ARKWH2</v>
      </c>
      <c r="H31" s="42" t="str">
        <f>IFERROR(__xludf.DUMMYFUNCTION("""COMPUTED_VALUE"""),"Flowchart + Logic")</f>
        <v>Flowchart + Logic</v>
      </c>
      <c r="I31" s="46" t="str">
        <f>IFERROR(__xludf.DUMMYFUNCTION("""COMPUTED_VALUE"""),"https://repl.it/@bgsilham/QuizWeek2-IlhamBagasSaputra")</f>
        <v>https://repl.it/@bgsilham/QuizWeek2-IlhamBagasSaputra</v>
      </c>
      <c r="J31" s="46" t="str">
        <f>IFERROR(__xludf.DUMMYFUNCTION("""COMPUTED_VALUE"""),"https://drive.google.com/file/d/1-epYpKmo6CMiWawUhp1XkFGKDVqkqMDY/view?usp=sharing")</f>
        <v>https://drive.google.com/file/d/1-epYpKmo6CMiWawUhp1XkFGKDVqkqMDY/view?usp=sharing</v>
      </c>
      <c r="K31" s="42"/>
      <c r="L31" s="42">
        <f>IFERROR(__xludf.DUMMYFUNCTION("""COMPUTED_VALUE"""),1.8)</f>
        <v>1.8</v>
      </c>
      <c r="M31" s="42" t="str">
        <f>IFERROR(__xludf.DUMMYFUNCTION("""COMPUTED_VALUE"""),"Singkat tapi Flowchart bisa diperbaiki dan dipersingkat dengan tidak menuliskan kode jika sudah menggunakan tanda output")</f>
        <v>Singkat tapi Flowchart bisa diperbaiki dan dipersingkat dengan tidak menuliskan kode jika sudah menggunakan tanda output</v>
      </c>
    </row>
    <row r="32">
      <c r="A32" s="43">
        <f>IFERROR(__xludf.DUMMYFUNCTION("""COMPUTED_VALUE"""),44006.57221131945)</f>
        <v>44006.57221</v>
      </c>
      <c r="B32" s="42" t="str">
        <f>IFERROR(__xludf.DUMMYFUNCTION("""COMPUTED_VALUE"""),"Muhamad Adam")</f>
        <v>Muhamad Adam</v>
      </c>
      <c r="C32" s="42" t="str">
        <f>IFERROR(__xludf.DUMMYFUNCTION("""COMPUTED_VALUE"""),"Online")</f>
        <v>Online</v>
      </c>
      <c r="D32" s="42" t="str">
        <f>IFERROR(__xludf.DUMMYFUNCTION("""COMPUTED_VALUE"""),"Fullstack Mobile Developer")</f>
        <v>Fullstack Mobile Developer</v>
      </c>
      <c r="E32" s="42">
        <f>IFERROR(__xludf.DUMMYFUNCTION("""COMPUTED_VALUE"""),16.0)</f>
        <v>16</v>
      </c>
      <c r="F32" s="42">
        <f>IFERROR(__xludf.DUMMYFUNCTION("""COMPUTED_VALUE"""),2.0)</f>
        <v>2</v>
      </c>
      <c r="G32" s="42" t="str">
        <f>IFERROR(__xludf.DUMMYFUNCTION("""COMPUTED_VALUE"""),"ARKWH2")</f>
        <v>ARKWH2</v>
      </c>
      <c r="H32" s="42" t="str">
        <f>IFERROR(__xludf.DUMMYFUNCTION("""COMPUTED_VALUE"""),"Flowchart + Logic")</f>
        <v>Flowchart + Logic</v>
      </c>
      <c r="I32" s="46" t="str">
        <f>IFERROR(__xludf.DUMMYFUNCTION("""COMPUTED_VALUE"""),"https://repl.it/@MuhamadAdam/Weekly-Quiz-2")</f>
        <v>https://repl.it/@MuhamadAdam/Weekly-Quiz-2</v>
      </c>
      <c r="J32" s="46" t="str">
        <f>IFERROR(__xludf.DUMMYFUNCTION("""COMPUTED_VALUE"""),"https://drive.google.com/file/d/1duRDCXYxQ4jAyY2uEhrwPQ6sbSpk42Nw/view?usp=sharing")</f>
        <v>https://drive.google.com/file/d/1duRDCXYxQ4jAyY2uEhrwPQ6sbSpk42Nw/view?usp=sharing</v>
      </c>
      <c r="K32" s="42"/>
      <c r="L32" s="42">
        <f>IFERROR(__xludf.DUMMYFUNCTION("""COMPUTED_VALUE"""),1.7)</f>
        <v>1.7</v>
      </c>
      <c r="M32" s="42" t="str">
        <f>IFERROR(__xludf.DUMMYFUNCTION("""COMPUTED_VALUE"""),"Sesuai tapi Flowchart bisa dipersingkat lagi")</f>
        <v>Sesuai tapi Flowchart bisa dipersingkat lagi</v>
      </c>
    </row>
    <row r="33">
      <c r="A33" s="43">
        <f>IFERROR(__xludf.DUMMYFUNCTION("""COMPUTED_VALUE"""),44006.57468371528)</f>
        <v>44006.57468</v>
      </c>
      <c r="B33" s="42" t="str">
        <f>IFERROR(__xludf.DUMMYFUNCTION("""COMPUTED_VALUE"""),"REDI")</f>
        <v>REDI</v>
      </c>
      <c r="C33" s="42" t="str">
        <f>IFERROR(__xludf.DUMMYFUNCTION("""COMPUTED_VALUE"""),"Online")</f>
        <v>Online</v>
      </c>
      <c r="D33" s="42" t="str">
        <f>IFERROR(__xludf.DUMMYFUNCTION("""COMPUTED_VALUE"""),"Fullstack Mobile Developer")</f>
        <v>Fullstack Mobile Developer</v>
      </c>
      <c r="E33" s="42">
        <f>IFERROR(__xludf.DUMMYFUNCTION("""COMPUTED_VALUE"""),16.0)</f>
        <v>16</v>
      </c>
      <c r="F33" s="42">
        <f>IFERROR(__xludf.DUMMYFUNCTION("""COMPUTED_VALUE"""),1.0)</f>
        <v>1</v>
      </c>
      <c r="G33" s="42" t="str">
        <f>IFERROR(__xludf.DUMMYFUNCTION("""COMPUTED_VALUE"""),"ARKWH2")</f>
        <v>ARKWH2</v>
      </c>
      <c r="H33" s="42" t="str">
        <f>IFERROR(__xludf.DUMMYFUNCTION("""COMPUTED_VALUE"""),"Flowchart + Logic")</f>
        <v>Flowchart + Logic</v>
      </c>
      <c r="I33" s="46" t="str">
        <f>IFERROR(__xludf.DUMMYFUNCTION("""COMPUTED_VALUE"""),"https://repl.it/@RediRamdan/Quiz-Weekly-2#index.js")</f>
        <v>https://repl.it/@RediRamdan/Quiz-Weekly-2#index.js</v>
      </c>
      <c r="J33" s="46" t="str">
        <f>IFERROR(__xludf.DUMMYFUNCTION("""COMPUTED_VALUE"""),"https://drive.google.com/file/d/1VmVbOPntepiC03iq__u1UkL7VDPNohWs/view?usp=sharing")</f>
        <v>https://drive.google.com/file/d/1VmVbOPntepiC03iq__u1UkL7VDPNohWs/view?usp=sharing</v>
      </c>
      <c r="K33" s="42"/>
      <c r="L33" s="42">
        <f>IFERROR(__xludf.DUMMYFUNCTION("""COMPUTED_VALUE"""),1.5)</f>
        <v>1.5</v>
      </c>
      <c r="M33" s="42" t="str">
        <f>IFERROR(__xludf.DUMMYFUNCTION("""COMPUTED_VALUE"""),"code sudah baik, namun flowchart masih kurang jelas penggambarannya")</f>
        <v>code sudah baik, namun flowchart masih kurang jelas penggambarannya</v>
      </c>
    </row>
    <row r="34">
      <c r="A34" s="43">
        <f>IFERROR(__xludf.DUMMYFUNCTION("""COMPUTED_VALUE"""),44006.577947094906)</f>
        <v>44006.57795</v>
      </c>
      <c r="B34" s="42" t="str">
        <f>IFERROR(__xludf.DUMMYFUNCTION("""COMPUTED_VALUE"""),"Bani Sholih")</f>
        <v>Bani Sholih</v>
      </c>
      <c r="C34" s="42" t="str">
        <f>IFERROR(__xludf.DUMMYFUNCTION("""COMPUTED_VALUE"""),"Online")</f>
        <v>Online</v>
      </c>
      <c r="D34" s="42" t="str">
        <f>IFERROR(__xludf.DUMMYFUNCTION("""COMPUTED_VALUE"""),"Fullstack Mobile Developer")</f>
        <v>Fullstack Mobile Developer</v>
      </c>
      <c r="E34" s="42">
        <f>IFERROR(__xludf.DUMMYFUNCTION("""COMPUTED_VALUE"""),16.0)</f>
        <v>16</v>
      </c>
      <c r="F34" s="42">
        <f>IFERROR(__xludf.DUMMYFUNCTION("""COMPUTED_VALUE"""),2.0)</f>
        <v>2</v>
      </c>
      <c r="G34" s="42" t="str">
        <f>IFERROR(__xludf.DUMMYFUNCTION("""COMPUTED_VALUE"""),"ARKWH2")</f>
        <v>ARKWH2</v>
      </c>
      <c r="H34" s="42" t="str">
        <f>IFERROR(__xludf.DUMMYFUNCTION("""COMPUTED_VALUE"""),"Flowchart + Logic")</f>
        <v>Flowchart + Logic</v>
      </c>
      <c r="I34" s="46" t="str">
        <f>IFERROR(__xludf.DUMMYFUNCTION("""COMPUTED_VALUE"""),"https://repl.it/@AkhirPekan/reversePyramid")</f>
        <v>https://repl.it/@AkhirPekan/reversePyramid</v>
      </c>
      <c r="J34" s="46" t="str">
        <f>IFERROR(__xludf.DUMMYFUNCTION("""COMPUTED_VALUE"""),"https://drive.google.com/file/d/1-MxF2D7RKn9tTKtA0nucOWO18RMGPh2v/view?usp=sharing")</f>
        <v>https://drive.google.com/file/d/1-MxF2D7RKn9tTKtA0nucOWO18RMGPh2v/view?usp=sharing</v>
      </c>
      <c r="K34" s="42"/>
      <c r="L34" s="42">
        <f>IFERROR(__xludf.DUMMYFUNCTION("""COMPUTED_VALUE"""),1.5)</f>
        <v>1.5</v>
      </c>
      <c r="M34" s="42" t="str">
        <f>IFERROR(__xludf.DUMMYFUNCTION("""COMPUTED_VALUE"""),"Singkat dan sesuai dengan output yang dibutuhkan. Flowchart terlalu deskriptif, diperbaiki dan dipersingkat")</f>
        <v>Singkat dan sesuai dengan output yang dibutuhkan. Flowchart terlalu deskriptif, diperbaiki dan dipersingkat</v>
      </c>
    </row>
    <row r="35">
      <c r="A35" s="43">
        <f>IFERROR(__xludf.DUMMYFUNCTION("""COMPUTED_VALUE"""),44006.57941523148)</f>
        <v>44006.57942</v>
      </c>
      <c r="B35" s="42" t="str">
        <f>IFERROR(__xludf.DUMMYFUNCTION("""COMPUTED_VALUE"""),"M Ismoyo Setyonowidagdo")</f>
        <v>M Ismoyo Setyonowidagdo</v>
      </c>
      <c r="C35" s="42" t="str">
        <f>IFERROR(__xludf.DUMMYFUNCTION("""COMPUTED_VALUE"""),"Online")</f>
        <v>Online</v>
      </c>
      <c r="D35" s="42" t="str">
        <f>IFERROR(__xludf.DUMMYFUNCTION("""COMPUTED_VALUE"""),"Fullstack Mobile Developer")</f>
        <v>Fullstack Mobile Developer</v>
      </c>
      <c r="E35" s="42">
        <f>IFERROR(__xludf.DUMMYFUNCTION("""COMPUTED_VALUE"""),16.0)</f>
        <v>16</v>
      </c>
      <c r="F35" s="42">
        <f>IFERROR(__xludf.DUMMYFUNCTION("""COMPUTED_VALUE"""),3.0)</f>
        <v>3</v>
      </c>
      <c r="G35" s="42" t="str">
        <f>IFERROR(__xludf.DUMMYFUNCTION("""COMPUTED_VALUE"""),"ARKWH2")</f>
        <v>ARKWH2</v>
      </c>
      <c r="H35" s="42" t="str">
        <f>IFERROR(__xludf.DUMMYFUNCTION("""COMPUTED_VALUE"""),"Flowchart + Logic")</f>
        <v>Flowchart + Logic</v>
      </c>
      <c r="I35" s="46" t="str">
        <f>IFERROR(__xludf.DUMMYFUNCTION("""COMPUTED_VALUE"""),"https://repl.it/@ismoyo/HomelyMindlessCharmap#index.js")</f>
        <v>https://repl.it/@ismoyo/HomelyMindlessCharmap#index.js</v>
      </c>
      <c r="J35" s="46" t="str">
        <f>IFERROR(__xludf.DUMMYFUNCTION("""COMPUTED_VALUE"""),"https://drive.google.com/file/d/16p5CgLew8DInt7KWx10sP44ZenrsfElK/view?usp=sharing")</f>
        <v>https://drive.google.com/file/d/16p5CgLew8DInt7KWx10sP44ZenrsfElK/view?usp=sharing</v>
      </c>
      <c r="K35" s="42"/>
      <c r="L35" s="42">
        <f>IFERROR(__xludf.DUMMYFUNCTION("""COMPUTED_VALUE"""),0.5)</f>
        <v>0.5</v>
      </c>
      <c r="M35" s="42" t="str">
        <f>IFERROR(__xludf.DUMMYFUNCTION("""COMPUTED_VALUE"""),"hasil tidak sesuai, flowchart juga kurang")</f>
        <v>hasil tidak sesuai, flowchart juga kurang</v>
      </c>
    </row>
    <row r="36">
      <c r="A36" s="43">
        <f>IFERROR(__xludf.DUMMYFUNCTION("""COMPUTED_VALUE"""),44006.58095715278)</f>
        <v>44006.58096</v>
      </c>
      <c r="B36" s="42" t="str">
        <f>IFERROR(__xludf.DUMMYFUNCTION("""COMPUTED_VALUE"""),"Dicky Julian Pratama")</f>
        <v>Dicky Julian Pratama</v>
      </c>
      <c r="C36" s="42" t="str">
        <f>IFERROR(__xludf.DUMMYFUNCTION("""COMPUTED_VALUE"""),"Online")</f>
        <v>Online</v>
      </c>
      <c r="D36" s="42" t="str">
        <f>IFERROR(__xludf.DUMMYFUNCTION("""COMPUTED_VALUE"""),"Fullstack Mobile Developer")</f>
        <v>Fullstack Mobile Developer</v>
      </c>
      <c r="E36" s="42">
        <f>IFERROR(__xludf.DUMMYFUNCTION("""COMPUTED_VALUE"""),16.0)</f>
        <v>16</v>
      </c>
      <c r="F36" s="42">
        <f>IFERROR(__xludf.DUMMYFUNCTION("""COMPUTED_VALUE"""),3.0)</f>
        <v>3</v>
      </c>
      <c r="G36" s="42" t="str">
        <f>IFERROR(__xludf.DUMMYFUNCTION("""COMPUTED_VALUE"""),"ARKWH2")</f>
        <v>ARKWH2</v>
      </c>
      <c r="H36" s="42" t="str">
        <f>IFERROR(__xludf.DUMMYFUNCTION("""COMPUTED_VALUE"""),"Flowchart + Logic")</f>
        <v>Flowchart + Logic</v>
      </c>
      <c r="I36" s="46" t="str">
        <f>IFERROR(__xludf.DUMMYFUNCTION("""COMPUTED_VALUE"""),"https://repl.it/@dickyjulian/pyramidGenerator#index.js")</f>
        <v>https://repl.it/@dickyjulian/pyramidGenerator#index.js</v>
      </c>
      <c r="J36" s="46" t="str">
        <f>IFERROR(__xludf.DUMMYFUNCTION("""COMPUTED_VALUE"""),"https://drive.google.com/file/d/1SCicaBWfa1dYG2LDf4peM5ubqbXugk5C/view?usp=sharing")</f>
        <v>https://drive.google.com/file/d/1SCicaBWfa1dYG2LDf4peM5ubqbXugk5C/view?usp=sharing</v>
      </c>
      <c r="K36" s="42"/>
      <c r="L36" s="42">
        <f>IFERROR(__xludf.DUMMYFUNCTION("""COMPUTED_VALUE"""),1.5)</f>
        <v>1.5</v>
      </c>
      <c r="M36" s="42" t="str">
        <f>IFERROR(__xludf.DUMMYFUNCTION("""COMPUTED_VALUE"""),"hasil sesuai, flowchart kurang menjelaskan")</f>
        <v>hasil sesuai, flowchart kurang menjelaskan</v>
      </c>
    </row>
    <row r="37">
      <c r="A37" s="43">
        <f>IFERROR(__xludf.DUMMYFUNCTION("""COMPUTED_VALUE"""),44006.582835995374)</f>
        <v>44006.58284</v>
      </c>
      <c r="B37" s="42" t="str">
        <f>IFERROR(__xludf.DUMMYFUNCTION("""COMPUTED_VALUE"""),"Rega Aji Prayogo")</f>
        <v>Rega Aji Prayogo</v>
      </c>
      <c r="C37" s="42" t="str">
        <f>IFERROR(__xludf.DUMMYFUNCTION("""COMPUTED_VALUE"""),"Online")</f>
        <v>Online</v>
      </c>
      <c r="D37" s="42" t="str">
        <f>IFERROR(__xludf.DUMMYFUNCTION("""COMPUTED_VALUE"""),"Fullstack Mobile Developer")</f>
        <v>Fullstack Mobile Developer</v>
      </c>
      <c r="E37" s="42">
        <f>IFERROR(__xludf.DUMMYFUNCTION("""COMPUTED_VALUE"""),16.0)</f>
        <v>16</v>
      </c>
      <c r="F37" s="42">
        <f>IFERROR(__xludf.DUMMYFUNCTION("""COMPUTED_VALUE"""),1.0)</f>
        <v>1</v>
      </c>
      <c r="G37" s="42" t="str">
        <f>IFERROR(__xludf.DUMMYFUNCTION("""COMPUTED_VALUE"""),"ARKWH2")</f>
        <v>ARKWH2</v>
      </c>
      <c r="H37" s="42" t="str">
        <f>IFERROR(__xludf.DUMMYFUNCTION("""COMPUTED_VALUE"""),"Flowchart + Logic")</f>
        <v>Flowchart + Logic</v>
      </c>
      <c r="I37" s="46" t="str">
        <f>IFERROR(__xludf.DUMMYFUNCTION("""COMPUTED_VALUE"""),"https://repl.it/join/lurtjsse-regaprayogo")</f>
        <v>https://repl.it/join/lurtjsse-regaprayogo</v>
      </c>
      <c r="J37" s="46" t="str">
        <f>IFERROR(__xludf.DUMMYFUNCTION("""COMPUTED_VALUE"""),"https://drive.google.com/file/d/1cVPNhhXL7EI9NcmaArnJHFo7jZ-AdgVK/view?usp=sharing")</f>
        <v>https://drive.google.com/file/d/1cVPNhhXL7EI9NcmaArnJHFo7jZ-AdgVK/view?usp=sharing</v>
      </c>
      <c r="K37" s="42"/>
      <c r="L37" s="42">
        <f>IFERROR(__xludf.DUMMYFUNCTION("""COMPUTED_VALUE"""),0.5)</f>
        <v>0.5</v>
      </c>
      <c r="M37" s="42" t="str">
        <f>IFERROR(__xludf.DUMMYFUNCTION("""COMPUTED_VALUE"""),"code hanya menghasilkan segitiga siku siku, flowchart tidak menggambarkan penyelesaian quiz")</f>
        <v>code hanya menghasilkan segitiga siku siku, flowchart tidak menggambarkan penyelesaian quiz</v>
      </c>
    </row>
    <row r="38">
      <c r="A38" s="43">
        <f>IFERROR(__xludf.DUMMYFUNCTION("""COMPUTED_VALUE"""),44006.58336127315)</f>
        <v>44006.58336</v>
      </c>
      <c r="B38" s="42" t="str">
        <f>IFERROR(__xludf.DUMMYFUNCTION("""COMPUTED_VALUE"""),"Muhamad Abiyasa Sastra Wardana")</f>
        <v>Muhamad Abiyasa Sastra Wardana</v>
      </c>
      <c r="C38" s="42" t="str">
        <f>IFERROR(__xludf.DUMMYFUNCTION("""COMPUTED_VALUE"""),"Online")</f>
        <v>Online</v>
      </c>
      <c r="D38" s="42" t="str">
        <f>IFERROR(__xludf.DUMMYFUNCTION("""COMPUTED_VALUE"""),"Fullstack Mobile Developer")</f>
        <v>Fullstack Mobile Developer</v>
      </c>
      <c r="E38" s="42">
        <f>IFERROR(__xludf.DUMMYFUNCTION("""COMPUTED_VALUE"""),16.0)</f>
        <v>16</v>
      </c>
      <c r="F38" s="42">
        <f>IFERROR(__xludf.DUMMYFUNCTION("""COMPUTED_VALUE"""),3.0)</f>
        <v>3</v>
      </c>
      <c r="G38" s="42" t="str">
        <f>IFERROR(__xludf.DUMMYFUNCTION("""COMPUTED_VALUE"""),"ARKWH2")</f>
        <v>ARKWH2</v>
      </c>
      <c r="H38" s="42" t="str">
        <f>IFERROR(__xludf.DUMMYFUNCTION("""COMPUTED_VALUE"""),"Flowchart + Logic")</f>
        <v>Flowchart + Logic</v>
      </c>
      <c r="I38" s="46" t="str">
        <f>IFERROR(__xludf.DUMMYFUNCTION("""COMPUTED_VALUE"""),"https://repl.it/@byasaa/Quiz-Arkademy-Week-2#index.js")</f>
        <v>https://repl.it/@byasaa/Quiz-Arkademy-Week-2#index.js</v>
      </c>
      <c r="J38" s="46" t="str">
        <f>IFERROR(__xludf.DUMMYFUNCTION("""COMPUTED_VALUE"""),"https://drive.google.com/file/d/101nj3v1N0jLR9Gm8WTXPFmXTRHaqx1B9/view?usp=sharing")</f>
        <v>https://drive.google.com/file/d/101nj3v1N0jLR9Gm8WTXPFmXTRHaqx1B9/view?usp=sharing</v>
      </c>
      <c r="K38" s="42"/>
      <c r="L38" s="42">
        <f>IFERROR(__xludf.DUMMYFUNCTION("""COMPUTED_VALUE"""),1.0)</f>
        <v>1</v>
      </c>
      <c r="M38" s="42" t="str">
        <f>IFERROR(__xludf.DUMMYFUNCTION("""COMPUTED_VALUE"""),"hasil sesuai, flowchart tidak bisa diakses")</f>
        <v>hasil sesuai, flowchart tidak bisa diakses</v>
      </c>
    </row>
    <row r="39">
      <c r="A39" s="43">
        <f>IFERROR(__xludf.DUMMYFUNCTION("""COMPUTED_VALUE"""),44006.58401364583)</f>
        <v>44006.58401</v>
      </c>
      <c r="B39" s="42" t="str">
        <f>IFERROR(__xludf.DUMMYFUNCTION("""COMPUTED_VALUE"""),"DWIKY SATRIA HUTOMO")</f>
        <v>DWIKY SATRIA HUTOMO</v>
      </c>
      <c r="C39" s="42" t="str">
        <f>IFERROR(__xludf.DUMMYFUNCTION("""COMPUTED_VALUE"""),"Online")</f>
        <v>Online</v>
      </c>
      <c r="D39" s="42" t="str">
        <f>IFERROR(__xludf.DUMMYFUNCTION("""COMPUTED_VALUE"""),"Fullstack Mobile Developer")</f>
        <v>Fullstack Mobile Developer</v>
      </c>
      <c r="E39" s="42">
        <f>IFERROR(__xludf.DUMMYFUNCTION("""COMPUTED_VALUE"""),16.0)</f>
        <v>16</v>
      </c>
      <c r="F39" s="42">
        <f>IFERROR(__xludf.DUMMYFUNCTION("""COMPUTED_VALUE"""),1.0)</f>
        <v>1</v>
      </c>
      <c r="G39" s="42" t="str">
        <f>IFERROR(__xludf.DUMMYFUNCTION("""COMPUTED_VALUE"""),"ARKWH2")</f>
        <v>ARKWH2</v>
      </c>
      <c r="H39" s="42" t="str">
        <f>IFERROR(__xludf.DUMMYFUNCTION("""COMPUTED_VALUE"""),"Flowchart + Logic")</f>
        <v>Flowchart + Logic</v>
      </c>
      <c r="I39" s="46" t="str">
        <f>IFERROR(__xludf.DUMMYFUNCTION("""COMPUTED_VALUE"""),"https://playcode.io/625724/")</f>
        <v>https://playcode.io/625724/</v>
      </c>
      <c r="J39" s="46" t="str">
        <f>IFERROR(__xludf.DUMMYFUNCTION("""COMPUTED_VALUE"""),"https://drive.google.com/file/d/1-Xk1BZFZ3_QDGC62EXooLgIVtMLRq_1R/view?usp=sharing")</f>
        <v>https://drive.google.com/file/d/1-Xk1BZFZ3_QDGC62EXooLgIVtMLRq_1R/view?usp=sharing</v>
      </c>
      <c r="K39" s="42"/>
      <c r="L39" s="42">
        <f>IFERROR(__xludf.DUMMYFUNCTION("""COMPUTED_VALUE"""),2.0)</f>
        <v>2</v>
      </c>
      <c r="M39" s="42"/>
    </row>
    <row r="40">
      <c r="A40" s="43">
        <f>IFERROR(__xludf.DUMMYFUNCTION("""COMPUTED_VALUE"""),44006.586031307874)</f>
        <v>44006.58603</v>
      </c>
      <c r="B40" s="42" t="str">
        <f>IFERROR(__xludf.DUMMYFUNCTION("""COMPUTED_VALUE"""),"Prio Arief Gunawan")</f>
        <v>Prio Arief Gunawan</v>
      </c>
      <c r="C40" s="42" t="str">
        <f>IFERROR(__xludf.DUMMYFUNCTION("""COMPUTED_VALUE"""),"Online")</f>
        <v>Online</v>
      </c>
      <c r="D40" s="42" t="str">
        <f>IFERROR(__xludf.DUMMYFUNCTION("""COMPUTED_VALUE"""),"Fullstack Mobile Developer")</f>
        <v>Fullstack Mobile Developer</v>
      </c>
      <c r="E40" s="42">
        <f>IFERROR(__xludf.DUMMYFUNCTION("""COMPUTED_VALUE"""),16.0)</f>
        <v>16</v>
      </c>
      <c r="F40" s="42">
        <f>IFERROR(__xludf.DUMMYFUNCTION("""COMPUTED_VALUE"""),3.0)</f>
        <v>3</v>
      </c>
      <c r="G40" s="42" t="str">
        <f>IFERROR(__xludf.DUMMYFUNCTION("""COMPUTED_VALUE"""),"ARKWH2")</f>
        <v>ARKWH2</v>
      </c>
      <c r="H40" s="42" t="str">
        <f>IFERROR(__xludf.DUMMYFUNCTION("""COMPUTED_VALUE"""),"Flowchart + Logic")</f>
        <v>Flowchart + Logic</v>
      </c>
      <c r="I40" s="46" t="str">
        <f>IFERROR(__xludf.DUMMYFUNCTION("""COMPUTED_VALUE"""),"https://repl.it/@prioarief/quiz2ark")</f>
        <v>https://repl.it/@prioarief/quiz2ark</v>
      </c>
      <c r="J40" s="46" t="str">
        <f>IFERROR(__xludf.DUMMYFUNCTION("""COMPUTED_VALUE"""),"https://drive.google.com/file/d/10ISh9vDNsrNFiVaclr02n1zwWfHLj4lT/view?usp=sharing")</f>
        <v>https://drive.google.com/file/d/10ISh9vDNsrNFiVaclr02n1zwWfHLj4lT/view?usp=sharing</v>
      </c>
      <c r="K40" s="42"/>
      <c r="L40" s="42">
        <f>IFERROR(__xludf.DUMMYFUNCTION("""COMPUTED_VALUE"""),1.5)</f>
        <v>1.5</v>
      </c>
      <c r="M40" s="42" t="str">
        <f>IFERROR(__xludf.DUMMYFUNCTION("""COMPUTED_VALUE"""),"hasil sesuai, flowchart kurang tepat")</f>
        <v>hasil sesuai, flowchart kurang tepat</v>
      </c>
    </row>
    <row r="41">
      <c r="A41" s="43">
        <f>IFERROR(__xludf.DUMMYFUNCTION("""COMPUTED_VALUE"""),44006.58610354167)</f>
        <v>44006.5861</v>
      </c>
      <c r="B41" s="42" t="str">
        <f>IFERROR(__xludf.DUMMYFUNCTION("""COMPUTED_VALUE"""),"Faris Ramadhan")</f>
        <v>Faris Ramadhan</v>
      </c>
      <c r="C41" s="42" t="str">
        <f>IFERROR(__xludf.DUMMYFUNCTION("""COMPUTED_VALUE"""),"Online")</f>
        <v>Online</v>
      </c>
      <c r="D41" s="42" t="str">
        <f>IFERROR(__xludf.DUMMYFUNCTION("""COMPUTED_VALUE"""),"Fullstack Mobile Developer")</f>
        <v>Fullstack Mobile Developer</v>
      </c>
      <c r="E41" s="42">
        <f>IFERROR(__xludf.DUMMYFUNCTION("""COMPUTED_VALUE"""),16.0)</f>
        <v>16</v>
      </c>
      <c r="F41" s="42">
        <f>IFERROR(__xludf.DUMMYFUNCTION("""COMPUTED_VALUE"""),3.0)</f>
        <v>3</v>
      </c>
      <c r="G41" s="42" t="str">
        <f>IFERROR(__xludf.DUMMYFUNCTION("""COMPUTED_VALUE"""),"ARKWH2")</f>
        <v>ARKWH2</v>
      </c>
      <c r="H41" s="42" t="str">
        <f>IFERROR(__xludf.DUMMYFUNCTION("""COMPUTED_VALUE"""),"Flowchart + Logic")</f>
        <v>Flowchart + Logic</v>
      </c>
      <c r="I41" s="46" t="str">
        <f>IFERROR(__xludf.DUMMYFUNCTION("""COMPUTED_VALUE"""),"https://repl.it/join/htcueknm-knocknockguessw")</f>
        <v>https://repl.it/join/htcueknm-knocknockguessw</v>
      </c>
      <c r="J41" s="46" t="str">
        <f>IFERROR(__xludf.DUMMYFUNCTION("""COMPUTED_VALUE"""),"https://drive.google.com/file/d/1dZIw5ZIk4AlFYRa0i8wSreiUX1MHhHHi/view?usp=sharing")</f>
        <v>https://drive.google.com/file/d/1dZIw5ZIk4AlFYRa0i8wSreiUX1MHhHHi/view?usp=sharing</v>
      </c>
      <c r="K41" s="42"/>
      <c r="L41" s="42"/>
      <c r="M41" s="42"/>
    </row>
    <row r="42">
      <c r="A42" s="43">
        <f>IFERROR(__xludf.DUMMYFUNCTION("""COMPUTED_VALUE"""),44006.58719365741)</f>
        <v>44006.58719</v>
      </c>
      <c r="B42" s="42" t="str">
        <f>IFERROR(__xludf.DUMMYFUNCTION("""COMPUTED_VALUE"""),"Daniel Saputra")</f>
        <v>Daniel Saputra</v>
      </c>
      <c r="C42" s="42" t="str">
        <f>IFERROR(__xludf.DUMMYFUNCTION("""COMPUTED_VALUE"""),"Online")</f>
        <v>Online</v>
      </c>
      <c r="D42" s="42" t="str">
        <f>IFERROR(__xludf.DUMMYFUNCTION("""COMPUTED_VALUE"""),"Fullstack Mobile Developer")</f>
        <v>Fullstack Mobile Developer</v>
      </c>
      <c r="E42" s="42">
        <f>IFERROR(__xludf.DUMMYFUNCTION("""COMPUTED_VALUE"""),16.0)</f>
        <v>16</v>
      </c>
      <c r="F42" s="42">
        <f>IFERROR(__xludf.DUMMYFUNCTION("""COMPUTED_VALUE"""),3.0)</f>
        <v>3</v>
      </c>
      <c r="G42" s="42" t="str">
        <f>IFERROR(__xludf.DUMMYFUNCTION("""COMPUTED_VALUE"""),"ARKWH2")</f>
        <v>ARKWH2</v>
      </c>
      <c r="H42" s="42" t="str">
        <f>IFERROR(__xludf.DUMMYFUNCTION("""COMPUTED_VALUE"""),"Flowchart + Logic")</f>
        <v>Flowchart + Logic</v>
      </c>
      <c r="I42" s="46" t="str">
        <f>IFERROR(__xludf.DUMMYFUNCTION("""COMPUTED_VALUE"""),"https://repl.it/@danielwetan/Weekly-Task-2#index.js")</f>
        <v>https://repl.it/@danielwetan/Weekly-Task-2#index.js</v>
      </c>
      <c r="J42" s="42"/>
      <c r="K42" s="42"/>
      <c r="L42" s="42">
        <f>IFERROR(__xludf.DUMMYFUNCTION("""COMPUTED_VALUE"""),0.0)</f>
        <v>0</v>
      </c>
      <c r="M42" s="42" t="str">
        <f>IFERROR(__xludf.DUMMYFUNCTION("""COMPUTED_VALUE"""),"hasil tidak sesuai, flowchart gada")</f>
        <v>hasil tidak sesuai, flowchart gada</v>
      </c>
    </row>
    <row r="43">
      <c r="A43" s="43">
        <f>IFERROR(__xludf.DUMMYFUNCTION("""COMPUTED_VALUE"""),44006.589582719906)</f>
        <v>44006.58958</v>
      </c>
      <c r="B43" s="42" t="str">
        <f>IFERROR(__xludf.DUMMYFUNCTION("""COMPUTED_VALUE"""),"Luthfi Widya Ekakusuma")</f>
        <v>Luthfi Widya Ekakusuma</v>
      </c>
      <c r="C43" s="42" t="str">
        <f>IFERROR(__xludf.DUMMYFUNCTION("""COMPUTED_VALUE"""),"Online")</f>
        <v>Online</v>
      </c>
      <c r="D43" s="42" t="str">
        <f>IFERROR(__xludf.DUMMYFUNCTION("""COMPUTED_VALUE"""),"Fullstack Mobile Developer")</f>
        <v>Fullstack Mobile Developer</v>
      </c>
      <c r="E43" s="42">
        <f>IFERROR(__xludf.DUMMYFUNCTION("""COMPUTED_VALUE"""),16.0)</f>
        <v>16</v>
      </c>
      <c r="F43" s="42">
        <f>IFERROR(__xludf.DUMMYFUNCTION("""COMPUTED_VALUE"""),2.0)</f>
        <v>2</v>
      </c>
      <c r="G43" s="42" t="str">
        <f>IFERROR(__xludf.DUMMYFUNCTION("""COMPUTED_VALUE"""),"ARKWH2")</f>
        <v>ARKWH2</v>
      </c>
      <c r="H43" s="42" t="str">
        <f>IFERROR(__xludf.DUMMYFUNCTION("""COMPUTED_VALUE"""),"Flowchart + Logic")</f>
        <v>Flowchart + Logic</v>
      </c>
      <c r="I43" s="46" t="str">
        <f>IFERROR(__xludf.DUMMYFUNCTION("""COMPUTED_VALUE"""),"https://repl.it/@luthfiwidya/quiz2pyramid")</f>
        <v>https://repl.it/@luthfiwidya/quiz2pyramid</v>
      </c>
      <c r="J43" s="46" t="str">
        <f>IFERROR(__xludf.DUMMYFUNCTION("""COMPUTED_VALUE"""),"https://drive.google.com/file/d/1VUbE9aNp3LXgzHDrWtvqmNaxRfDJSaig/view?usp=sharing")</f>
        <v>https://drive.google.com/file/d/1VUbE9aNp3LXgzHDrWtvqmNaxRfDJSaig/view?usp=sharing</v>
      </c>
      <c r="K43" s="42"/>
      <c r="L43" s="42">
        <f>IFERROR(__xludf.DUMMYFUNCTION("""COMPUTED_VALUE"""),1.5)</f>
        <v>1.5</v>
      </c>
      <c r="M43" s="42" t="str">
        <f>IFERROR(__xludf.DUMMYFUNCTION("""COMPUTED_VALUE"""),"Sesuai tapi Flowchart terlalu deskriptif")</f>
        <v>Sesuai tapi Flowchart terlalu deskriptif</v>
      </c>
    </row>
    <row r="44">
      <c r="A44" s="43">
        <f>IFERROR(__xludf.DUMMYFUNCTION("""COMPUTED_VALUE"""),44006.5913683449)</f>
        <v>44006.59137</v>
      </c>
      <c r="B44" s="42" t="str">
        <f>IFERROR(__xludf.DUMMYFUNCTION("""COMPUTED_VALUE"""),"Vikra Ardiansyah Zaini")</f>
        <v>Vikra Ardiansyah Zaini</v>
      </c>
      <c r="C44" s="42" t="str">
        <f>IFERROR(__xludf.DUMMYFUNCTION("""COMPUTED_VALUE"""),"Online")</f>
        <v>Online</v>
      </c>
      <c r="D44" s="42" t="str">
        <f>IFERROR(__xludf.DUMMYFUNCTION("""COMPUTED_VALUE"""),"Fullstack Mobile Developer")</f>
        <v>Fullstack Mobile Developer</v>
      </c>
      <c r="E44" s="42">
        <f>IFERROR(__xludf.DUMMYFUNCTION("""COMPUTED_VALUE"""),16.0)</f>
        <v>16</v>
      </c>
      <c r="F44" s="42">
        <f>IFERROR(__xludf.DUMMYFUNCTION("""COMPUTED_VALUE"""),1.0)</f>
        <v>1</v>
      </c>
      <c r="G44" s="42" t="str">
        <f>IFERROR(__xludf.DUMMYFUNCTION("""COMPUTED_VALUE"""),"ARKWH2")</f>
        <v>ARKWH2</v>
      </c>
      <c r="H44" s="42" t="str">
        <f>IFERROR(__xludf.DUMMYFUNCTION("""COMPUTED_VALUE"""),"Flowchart + Logic")</f>
        <v>Flowchart + Logic</v>
      </c>
      <c r="I44" s="46" t="str">
        <f>IFERROR(__xludf.DUMMYFUNCTION("""COMPUTED_VALUE"""),"https://playcode.io/625732/")</f>
        <v>https://playcode.io/625732/</v>
      </c>
      <c r="J44" s="46" t="str">
        <f>IFERROR(__xludf.DUMMYFUNCTION("""COMPUTED_VALUE"""),"https://drive.google.com/file/d/1l4Q-9dX9lRmAUMQN-l8UFoE1zwN-jBxn/view?usp=sharing")</f>
        <v>https://drive.google.com/file/d/1l4Q-9dX9lRmAUMQN-l8UFoE1zwN-jBxn/view?usp=sharing</v>
      </c>
      <c r="K44" s="42"/>
      <c r="L44" s="42">
        <f>IFERROR(__xludf.DUMMYFUNCTION("""COMPUTED_VALUE"""),1.5)</f>
        <v>1.5</v>
      </c>
      <c r="M44" s="42" t="str">
        <f>IFERROR(__xludf.DUMMYFUNCTION("""COMPUTED_VALUE"""),"code sudah baik, namun flowchart susah dipahami")</f>
        <v>code sudah baik, namun flowchart susah dipahami</v>
      </c>
    </row>
    <row r="45">
      <c r="A45" s="43">
        <f>IFERROR(__xludf.DUMMYFUNCTION("""COMPUTED_VALUE"""),44006.59373811343)</f>
        <v>44006.59374</v>
      </c>
      <c r="B45" s="42" t="str">
        <f>IFERROR(__xludf.DUMMYFUNCTION("""COMPUTED_VALUE"""),"Dimas Wahyu Juhair Mokodompit")</f>
        <v>Dimas Wahyu Juhair Mokodompit</v>
      </c>
      <c r="C45" s="42" t="str">
        <f>IFERROR(__xludf.DUMMYFUNCTION("""COMPUTED_VALUE"""),"Online")</f>
        <v>Online</v>
      </c>
      <c r="D45" s="42" t="str">
        <f>IFERROR(__xludf.DUMMYFUNCTION("""COMPUTED_VALUE"""),"Fullstack Mobile Developer")</f>
        <v>Fullstack Mobile Developer</v>
      </c>
      <c r="E45" s="42">
        <f>IFERROR(__xludf.DUMMYFUNCTION("""COMPUTED_VALUE"""),16.0)</f>
        <v>16</v>
      </c>
      <c r="F45" s="42">
        <f>IFERROR(__xludf.DUMMYFUNCTION("""COMPUTED_VALUE"""),3.0)</f>
        <v>3</v>
      </c>
      <c r="G45" s="42" t="str">
        <f>IFERROR(__xludf.DUMMYFUNCTION("""COMPUTED_VALUE"""),"ARKWH2")</f>
        <v>ARKWH2</v>
      </c>
      <c r="H45" s="42" t="str">
        <f>IFERROR(__xludf.DUMMYFUNCTION("""COMPUTED_VALUE"""),"Flowchart + Logic")</f>
        <v>Flowchart + Logic</v>
      </c>
      <c r="I45" s="46" t="str">
        <f>IFERROR(__xludf.DUMMYFUNCTION("""COMPUTED_VALUE"""),"https://repl.it/@DimasMokodompit/reversePyramid#index.js")</f>
        <v>https://repl.it/@DimasMokodompit/reversePyramid#index.js</v>
      </c>
      <c r="J45" s="46" t="str">
        <f>IFERROR(__xludf.DUMMYFUNCTION("""COMPUTED_VALUE"""),"https://drive.google.com/file/d/1FsV81rDXsS-uu0rJpxV8djyscfJwa_u_/view?usp=sharing")</f>
        <v>https://drive.google.com/file/d/1FsV81rDXsS-uu0rJpxV8djyscfJwa_u_/view?usp=sharing</v>
      </c>
      <c r="K45" s="42"/>
      <c r="L45" s="42">
        <f>IFERROR(__xludf.DUMMYFUNCTION("""COMPUTED_VALUE"""),1.8)</f>
        <v>1.8</v>
      </c>
      <c r="M45" s="42" t="str">
        <f>IFERROR(__xludf.DUMMYFUNCTION("""COMPUTED_VALUE"""),"hasil sesuai, flowchart jga udah mengarah kesana")</f>
        <v>hasil sesuai, flowchart jga udah mengarah kesana</v>
      </c>
    </row>
    <row r="46">
      <c r="A46" s="43">
        <f>IFERROR(__xludf.DUMMYFUNCTION("""COMPUTED_VALUE"""),44006.594400057875)</f>
        <v>44006.5944</v>
      </c>
      <c r="B46" s="42" t="str">
        <f>IFERROR(__xludf.DUMMYFUNCTION("""COMPUTED_VALUE"""),"Rina Lia Aryati")</f>
        <v>Rina Lia Aryati</v>
      </c>
      <c r="C46" s="42" t="str">
        <f>IFERROR(__xludf.DUMMYFUNCTION("""COMPUTED_VALUE"""),"Online")</f>
        <v>Online</v>
      </c>
      <c r="D46" s="42" t="str">
        <f>IFERROR(__xludf.DUMMYFUNCTION("""COMPUTED_VALUE"""),"Fullstack Mobile Developer")</f>
        <v>Fullstack Mobile Developer</v>
      </c>
      <c r="E46" s="42">
        <f>IFERROR(__xludf.DUMMYFUNCTION("""COMPUTED_VALUE"""),16.0)</f>
        <v>16</v>
      </c>
      <c r="F46" s="42">
        <f>IFERROR(__xludf.DUMMYFUNCTION("""COMPUTED_VALUE"""),2.0)</f>
        <v>2</v>
      </c>
      <c r="G46" s="42" t="str">
        <f>IFERROR(__xludf.DUMMYFUNCTION("""COMPUTED_VALUE"""),"ARKWH2")</f>
        <v>ARKWH2</v>
      </c>
      <c r="H46" s="42" t="str">
        <f>IFERROR(__xludf.DUMMYFUNCTION("""COMPUTED_VALUE"""),"Flowchart + Logic")</f>
        <v>Flowchart + Logic</v>
      </c>
      <c r="I46" s="46" t="str">
        <f>IFERROR(__xludf.DUMMYFUNCTION("""COMPUTED_VALUE"""),"https://repl.it/@RinaLia/Quiz2")</f>
        <v>https://repl.it/@RinaLia/Quiz2</v>
      </c>
      <c r="J46" s="42"/>
      <c r="K46" s="42"/>
      <c r="L46" s="42">
        <f>IFERROR(__xludf.DUMMYFUNCTION("""COMPUTED_VALUE"""),0.5)</f>
        <v>0.5</v>
      </c>
      <c r="M46" s="42" t="str">
        <f>IFERROR(__xludf.DUMMYFUNCTION("""COMPUTED_VALUE"""),"Kode tidak dapat dijalankan. Belum mengerjakan flowchart karena waktu habis jadi fokus ke implementasi code saja.")</f>
        <v>Kode tidak dapat dijalankan. Belum mengerjakan flowchart karena waktu habis jadi fokus ke implementasi code saja.</v>
      </c>
    </row>
    <row r="47">
      <c r="A47" s="43">
        <f>IFERROR(__xludf.DUMMYFUNCTION("""COMPUTED_VALUE"""),44006.59499133102)</f>
        <v>44006.59499</v>
      </c>
      <c r="B47" s="42" t="str">
        <f>IFERROR(__xludf.DUMMYFUNCTION("""COMPUTED_VALUE"""),"Muhammad Rizky Ramadhan")</f>
        <v>Muhammad Rizky Ramadhan</v>
      </c>
      <c r="C47" s="42" t="str">
        <f>IFERROR(__xludf.DUMMYFUNCTION("""COMPUTED_VALUE"""),"Online")</f>
        <v>Online</v>
      </c>
      <c r="D47" s="42" t="str">
        <f>IFERROR(__xludf.DUMMYFUNCTION("""COMPUTED_VALUE"""),"Fullstack Mobile Developer")</f>
        <v>Fullstack Mobile Developer</v>
      </c>
      <c r="E47" s="42">
        <f>IFERROR(__xludf.DUMMYFUNCTION("""COMPUTED_VALUE"""),16.0)</f>
        <v>16</v>
      </c>
      <c r="F47" s="42">
        <f>IFERROR(__xludf.DUMMYFUNCTION("""COMPUTED_VALUE"""),3.0)</f>
        <v>3</v>
      </c>
      <c r="G47" s="42" t="str">
        <f>IFERROR(__xludf.DUMMYFUNCTION("""COMPUTED_VALUE"""),"ARKWH2")</f>
        <v>ARKWH2</v>
      </c>
      <c r="H47" s="42" t="str">
        <f>IFERROR(__xludf.DUMMYFUNCTION("""COMPUTED_VALUE"""),"Flowchart + Logic")</f>
        <v>Flowchart + Logic</v>
      </c>
      <c r="I47" s="46" t="str">
        <f>IFERROR(__xludf.DUMMYFUNCTION("""COMPUTED_VALUE"""),"https://playcode.io/568162/")</f>
        <v>https://playcode.io/568162/</v>
      </c>
      <c r="J47" s="42"/>
      <c r="K47" s="42"/>
      <c r="L47" s="42">
        <f>IFERROR(__xludf.DUMMYFUNCTION("""COMPUTED_VALUE"""),1.0)</f>
        <v>1</v>
      </c>
      <c r="M47" s="42" t="str">
        <f>IFERROR(__xludf.DUMMYFUNCTION("""COMPUTED_VALUE"""),"hasil sesuai, flowchart gada")</f>
        <v>hasil sesuai, flowchart gada</v>
      </c>
    </row>
    <row r="48">
      <c r="A48" s="43">
        <f>IFERROR(__xludf.DUMMYFUNCTION("""COMPUTED_VALUE"""),44006.59511146991)</f>
        <v>44006.59511</v>
      </c>
      <c r="B48" s="42" t="str">
        <f>IFERROR(__xludf.DUMMYFUNCTION("""COMPUTED_VALUE"""),"Alifkhi Miftahul Janah")</f>
        <v>Alifkhi Miftahul Janah</v>
      </c>
      <c r="C48" s="42" t="str">
        <f>IFERROR(__xludf.DUMMYFUNCTION("""COMPUTED_VALUE"""),"Online")</f>
        <v>Online</v>
      </c>
      <c r="D48" s="42" t="str">
        <f>IFERROR(__xludf.DUMMYFUNCTION("""COMPUTED_VALUE"""),"Fullstack Mobile Developer")</f>
        <v>Fullstack Mobile Developer</v>
      </c>
      <c r="E48" s="42">
        <f>IFERROR(__xludf.DUMMYFUNCTION("""COMPUTED_VALUE"""),16.0)</f>
        <v>16</v>
      </c>
      <c r="F48" s="42">
        <f>IFERROR(__xludf.DUMMYFUNCTION("""COMPUTED_VALUE"""),3.0)</f>
        <v>3</v>
      </c>
      <c r="G48" s="42" t="str">
        <f>IFERROR(__xludf.DUMMYFUNCTION("""COMPUTED_VALUE"""),"ARKWH2")</f>
        <v>ARKWH2</v>
      </c>
      <c r="H48" s="42" t="str">
        <f>IFERROR(__xludf.DUMMYFUNCTION("""COMPUTED_VALUE"""),"Flowchart + Logic")</f>
        <v>Flowchart + Logic</v>
      </c>
      <c r="I48" s="46" t="str">
        <f>IFERROR(__xludf.DUMMYFUNCTION("""COMPUTED_VALUE"""),"https://repl.it/@ALIFKI/Weekly-Quiz-week-2#index.js")</f>
        <v>https://repl.it/@ALIFKI/Weekly-Quiz-week-2#index.js</v>
      </c>
      <c r="J48" s="46" t="str">
        <f>IFERROR(__xludf.DUMMYFUNCTION("""COMPUTED_VALUE"""),"https://drive.google.com/file/d/1JWhMBNnOLQPNeC-G3Hj0ICoUEXaCZj_c/view?usp=sharing")</f>
        <v>https://drive.google.com/file/d/1JWhMBNnOLQPNeC-G3Hj0ICoUEXaCZj_c/view?usp=sharing</v>
      </c>
      <c r="K48" s="42"/>
      <c r="L48" s="42">
        <f>IFERROR(__xludf.DUMMYFUNCTION("""COMPUTED_VALUE"""),1.8)</f>
        <v>1.8</v>
      </c>
      <c r="M48" s="42" t="str">
        <f>IFERROR(__xludf.DUMMYFUNCTION("""COMPUTED_VALUE"""),"hasil sesuai, flowchart jga udah mengarah kesana")</f>
        <v>hasil sesuai, flowchart jga udah mengarah kesana</v>
      </c>
    </row>
    <row r="49">
      <c r="A49" s="43">
        <f>IFERROR(__xludf.DUMMYFUNCTION("""COMPUTED_VALUE"""),44006.59514503472)</f>
        <v>44006.59515</v>
      </c>
      <c r="B49" s="42" t="str">
        <f>IFERROR(__xludf.DUMMYFUNCTION("""COMPUTED_VALUE"""),"Zulfian")</f>
        <v>Zulfian</v>
      </c>
      <c r="C49" s="42" t="str">
        <f>IFERROR(__xludf.DUMMYFUNCTION("""COMPUTED_VALUE"""),"Online")</f>
        <v>Online</v>
      </c>
      <c r="D49" s="42" t="str">
        <f>IFERROR(__xludf.DUMMYFUNCTION("""COMPUTED_VALUE"""),"Fullstack Mobile Developer")</f>
        <v>Fullstack Mobile Developer</v>
      </c>
      <c r="E49" s="42">
        <f>IFERROR(__xludf.DUMMYFUNCTION("""COMPUTED_VALUE"""),16.0)</f>
        <v>16</v>
      </c>
      <c r="F49" s="42">
        <f>IFERROR(__xludf.DUMMYFUNCTION("""COMPUTED_VALUE"""),1.0)</f>
        <v>1</v>
      </c>
      <c r="G49" s="42" t="str">
        <f>IFERROR(__xludf.DUMMYFUNCTION("""COMPUTED_VALUE"""),"ARKWH2")</f>
        <v>ARKWH2</v>
      </c>
      <c r="H49" s="42" t="str">
        <f>IFERROR(__xludf.DUMMYFUNCTION("""COMPUTED_VALUE"""),"Flowchart + Logic")</f>
        <v>Flowchart + Logic</v>
      </c>
      <c r="I49" s="46" t="str">
        <f>IFERROR(__xludf.DUMMYFUNCTION("""COMPUTED_VALUE"""),"https://repl.it/@IzulZulfian/Weekly-Quiz-Reverse-Pyramid")</f>
        <v>https://repl.it/@IzulZulfian/Weekly-Quiz-Reverse-Pyramid</v>
      </c>
      <c r="J49" s="46" t="str">
        <f>IFERROR(__xludf.DUMMYFUNCTION("""COMPUTED_VALUE"""),"https://app.diagrams.net/#G13p_MErmTd2d-ZhcMJt-a5o0w2ef7BsqN")</f>
        <v>https://app.diagrams.net/#G13p_MErmTd2d-ZhcMJt-a5o0w2ef7BsqN</v>
      </c>
      <c r="K49" s="42"/>
      <c r="L49" s="42">
        <f>IFERROR(__xludf.DUMMYFUNCTION("""COMPUTED_VALUE"""),0.5)</f>
        <v>0.5</v>
      </c>
      <c r="M49" s="42" t="str">
        <f>IFERROR(__xludf.DUMMYFUNCTION("""COMPUTED_VALUE"""),"file flowchart tidak bisa diakses, hasil code sebuah segitiga siku siku")</f>
        <v>file flowchart tidak bisa diakses, hasil code sebuah segitiga siku siku</v>
      </c>
    </row>
    <row r="50">
      <c r="A50" s="43">
        <f>IFERROR(__xludf.DUMMYFUNCTION("""COMPUTED_VALUE"""),44006.59524043981)</f>
        <v>44006.59524</v>
      </c>
      <c r="B50" s="42" t="str">
        <f>IFERROR(__xludf.DUMMYFUNCTION("""COMPUTED_VALUE"""),"Dezza Rizqi")</f>
        <v>Dezza Rizqi</v>
      </c>
      <c r="C50" s="42" t="str">
        <f>IFERROR(__xludf.DUMMYFUNCTION("""COMPUTED_VALUE"""),"Online")</f>
        <v>Online</v>
      </c>
      <c r="D50" s="42" t="str">
        <f>IFERROR(__xludf.DUMMYFUNCTION("""COMPUTED_VALUE"""),"Fullstack Mobile Developer")</f>
        <v>Fullstack Mobile Developer</v>
      </c>
      <c r="E50" s="42">
        <f>IFERROR(__xludf.DUMMYFUNCTION("""COMPUTED_VALUE"""),16.0)</f>
        <v>16</v>
      </c>
      <c r="F50" s="42">
        <f>IFERROR(__xludf.DUMMYFUNCTION("""COMPUTED_VALUE"""),2.0)</f>
        <v>2</v>
      </c>
      <c r="G50" s="42" t="str">
        <f>IFERROR(__xludf.DUMMYFUNCTION("""COMPUTED_VALUE"""),"ARKWH2")</f>
        <v>ARKWH2</v>
      </c>
      <c r="H50" s="42" t="str">
        <f>IFERROR(__xludf.DUMMYFUNCTION("""COMPUTED_VALUE"""),"Flowchart + Logic")</f>
        <v>Flowchart + Logic</v>
      </c>
      <c r="I50" s="46" t="str">
        <f>IFERROR(__xludf.DUMMYFUNCTION("""COMPUTED_VALUE"""),"https://repl.it/@ParkD/Weekly-Quiz-Week-2")</f>
        <v>https://repl.it/@ParkD/Weekly-Quiz-Week-2</v>
      </c>
      <c r="J50" s="46" t="str">
        <f>IFERROR(__xludf.DUMMYFUNCTION("""COMPUTED_VALUE"""),"https://drive.google.com/file/d/164BNXao1887uS5mXahkTcNPPWP0ZL9I4/view?usp=sharing")</f>
        <v>https://drive.google.com/file/d/164BNXao1887uS5mXahkTcNPPWP0ZL9I4/view?usp=sharing</v>
      </c>
      <c r="K50" s="46" t="str">
        <f>IFERROR(__xludf.DUMMYFUNCTION("""COMPUTED_VALUE"""),"https://drive.google.com/open?id=1wEu93jAKjox40Ab9mjvX5h50XmdJ7Qam")</f>
        <v>https://drive.google.com/open?id=1wEu93jAKjox40Ab9mjvX5h50XmdJ7Qam</v>
      </c>
      <c r="L50" s="42">
        <f>IFERROR(__xludf.DUMMYFUNCTION("""COMPUTED_VALUE"""),1.5)</f>
        <v>1.5</v>
      </c>
      <c r="M50" s="42" t="str">
        <f>IFERROR(__xludf.DUMMYFUNCTION("""COMPUTED_VALUE"""),"Sesuai tetapi Flowchart dapat diperbaiki dan dipersingkat lagi")</f>
        <v>Sesuai tetapi Flowchart dapat diperbaiki dan dipersingkat lagi</v>
      </c>
    </row>
    <row r="51">
      <c r="A51" s="43">
        <f>IFERROR(__xludf.DUMMYFUNCTION("""COMPUTED_VALUE"""),44006.59550922454)</f>
        <v>44006.59551</v>
      </c>
      <c r="B51" s="42" t="str">
        <f>IFERROR(__xludf.DUMMYFUNCTION("""COMPUTED_VALUE"""),"Tri Fajar Pangestu")</f>
        <v>Tri Fajar Pangestu</v>
      </c>
      <c r="C51" s="42" t="str">
        <f>IFERROR(__xludf.DUMMYFUNCTION("""COMPUTED_VALUE"""),"Online")</f>
        <v>Online</v>
      </c>
      <c r="D51" s="42" t="str">
        <f>IFERROR(__xludf.DUMMYFUNCTION("""COMPUTED_VALUE"""),"Fullstack Mobile Developer")</f>
        <v>Fullstack Mobile Developer</v>
      </c>
      <c r="E51" s="42">
        <f>IFERROR(__xludf.DUMMYFUNCTION("""COMPUTED_VALUE"""),16.0)</f>
        <v>16</v>
      </c>
      <c r="F51" s="42">
        <f>IFERROR(__xludf.DUMMYFUNCTION("""COMPUTED_VALUE"""),2.0)</f>
        <v>2</v>
      </c>
      <c r="G51" s="42" t="str">
        <f>IFERROR(__xludf.DUMMYFUNCTION("""COMPUTED_VALUE"""),"ARKWH2")</f>
        <v>ARKWH2</v>
      </c>
      <c r="H51" s="42" t="str">
        <f>IFERROR(__xludf.DUMMYFUNCTION("""COMPUTED_VALUE"""),"Flowchart + Logic")</f>
        <v>Flowchart + Logic</v>
      </c>
      <c r="I51" s="46" t="str">
        <f>IFERROR(__xludf.DUMMYFUNCTION("""COMPUTED_VALUE"""),"https://repl.it/@fajarpng/arkademy-quis-w2#index.js")</f>
        <v>https://repl.it/@fajarpng/arkademy-quis-w2#index.js</v>
      </c>
      <c r="J51" s="42"/>
      <c r="K51" s="46" t="str">
        <f>IFERROR(__xludf.DUMMYFUNCTION("""COMPUTED_VALUE"""),"https://drive.google.com/open?id=1-vRYm3p6eARgpoYYcPdLfLT_vn8ETJja")</f>
        <v>https://drive.google.com/open?id=1-vRYm3p6eARgpoYYcPdLfLT_vn8ETJja</v>
      </c>
      <c r="L51" s="42">
        <f>IFERROR(__xludf.DUMMYFUNCTION("""COMPUTED_VALUE"""),1.5)</f>
        <v>1.5</v>
      </c>
      <c r="M51" s="42" t="str">
        <f>IFERROR(__xludf.DUMMYFUNCTION("""COMPUTED_VALUE"""),"Sesuai tetapi Flowchart rumit")</f>
        <v>Sesuai tetapi Flowchart rumit</v>
      </c>
    </row>
    <row r="52">
      <c r="A52" s="43">
        <f>IFERROR(__xludf.DUMMYFUNCTION("""COMPUTED_VALUE"""),44006.59603509259)</f>
        <v>44006.59604</v>
      </c>
      <c r="B52" s="42" t="str">
        <f>IFERROR(__xludf.DUMMYFUNCTION("""COMPUTED_VALUE"""),"Adnin Rifandi Sutanto Putra")</f>
        <v>Adnin Rifandi Sutanto Putra</v>
      </c>
      <c r="C52" s="42" t="str">
        <f>IFERROR(__xludf.DUMMYFUNCTION("""COMPUTED_VALUE"""),"Online")</f>
        <v>Online</v>
      </c>
      <c r="D52" s="42" t="str">
        <f>IFERROR(__xludf.DUMMYFUNCTION("""COMPUTED_VALUE"""),"Fullstack Mobile Developer")</f>
        <v>Fullstack Mobile Developer</v>
      </c>
      <c r="E52" s="42">
        <f>IFERROR(__xludf.DUMMYFUNCTION("""COMPUTED_VALUE"""),16.0)</f>
        <v>16</v>
      </c>
      <c r="F52" s="42">
        <f>IFERROR(__xludf.DUMMYFUNCTION("""COMPUTED_VALUE"""),3.0)</f>
        <v>3</v>
      </c>
      <c r="G52" s="42" t="str">
        <f>IFERROR(__xludf.DUMMYFUNCTION("""COMPUTED_VALUE"""),"ARKWH2")</f>
        <v>ARKWH2</v>
      </c>
      <c r="H52" s="42" t="str">
        <f>IFERROR(__xludf.DUMMYFUNCTION("""COMPUTED_VALUE"""),"Flowchart + Logic")</f>
        <v>Flowchart + Logic</v>
      </c>
      <c r="I52" s="46" t="str">
        <f>IFERROR(__xludf.DUMMYFUNCTION("""COMPUTED_VALUE"""),"https://repl.it/@AdninRifandioff/Weekly-Quiz-Week-2#index.js")</f>
        <v>https://repl.it/@AdninRifandioff/Weekly-Quiz-Week-2#index.js</v>
      </c>
      <c r="J52" s="42"/>
      <c r="K52" s="42"/>
      <c r="L52" s="42">
        <f>IFERROR(__xludf.DUMMYFUNCTION("""COMPUTED_VALUE"""),1.0)</f>
        <v>1</v>
      </c>
      <c r="M52" s="42" t="str">
        <f>IFERROR(__xludf.DUMMYFUNCTION("""COMPUTED_VALUE"""),"hasil sesuai, flowchart gada")</f>
        <v>hasil sesuai, flowchart gada</v>
      </c>
    </row>
    <row r="53">
      <c r="A53" s="43">
        <f>IFERROR(__xludf.DUMMYFUNCTION("""COMPUTED_VALUE"""),44006.596066886574)</f>
        <v>44006.59607</v>
      </c>
      <c r="B53" s="42" t="str">
        <f>IFERROR(__xludf.DUMMYFUNCTION("""COMPUTED_VALUE"""),"Bilkis Ismail")</f>
        <v>Bilkis Ismail</v>
      </c>
      <c r="C53" s="42" t="str">
        <f>IFERROR(__xludf.DUMMYFUNCTION("""COMPUTED_VALUE"""),"Online")</f>
        <v>Online</v>
      </c>
      <c r="D53" s="42" t="str">
        <f>IFERROR(__xludf.DUMMYFUNCTION("""COMPUTED_VALUE"""),"Fullstack Mobile Developer")</f>
        <v>Fullstack Mobile Developer</v>
      </c>
      <c r="E53" s="42">
        <f>IFERROR(__xludf.DUMMYFUNCTION("""COMPUTED_VALUE"""),16.0)</f>
        <v>16</v>
      </c>
      <c r="F53" s="42">
        <f>IFERROR(__xludf.DUMMYFUNCTION("""COMPUTED_VALUE"""),2.0)</f>
        <v>2</v>
      </c>
      <c r="G53" s="42" t="str">
        <f>IFERROR(__xludf.DUMMYFUNCTION("""COMPUTED_VALUE"""),"ARKWH2")</f>
        <v>ARKWH2</v>
      </c>
      <c r="H53" s="42" t="str">
        <f>IFERROR(__xludf.DUMMYFUNCTION("""COMPUTED_VALUE"""),"Flowchart + Logic")</f>
        <v>Flowchart + Logic</v>
      </c>
      <c r="I53" s="46" t="str">
        <f>IFERROR(__xludf.DUMMYFUNCTION("""COMPUTED_VALUE"""),"https://playcode.io/625731/")</f>
        <v>https://playcode.io/625731/</v>
      </c>
      <c r="J53" s="42"/>
      <c r="K53" s="46" t="str">
        <f>IFERROR(__xludf.DUMMYFUNCTION("""COMPUTED_VALUE"""),"https://drive.google.com/open?id=1PtKSBPaI3fC-lxR6LurXao9MaLs1-cUV")</f>
        <v>https://drive.google.com/open?id=1PtKSBPaI3fC-lxR6LurXao9MaLs1-cUV</v>
      </c>
      <c r="L53" s="42">
        <f>IFERROR(__xludf.DUMMYFUNCTION("""COMPUTED_VALUE"""),1.8)</f>
        <v>1.8</v>
      </c>
      <c r="M53" s="42" t="str">
        <f>IFERROR(__xludf.DUMMYFUNCTION("""COMPUTED_VALUE"""),"Sesuai, Flowchart singkat dan mudah dipahami ")</f>
        <v>Sesuai, Flowchart singkat dan mudah dipahami </v>
      </c>
    </row>
    <row r="54">
      <c r="A54" s="43">
        <f>IFERROR(__xludf.DUMMYFUNCTION("""COMPUTED_VALUE"""),44006.597864421296)</f>
        <v>44006.59786</v>
      </c>
      <c r="B54" s="42" t="str">
        <f>IFERROR(__xludf.DUMMYFUNCTION("""COMPUTED_VALUE"""),"Randi")</f>
        <v>Randi</v>
      </c>
      <c r="C54" s="42" t="str">
        <f>IFERROR(__xludf.DUMMYFUNCTION("""COMPUTED_VALUE"""),"Jakarta")</f>
        <v>Jakarta</v>
      </c>
      <c r="D54" s="42" t="str">
        <f>IFERROR(__xludf.DUMMYFUNCTION("""COMPUTED_VALUE"""),"Fullstack Web Developer")</f>
        <v>Fullstack Web Developer</v>
      </c>
      <c r="E54" s="42">
        <f>IFERROR(__xludf.DUMMYFUNCTION("""COMPUTED_VALUE"""),16.0)</f>
        <v>16</v>
      </c>
      <c r="F54" s="42">
        <f>IFERROR(__xludf.DUMMYFUNCTION("""COMPUTED_VALUE"""),3.0)</f>
        <v>3</v>
      </c>
      <c r="G54" s="42" t="str">
        <f>IFERROR(__xludf.DUMMYFUNCTION("""COMPUTED_VALUE"""),"ARKWH2")</f>
        <v>ARKWH2</v>
      </c>
      <c r="H54" s="42" t="str">
        <f>IFERROR(__xludf.DUMMYFUNCTION("""COMPUTED_VALUE"""),"Flowchart + Logic")</f>
        <v>Flowchart + Logic</v>
      </c>
      <c r="I54" s="46" t="str">
        <f>IFERROR(__xludf.DUMMYFUNCTION("""COMPUTED_VALUE"""),"https://playcode.io/859386")</f>
        <v>https://playcode.io/859386</v>
      </c>
      <c r="J54" s="42"/>
      <c r="K54" s="46" t="str">
        <f>IFERROR(__xludf.DUMMYFUNCTION("""COMPUTED_VALUE"""),"https://drive.google.com/open?id=11kB3OzAqRl2CP8iTDyFmpkkqduEG8f8z")</f>
        <v>https://drive.google.com/open?id=11kB3OzAqRl2CP8iTDyFmpkkqduEG8f8z</v>
      </c>
      <c r="L54" s="42">
        <f>IFERROR(__xludf.DUMMYFUNCTION("""COMPUTED_VALUE"""),0.8)</f>
        <v>0.8</v>
      </c>
      <c r="M54" s="42" t="str">
        <f>IFERROR(__xludf.DUMMYFUNCTION("""COMPUTED_VALUE"""),"code not found, flowchart udah mengarah kesana")</f>
        <v>code not found, flowchart udah mengarah kesana</v>
      </c>
    </row>
    <row r="55">
      <c r="A55" s="43">
        <f>IFERROR(__xludf.DUMMYFUNCTION("""COMPUTED_VALUE"""),44006.63501460648)</f>
        <v>44006.63501</v>
      </c>
      <c r="B55" s="42" t="str">
        <f>IFERROR(__xludf.DUMMYFUNCTION("""COMPUTED_VALUE"""),"Adnin Rifandi Sutanto Putra")</f>
        <v>Adnin Rifandi Sutanto Putra</v>
      </c>
      <c r="C55" s="42" t="str">
        <f>IFERROR(__xludf.DUMMYFUNCTION("""COMPUTED_VALUE"""),"Online")</f>
        <v>Online</v>
      </c>
      <c r="D55" s="42" t="str">
        <f>IFERROR(__xludf.DUMMYFUNCTION("""COMPUTED_VALUE"""),"Fullstack Mobile Developer")</f>
        <v>Fullstack Mobile Developer</v>
      </c>
      <c r="E55" s="42">
        <f>IFERROR(__xludf.DUMMYFUNCTION("""COMPUTED_VALUE"""),16.0)</f>
        <v>16</v>
      </c>
      <c r="F55" s="42">
        <f>IFERROR(__xludf.DUMMYFUNCTION("""COMPUTED_VALUE"""),3.0)</f>
        <v>3</v>
      </c>
      <c r="G55" s="42" t="str">
        <f>IFERROR(__xludf.DUMMYFUNCTION("""COMPUTED_VALUE"""),"ARKWH2")</f>
        <v>ARKWH2</v>
      </c>
      <c r="H55" s="42" t="str">
        <f>IFERROR(__xludf.DUMMYFUNCTION("""COMPUTED_VALUE"""),"Flowchart + Logic")</f>
        <v>Flowchart + Logic</v>
      </c>
      <c r="I55" s="46" t="str">
        <f>IFERROR(__xludf.DUMMYFUNCTION("""COMPUTED_VALUE"""),"https://repl.it/@AdninRifandioff/Weekly-Quiz-Week-2#index.js")</f>
        <v>https://repl.it/@AdninRifandioff/Weekly-Quiz-Week-2#index.js</v>
      </c>
      <c r="J55" s="46" t="str">
        <f>IFERROR(__xludf.DUMMYFUNCTION("""COMPUTED_VALUE"""),"https://drive.google.com/file/d/1wvxaw4fdLwigbDh_PfyX6mnHsyHvBMUo/view?usp=sharing")</f>
        <v>https://drive.google.com/file/d/1wvxaw4fdLwigbDh_PfyX6mnHsyHvBMUo/view?usp=sharing</v>
      </c>
      <c r="K55" s="42"/>
      <c r="L55" s="42"/>
      <c r="M55" s="42"/>
    </row>
    <row r="56">
      <c r="A56" s="43">
        <f>IFERROR(__xludf.DUMMYFUNCTION("""COMPUTED_VALUE"""),44013.567040381946)</f>
        <v>44013.56704</v>
      </c>
      <c r="B56" s="42" t="str">
        <f>IFERROR(__xludf.DUMMYFUNCTION("""COMPUTED_VALUE"""),"REDI")</f>
        <v>REDI</v>
      </c>
      <c r="C56" s="42" t="str">
        <f>IFERROR(__xludf.DUMMYFUNCTION("""COMPUTED_VALUE"""),"Online")</f>
        <v>Online</v>
      </c>
      <c r="D56" s="42" t="str">
        <f>IFERROR(__xludf.DUMMYFUNCTION("""COMPUTED_VALUE"""),"Fullstack Mobile Developer")</f>
        <v>Fullstack Mobile Developer</v>
      </c>
      <c r="E56" s="42">
        <f>IFERROR(__xludf.DUMMYFUNCTION("""COMPUTED_VALUE"""),16.0)</f>
        <v>16</v>
      </c>
      <c r="F56" s="42">
        <f>IFERROR(__xludf.DUMMYFUNCTION("""COMPUTED_VALUE"""),1.0)</f>
        <v>1</v>
      </c>
      <c r="G56" s="42" t="str">
        <f>IFERROR(__xludf.DUMMYFUNCTION("""COMPUTED_VALUE"""),"ARKWH3")</f>
        <v>ARKWH3</v>
      </c>
      <c r="H56" s="42" t="str">
        <f>IFERROR(__xludf.DUMMYFUNCTION("""COMPUTED_VALUE"""),"Flowchart + Logic")</f>
        <v>Flowchart + Logic</v>
      </c>
      <c r="I56" s="46" t="str">
        <f>IFERROR(__xludf.DUMMYFUNCTION("""COMPUTED_VALUE"""),"https://repl.it/@RediRamdan/Quiz-Weekly-3#index.js")</f>
        <v>https://repl.it/@RediRamdan/Quiz-Weekly-3#index.js</v>
      </c>
      <c r="J56" s="46" t="str">
        <f>IFERROR(__xludf.DUMMYFUNCTION("""COMPUTED_VALUE"""),"https://drive.google.com/file/d/1e4wgkyZU13twc1QAgn2jBh35SlgO8JvE/view?usp=sharing")</f>
        <v>https://drive.google.com/file/d/1e4wgkyZU13twc1QAgn2jBh35SlgO8JvE/view?usp=sharing</v>
      </c>
      <c r="K56" s="42"/>
      <c r="L56" s="42">
        <f>IFERROR(__xludf.DUMMYFUNCTION("""COMPUTED_VALUE"""),2.0)</f>
        <v>2</v>
      </c>
      <c r="M56" s="42"/>
    </row>
    <row r="57">
      <c r="A57" s="43">
        <f>IFERROR(__xludf.DUMMYFUNCTION("""COMPUTED_VALUE"""),44013.57260451389)</f>
        <v>44013.5726</v>
      </c>
      <c r="B57" s="42" t="str">
        <f>IFERROR(__xludf.DUMMYFUNCTION("""COMPUTED_VALUE"""),"DWIKY SATRIA HUTOMO")</f>
        <v>DWIKY SATRIA HUTOMO</v>
      </c>
      <c r="C57" s="42" t="str">
        <f>IFERROR(__xludf.DUMMYFUNCTION("""COMPUTED_VALUE"""),"Online")</f>
        <v>Online</v>
      </c>
      <c r="D57" s="42" t="str">
        <f>IFERROR(__xludf.DUMMYFUNCTION("""COMPUTED_VALUE"""),"Fullstack Mobile Developer")</f>
        <v>Fullstack Mobile Developer</v>
      </c>
      <c r="E57" s="42">
        <f>IFERROR(__xludf.DUMMYFUNCTION("""COMPUTED_VALUE"""),16.0)</f>
        <v>16</v>
      </c>
      <c r="F57" s="42">
        <f>IFERROR(__xludf.DUMMYFUNCTION("""COMPUTED_VALUE"""),1.0)</f>
        <v>1</v>
      </c>
      <c r="G57" s="42" t="str">
        <f>IFERROR(__xludf.DUMMYFUNCTION("""COMPUTED_VALUE"""),"ARKWH3")</f>
        <v>ARKWH3</v>
      </c>
      <c r="H57" s="42" t="str">
        <f>IFERROR(__xludf.DUMMYFUNCTION("""COMPUTED_VALUE"""),"Flowchart + Logic")</f>
        <v>Flowchart + Logic</v>
      </c>
      <c r="I57" s="46" t="str">
        <f>IFERROR(__xludf.DUMMYFUNCTION("""COMPUTED_VALUE"""),"https://playcode.io/629058/")</f>
        <v>https://playcode.io/629058/</v>
      </c>
      <c r="J57" s="46" t="str">
        <f>IFERROR(__xludf.DUMMYFUNCTION("""COMPUTED_VALUE"""),"https://drive.google.com/file/d/1yByZhuNSfO8g1jOZqsn1Wofu0KOaFuDm/view?usp=sharing")</f>
        <v>https://drive.google.com/file/d/1yByZhuNSfO8g1jOZqsn1Wofu0KOaFuDm/view?usp=sharing</v>
      </c>
      <c r="K57" s="42"/>
      <c r="L57" s="42"/>
      <c r="M57" s="42"/>
    </row>
    <row r="58">
      <c r="A58" s="43">
        <f>IFERROR(__xludf.DUMMYFUNCTION("""COMPUTED_VALUE"""),44013.57576334491)</f>
        <v>44013.57576</v>
      </c>
      <c r="B58" s="42" t="str">
        <f>IFERROR(__xludf.DUMMYFUNCTION("""COMPUTED_VALUE"""),"Adnin Rifandi Sutanto Putra")</f>
        <v>Adnin Rifandi Sutanto Putra</v>
      </c>
      <c r="C58" s="42" t="str">
        <f>IFERROR(__xludf.DUMMYFUNCTION("""COMPUTED_VALUE"""),"Online")</f>
        <v>Online</v>
      </c>
      <c r="D58" s="42" t="str">
        <f>IFERROR(__xludf.DUMMYFUNCTION("""COMPUTED_VALUE"""),"Fullstack Mobile Developer")</f>
        <v>Fullstack Mobile Developer</v>
      </c>
      <c r="E58" s="42">
        <f>IFERROR(__xludf.DUMMYFUNCTION("""COMPUTED_VALUE"""),16.0)</f>
        <v>16</v>
      </c>
      <c r="F58" s="42">
        <f>IFERROR(__xludf.DUMMYFUNCTION("""COMPUTED_VALUE"""),3.0)</f>
        <v>3</v>
      </c>
      <c r="G58" s="42" t="str">
        <f>IFERROR(__xludf.DUMMYFUNCTION("""COMPUTED_VALUE"""),"ARKWH3")</f>
        <v>ARKWH3</v>
      </c>
      <c r="H58" s="42" t="str">
        <f>IFERROR(__xludf.DUMMYFUNCTION("""COMPUTED_VALUE"""),"Flowchart + Logic")</f>
        <v>Flowchart + Logic</v>
      </c>
      <c r="I58" s="46" t="str">
        <f>IFERROR(__xludf.DUMMYFUNCTION("""COMPUTED_VALUE"""),"https://repl.it/@AdninRifandioff/Weekly-Quiz-Week-3#index.js")</f>
        <v>https://repl.it/@AdninRifandioff/Weekly-Quiz-Week-3#index.js</v>
      </c>
      <c r="J58" s="46" t="str">
        <f>IFERROR(__xludf.DUMMYFUNCTION("""COMPUTED_VALUE"""),"https://drive.google.com/file/d/1iNHsibQZZkHcXDMxXQIEVXFlOXqTOo6a/view?usp=sharing")</f>
        <v>https://drive.google.com/file/d/1iNHsibQZZkHcXDMxXQIEVXFlOXqTOo6a/view?usp=sharing</v>
      </c>
      <c r="K58" s="42"/>
      <c r="L58" s="42">
        <f>IFERROR(__xludf.DUMMYFUNCTION("""COMPUTED_VALUE"""),2.0)</f>
        <v>2</v>
      </c>
      <c r="M58" s="42"/>
    </row>
    <row r="59">
      <c r="A59" s="43">
        <f>IFERROR(__xludf.DUMMYFUNCTION("""COMPUTED_VALUE"""),44013.57703008102)</f>
        <v>44013.57703</v>
      </c>
      <c r="B59" s="42" t="str">
        <f>IFERROR(__xludf.DUMMYFUNCTION("""COMPUTED_VALUE"""),"Dezza Rizqi")</f>
        <v>Dezza Rizqi</v>
      </c>
      <c r="C59" s="42" t="str">
        <f>IFERROR(__xludf.DUMMYFUNCTION("""COMPUTED_VALUE"""),"Online")</f>
        <v>Online</v>
      </c>
      <c r="D59" s="42" t="str">
        <f>IFERROR(__xludf.DUMMYFUNCTION("""COMPUTED_VALUE"""),"Fullstack Mobile Developer")</f>
        <v>Fullstack Mobile Developer</v>
      </c>
      <c r="E59" s="42">
        <f>IFERROR(__xludf.DUMMYFUNCTION("""COMPUTED_VALUE"""),16.0)</f>
        <v>16</v>
      </c>
      <c r="F59" s="42">
        <f>IFERROR(__xludf.DUMMYFUNCTION("""COMPUTED_VALUE"""),2.0)</f>
        <v>2</v>
      </c>
      <c r="G59" s="42" t="str">
        <f>IFERROR(__xludf.DUMMYFUNCTION("""COMPUTED_VALUE"""),"ARKWH3")</f>
        <v>ARKWH3</v>
      </c>
      <c r="H59" s="42" t="str">
        <f>IFERROR(__xludf.DUMMYFUNCTION("""COMPUTED_VALUE"""),"Flowchart + Logic")</f>
        <v>Flowchart + Logic</v>
      </c>
      <c r="I59" s="46" t="str">
        <f>IFERROR(__xludf.DUMMYFUNCTION("""COMPUTED_VALUE"""),"https://repl.it/@ParkD/Week-3")</f>
        <v>https://repl.it/@ParkD/Week-3</v>
      </c>
      <c r="J59" s="46" t="str">
        <f>IFERROR(__xludf.DUMMYFUNCTION("""COMPUTED_VALUE"""),"https://drive.google.com/file/d/1cpAkwr2x_r2wUla9cEhem8RVQuoDK-n2/view?usp=sharing")</f>
        <v>https://drive.google.com/file/d/1cpAkwr2x_r2wUla9cEhem8RVQuoDK-n2/view?usp=sharing</v>
      </c>
      <c r="K59" s="46" t="str">
        <f>IFERROR(__xludf.DUMMYFUNCTION("""COMPUTED_VALUE"""),"https://drive.google.com/open?id=1qG1LWAAgZ_WxDkDCZLWH_FNJSo6TKFDD")</f>
        <v>https://drive.google.com/open?id=1qG1LWAAgZ_WxDkDCZLWH_FNJSo6TKFDD</v>
      </c>
      <c r="L59" s="42">
        <f>IFERROR(__xludf.DUMMYFUNCTION("""COMPUTED_VALUE"""),1.5)</f>
        <v>1.5</v>
      </c>
      <c r="M59" s="42"/>
    </row>
    <row r="60">
      <c r="A60" s="43">
        <f>IFERROR(__xludf.DUMMYFUNCTION("""COMPUTED_VALUE"""),44013.57800241898)</f>
        <v>44013.578</v>
      </c>
      <c r="B60" s="42" t="str">
        <f>IFERROR(__xludf.DUMMYFUNCTION("""COMPUTED_VALUE"""),"Tri Fajar Pangestu")</f>
        <v>Tri Fajar Pangestu</v>
      </c>
      <c r="C60" s="42" t="str">
        <f>IFERROR(__xludf.DUMMYFUNCTION("""COMPUTED_VALUE"""),"Online")</f>
        <v>Online</v>
      </c>
      <c r="D60" s="42" t="str">
        <f>IFERROR(__xludf.DUMMYFUNCTION("""COMPUTED_VALUE"""),"Fullstack Mobile Developer")</f>
        <v>Fullstack Mobile Developer</v>
      </c>
      <c r="E60" s="42">
        <f>IFERROR(__xludf.DUMMYFUNCTION("""COMPUTED_VALUE"""),16.0)</f>
        <v>16</v>
      </c>
      <c r="F60" s="42">
        <f>IFERROR(__xludf.DUMMYFUNCTION("""COMPUTED_VALUE"""),2.0)</f>
        <v>2</v>
      </c>
      <c r="G60" s="42" t="str">
        <f>IFERROR(__xludf.DUMMYFUNCTION("""COMPUTED_VALUE"""),"ARKWH3")</f>
        <v>ARKWH3</v>
      </c>
      <c r="H60" s="42" t="str">
        <f>IFERROR(__xludf.DUMMYFUNCTION("""COMPUTED_VALUE"""),"Flowchart + Logic")</f>
        <v>Flowchart + Logic</v>
      </c>
      <c r="I60" s="46" t="str">
        <f>IFERROR(__xludf.DUMMYFUNCTION("""COMPUTED_VALUE"""),"https://repl.it/@fajarpng/arkademy-quis-w3#index.js")</f>
        <v>https://repl.it/@fajarpng/arkademy-quis-w3#index.js</v>
      </c>
      <c r="J60" s="42"/>
      <c r="K60" s="46" t="str">
        <f>IFERROR(__xludf.DUMMYFUNCTION("""COMPUTED_VALUE"""),"https://drive.google.com/open?id=1ebtPxShTORN4ymk4U8qTvZjLdRj82LvK")</f>
        <v>https://drive.google.com/open?id=1ebtPxShTORN4ymk4U8qTvZjLdRj82LvK</v>
      </c>
      <c r="L60" s="42"/>
      <c r="M60" s="42"/>
    </row>
    <row r="61">
      <c r="A61" s="43">
        <f>IFERROR(__xludf.DUMMYFUNCTION("""COMPUTED_VALUE"""),44013.57887982639)</f>
        <v>44013.57888</v>
      </c>
      <c r="B61" s="42" t="str">
        <f>IFERROR(__xludf.DUMMYFUNCTION("""COMPUTED_VALUE"""),"Dicky Julian Pratama")</f>
        <v>Dicky Julian Pratama</v>
      </c>
      <c r="C61" s="42" t="str">
        <f>IFERROR(__xludf.DUMMYFUNCTION("""COMPUTED_VALUE"""),"Online")</f>
        <v>Online</v>
      </c>
      <c r="D61" s="42" t="str">
        <f>IFERROR(__xludf.DUMMYFUNCTION("""COMPUTED_VALUE"""),"Fullstack Mobile Developer")</f>
        <v>Fullstack Mobile Developer</v>
      </c>
      <c r="E61" s="42">
        <f>IFERROR(__xludf.DUMMYFUNCTION("""COMPUTED_VALUE"""),16.0)</f>
        <v>16</v>
      </c>
      <c r="F61" s="42">
        <f>IFERROR(__xludf.DUMMYFUNCTION("""COMPUTED_VALUE"""),3.0)</f>
        <v>3</v>
      </c>
      <c r="G61" s="42" t="str">
        <f>IFERROR(__xludf.DUMMYFUNCTION("""COMPUTED_VALUE"""),"ARKWH3")</f>
        <v>ARKWH3</v>
      </c>
      <c r="H61" s="42" t="str">
        <f>IFERROR(__xludf.DUMMYFUNCTION("""COMPUTED_VALUE"""),"Flowchart + Logic")</f>
        <v>Flowchart + Logic</v>
      </c>
      <c r="I61" s="46" t="str">
        <f>IFERROR(__xludf.DUMMYFUNCTION("""COMPUTED_VALUE"""),"https://repl.it/@dickyjulian/Arithmetic-Sequence#index.js")</f>
        <v>https://repl.it/@dickyjulian/Arithmetic-Sequence#index.js</v>
      </c>
      <c r="J61" s="46" t="str">
        <f>IFERROR(__xludf.DUMMYFUNCTION("""COMPUTED_VALUE"""),"https://drive.google.com/file/d/17rZuvXqNGdA7vWWZ93CDpYYaGmiXEy1K/view?usp=sharing")</f>
        <v>https://drive.google.com/file/d/17rZuvXqNGdA7vWWZ93CDpYYaGmiXEy1K/view?usp=sharing</v>
      </c>
      <c r="K61" s="42"/>
      <c r="L61" s="42">
        <f>IFERROR(__xludf.DUMMYFUNCTION("""COMPUTED_VALUE"""),1.8)</f>
        <v>1.8</v>
      </c>
      <c r="M61" s="42" t="str">
        <f>IFERROR(__xludf.DUMMYFUNCTION("""COMPUTED_VALUE"""),"hasil sesuai, tetapi menggunakan rumus mtk")</f>
        <v>hasil sesuai, tetapi menggunakan rumus mtk</v>
      </c>
    </row>
    <row r="62">
      <c r="A62" s="43">
        <f>IFERROR(__xludf.DUMMYFUNCTION("""COMPUTED_VALUE"""),44013.579715451386)</f>
        <v>44013.57972</v>
      </c>
      <c r="B62" s="42" t="str">
        <f>IFERROR(__xludf.DUMMYFUNCTION("""COMPUTED_VALUE"""),"Muhamad Adam")</f>
        <v>Muhamad Adam</v>
      </c>
      <c r="C62" s="42" t="str">
        <f>IFERROR(__xludf.DUMMYFUNCTION("""COMPUTED_VALUE"""),"Online")</f>
        <v>Online</v>
      </c>
      <c r="D62" s="42" t="str">
        <f>IFERROR(__xludf.DUMMYFUNCTION("""COMPUTED_VALUE"""),"Fullstack Mobile Developer")</f>
        <v>Fullstack Mobile Developer</v>
      </c>
      <c r="E62" s="42">
        <f>IFERROR(__xludf.DUMMYFUNCTION("""COMPUTED_VALUE"""),16.0)</f>
        <v>16</v>
      </c>
      <c r="F62" s="42">
        <f>IFERROR(__xludf.DUMMYFUNCTION("""COMPUTED_VALUE"""),2.0)</f>
        <v>2</v>
      </c>
      <c r="G62" s="42" t="str">
        <f>IFERROR(__xludf.DUMMYFUNCTION("""COMPUTED_VALUE"""),"ARKWH3")</f>
        <v>ARKWH3</v>
      </c>
      <c r="H62" s="42" t="str">
        <f>IFERROR(__xludf.DUMMYFUNCTION("""COMPUTED_VALUE"""),"Flowchart + Logic")</f>
        <v>Flowchart + Logic</v>
      </c>
      <c r="I62" s="46" t="str">
        <f>IFERROR(__xludf.DUMMYFUNCTION("""COMPUTED_VALUE"""),"https://repl.it/@MuhamadAdam/ARKWH3")</f>
        <v>https://repl.it/@MuhamadAdam/ARKWH3</v>
      </c>
      <c r="J62" s="46" t="str">
        <f>IFERROR(__xludf.DUMMYFUNCTION("""COMPUTED_VALUE"""),"https://drive.google.com/file/d/1nivCQaOIn6jHZqOIOJ2teVwRU5XLuKx-/view?usp=sharing")</f>
        <v>https://drive.google.com/file/d/1nivCQaOIn6jHZqOIOJ2teVwRU5XLuKx-/view?usp=sharing</v>
      </c>
      <c r="K62" s="42"/>
      <c r="L62" s="42">
        <f>IFERROR(__xludf.DUMMYFUNCTION("""COMPUTED_VALUE"""),1.5)</f>
        <v>1.5</v>
      </c>
      <c r="M62" s="42"/>
    </row>
    <row r="63">
      <c r="A63" s="43">
        <f>IFERROR(__xludf.DUMMYFUNCTION("""COMPUTED_VALUE"""),44013.57985270833)</f>
        <v>44013.57985</v>
      </c>
      <c r="B63" s="42" t="str">
        <f>IFERROR(__xludf.DUMMYFUNCTION("""COMPUTED_VALUE"""),"Vikra Ardiansyah Zaini")</f>
        <v>Vikra Ardiansyah Zaini</v>
      </c>
      <c r="C63" s="42" t="str">
        <f>IFERROR(__xludf.DUMMYFUNCTION("""COMPUTED_VALUE"""),"Online")</f>
        <v>Online</v>
      </c>
      <c r="D63" s="42" t="str">
        <f>IFERROR(__xludf.DUMMYFUNCTION("""COMPUTED_VALUE"""),"Fullstack Mobile Developer")</f>
        <v>Fullstack Mobile Developer</v>
      </c>
      <c r="E63" s="42">
        <f>IFERROR(__xludf.DUMMYFUNCTION("""COMPUTED_VALUE"""),16.0)</f>
        <v>16</v>
      </c>
      <c r="F63" s="42">
        <f>IFERROR(__xludf.DUMMYFUNCTION("""COMPUTED_VALUE"""),1.0)</f>
        <v>1</v>
      </c>
      <c r="G63" s="42" t="str">
        <f>IFERROR(__xludf.DUMMYFUNCTION("""COMPUTED_VALUE"""),"ARKWH3")</f>
        <v>ARKWH3</v>
      </c>
      <c r="H63" s="42" t="str">
        <f>IFERROR(__xludf.DUMMYFUNCTION("""COMPUTED_VALUE"""),"Flowchart + Logic")</f>
        <v>Flowchart + Logic</v>
      </c>
      <c r="I63" s="46" t="str">
        <f>IFERROR(__xludf.DUMMYFUNCTION("""COMPUTED_VALUE"""),"https://playcode.io/629059/")</f>
        <v>https://playcode.io/629059/</v>
      </c>
      <c r="J63" s="46" t="str">
        <f>IFERROR(__xludf.DUMMYFUNCTION("""COMPUTED_VALUE"""),"https://drive.google.com/file/d/11W7UkN-EV-PYerOnQHtco6KbANtGCcIw/view?usp=sharing")</f>
        <v>https://drive.google.com/file/d/11W7UkN-EV-PYerOnQHtco6KbANtGCcIw/view?usp=sharing</v>
      </c>
      <c r="K63" s="42"/>
      <c r="L63" s="42"/>
      <c r="M63" s="42"/>
    </row>
    <row r="64">
      <c r="A64" s="43">
        <f>IFERROR(__xludf.DUMMYFUNCTION("""COMPUTED_VALUE"""),44013.581934340276)</f>
        <v>44013.58193</v>
      </c>
      <c r="B64" s="42" t="str">
        <f>IFERROR(__xludf.DUMMYFUNCTION("""COMPUTED_VALUE"""),"Muhamad Abiyasa Sastra Wardana")</f>
        <v>Muhamad Abiyasa Sastra Wardana</v>
      </c>
      <c r="C64" s="42" t="str">
        <f>IFERROR(__xludf.DUMMYFUNCTION("""COMPUTED_VALUE"""),"Online")</f>
        <v>Online</v>
      </c>
      <c r="D64" s="42" t="str">
        <f>IFERROR(__xludf.DUMMYFUNCTION("""COMPUTED_VALUE"""),"Fullstack Mobile Developer")</f>
        <v>Fullstack Mobile Developer</v>
      </c>
      <c r="E64" s="42">
        <f>IFERROR(__xludf.DUMMYFUNCTION("""COMPUTED_VALUE"""),16.0)</f>
        <v>16</v>
      </c>
      <c r="F64" s="42">
        <f>IFERROR(__xludf.DUMMYFUNCTION("""COMPUTED_VALUE"""),3.0)</f>
        <v>3</v>
      </c>
      <c r="G64" s="42" t="str">
        <f>IFERROR(__xludf.DUMMYFUNCTION("""COMPUTED_VALUE"""),"ARKWH3")</f>
        <v>ARKWH3</v>
      </c>
      <c r="H64" s="42" t="str">
        <f>IFERROR(__xludf.DUMMYFUNCTION("""COMPUTED_VALUE"""),"Flowchart + Logic")</f>
        <v>Flowchart + Logic</v>
      </c>
      <c r="I64" s="46" t="str">
        <f>IFERROR(__xludf.DUMMYFUNCTION("""COMPUTED_VALUE"""),"https://repl.it/@byasaa/Arkademy-Weekly-3-Quiz#index.js")</f>
        <v>https://repl.it/@byasaa/Arkademy-Weekly-3-Quiz#index.js</v>
      </c>
      <c r="J64" s="46" t="str">
        <f>IFERROR(__xludf.DUMMYFUNCTION("""COMPUTED_VALUE"""),"https://drive.google.com/file/d/1eADDddNdj9NUkHTMVQrvMEFMJjjJs3ph/view?usp=sharing")</f>
        <v>https://drive.google.com/file/d/1eADDddNdj9NUkHTMVQrvMEFMJjjJs3ph/view?usp=sharing</v>
      </c>
      <c r="K64" s="42"/>
      <c r="L64" s="42">
        <f>IFERROR(__xludf.DUMMYFUNCTION("""COMPUTED_VALUE"""),1.0)</f>
        <v>1</v>
      </c>
      <c r="M64" s="42" t="str">
        <f>IFERROR(__xludf.DUMMYFUNCTION("""COMPUTED_VALUE"""),"flowchart tidak bisa diakses")</f>
        <v>flowchart tidak bisa diakses</v>
      </c>
    </row>
    <row r="65">
      <c r="A65" s="43">
        <f>IFERROR(__xludf.DUMMYFUNCTION("""COMPUTED_VALUE"""),44013.586417638886)</f>
        <v>44013.58642</v>
      </c>
      <c r="B65" s="42" t="str">
        <f>IFERROR(__xludf.DUMMYFUNCTION("""COMPUTED_VALUE"""),"M Ismoyo Setyonowidagdo")</f>
        <v>M Ismoyo Setyonowidagdo</v>
      </c>
      <c r="C65" s="42" t="str">
        <f>IFERROR(__xludf.DUMMYFUNCTION("""COMPUTED_VALUE"""),"Online")</f>
        <v>Online</v>
      </c>
      <c r="D65" s="42" t="str">
        <f>IFERROR(__xludf.DUMMYFUNCTION("""COMPUTED_VALUE"""),"Fullstack Mobile Developer")</f>
        <v>Fullstack Mobile Developer</v>
      </c>
      <c r="E65" s="42">
        <f>IFERROR(__xludf.DUMMYFUNCTION("""COMPUTED_VALUE"""),16.0)</f>
        <v>16</v>
      </c>
      <c r="F65" s="42">
        <f>IFERROR(__xludf.DUMMYFUNCTION("""COMPUTED_VALUE"""),3.0)</f>
        <v>3</v>
      </c>
      <c r="G65" s="42" t="str">
        <f>IFERROR(__xludf.DUMMYFUNCTION("""COMPUTED_VALUE"""),"ARKWH3")</f>
        <v>ARKWH3</v>
      </c>
      <c r="H65" s="42" t="str">
        <f>IFERROR(__xludf.DUMMYFUNCTION("""COMPUTED_VALUE"""),"Flowchart + Logic")</f>
        <v>Flowchart + Logic</v>
      </c>
      <c r="I65" s="46" t="str">
        <f>IFERROR(__xludf.DUMMYFUNCTION("""COMPUTED_VALUE"""),"https://repl.it/@ismoyo/ZealousJudiciousConfiguration#index.js")</f>
        <v>https://repl.it/@ismoyo/ZealousJudiciousConfiguration#index.js</v>
      </c>
      <c r="J65" s="46" t="str">
        <f>IFERROR(__xludf.DUMMYFUNCTION("""COMPUTED_VALUE"""),"https://drive.google.com/file/d/1XmGrmPVIMHslRnDIgopktfjVl75NrKY-/view?usp=sharing")</f>
        <v>https://drive.google.com/file/d/1XmGrmPVIMHslRnDIgopktfjVl75NrKY-/view?usp=sharing</v>
      </c>
      <c r="K65" s="42"/>
      <c r="L65" s="42">
        <f>IFERROR(__xludf.DUMMYFUNCTION("""COMPUTED_VALUE"""),1.0)</f>
        <v>1</v>
      </c>
      <c r="M65" s="42" t="str">
        <f>IFERROR(__xludf.DUMMYFUNCTION("""COMPUTED_VALUE"""),"code dan flowchart kurang tepat")</f>
        <v>code dan flowchart kurang tepat</v>
      </c>
    </row>
    <row r="66">
      <c r="A66" s="43">
        <f>IFERROR(__xludf.DUMMYFUNCTION("""COMPUTED_VALUE"""),44013.59244296297)</f>
        <v>44013.59244</v>
      </c>
      <c r="B66" s="42" t="str">
        <f>IFERROR(__xludf.DUMMYFUNCTION("""COMPUTED_VALUE"""),"Tri Fajar Pangestu")</f>
        <v>Tri Fajar Pangestu</v>
      </c>
      <c r="C66" s="42" t="str">
        <f>IFERROR(__xludf.DUMMYFUNCTION("""COMPUTED_VALUE"""),"Online")</f>
        <v>Online</v>
      </c>
      <c r="D66" s="42" t="str">
        <f>IFERROR(__xludf.DUMMYFUNCTION("""COMPUTED_VALUE"""),"Fullstack Mobile Developer")</f>
        <v>Fullstack Mobile Developer</v>
      </c>
      <c r="E66" s="42">
        <f>IFERROR(__xludf.DUMMYFUNCTION("""COMPUTED_VALUE"""),16.0)</f>
        <v>16</v>
      </c>
      <c r="F66" s="42">
        <f>IFERROR(__xludf.DUMMYFUNCTION("""COMPUTED_VALUE"""),2.0)</f>
        <v>2</v>
      </c>
      <c r="G66" s="42" t="str">
        <f>IFERROR(__xludf.DUMMYFUNCTION("""COMPUTED_VALUE"""),"ARKWH3")</f>
        <v>ARKWH3</v>
      </c>
      <c r="H66" s="42" t="str">
        <f>IFERROR(__xludf.DUMMYFUNCTION("""COMPUTED_VALUE"""),"Flowchart + Logic")</f>
        <v>Flowchart + Logic</v>
      </c>
      <c r="I66" s="46" t="str">
        <f>IFERROR(__xludf.DUMMYFUNCTION("""COMPUTED_VALUE"""),"https://repl.it/@fajarpng/arkademy-quis-w3#index.js")</f>
        <v>https://repl.it/@fajarpng/arkademy-quis-w3#index.js</v>
      </c>
      <c r="J66" s="42"/>
      <c r="K66" s="46" t="str">
        <f>IFERROR(__xludf.DUMMYFUNCTION("""COMPUTED_VALUE"""),"https://drive.google.com/open?id=1J5ryHIaZ99xptPqaLLA7YYb5UBxaYV7w")</f>
        <v>https://drive.google.com/open?id=1J5ryHIaZ99xptPqaLLA7YYb5UBxaYV7w</v>
      </c>
      <c r="L66" s="42">
        <f>IFERROR(__xludf.DUMMYFUNCTION("""COMPUTED_VALUE"""),2.0)</f>
        <v>2</v>
      </c>
      <c r="M66" s="42"/>
    </row>
    <row r="67">
      <c r="A67" s="43">
        <f>IFERROR(__xludf.DUMMYFUNCTION("""COMPUTED_VALUE"""),44013.5931381713)</f>
        <v>44013.59314</v>
      </c>
      <c r="B67" s="42" t="str">
        <f>IFERROR(__xludf.DUMMYFUNCTION("""COMPUTED_VALUE"""),"Bilkis Ismail")</f>
        <v>Bilkis Ismail</v>
      </c>
      <c r="C67" s="42" t="str">
        <f>IFERROR(__xludf.DUMMYFUNCTION("""COMPUTED_VALUE"""),"Online")</f>
        <v>Online</v>
      </c>
      <c r="D67" s="42" t="str">
        <f>IFERROR(__xludf.DUMMYFUNCTION("""COMPUTED_VALUE"""),"Fullstack Mobile Developer")</f>
        <v>Fullstack Mobile Developer</v>
      </c>
      <c r="E67" s="42">
        <f>IFERROR(__xludf.DUMMYFUNCTION("""COMPUTED_VALUE"""),16.0)</f>
        <v>16</v>
      </c>
      <c r="F67" s="42">
        <f>IFERROR(__xludf.DUMMYFUNCTION("""COMPUTED_VALUE"""),2.0)</f>
        <v>2</v>
      </c>
      <c r="G67" s="42" t="str">
        <f>IFERROR(__xludf.DUMMYFUNCTION("""COMPUTED_VALUE"""),"ARKWH3")</f>
        <v>ARKWH3</v>
      </c>
      <c r="H67" s="42" t="str">
        <f>IFERROR(__xludf.DUMMYFUNCTION("""COMPUTED_VALUE"""),"Flowchart + Logic")</f>
        <v>Flowchart + Logic</v>
      </c>
      <c r="I67" s="46" t="str">
        <f>IFERROR(__xludf.DUMMYFUNCTION("""COMPUTED_VALUE"""),"https://playcode.io/629086/")</f>
        <v>https://playcode.io/629086/</v>
      </c>
      <c r="J67" s="46" t="str">
        <f>IFERROR(__xludf.DUMMYFUNCTION("""COMPUTED_VALUE"""),"https://drive.google.com/file/d/1YJLgijp6pBm_x7mq5pIk5TJqWA8JfSPX/view?usp=sharing")</f>
        <v>https://drive.google.com/file/d/1YJLgijp6pBm_x7mq5pIk5TJqWA8JfSPX/view?usp=sharing</v>
      </c>
      <c r="K67" s="42"/>
      <c r="L67" s="42"/>
      <c r="M67" s="42"/>
    </row>
    <row r="68">
      <c r="A68" s="43">
        <f>IFERROR(__xludf.DUMMYFUNCTION("""COMPUTED_VALUE"""),44013.593951435185)</f>
        <v>44013.59395</v>
      </c>
      <c r="B68" s="42" t="str">
        <f>IFERROR(__xludf.DUMMYFUNCTION("""COMPUTED_VALUE"""),"Ilham Bagas Saputra")</f>
        <v>Ilham Bagas Saputra</v>
      </c>
      <c r="C68" s="42" t="str">
        <f>IFERROR(__xludf.DUMMYFUNCTION("""COMPUTED_VALUE"""),"Online")</f>
        <v>Online</v>
      </c>
      <c r="D68" s="42" t="str">
        <f>IFERROR(__xludf.DUMMYFUNCTION("""COMPUTED_VALUE"""),"Fullstack Mobile Developer")</f>
        <v>Fullstack Mobile Developer</v>
      </c>
      <c r="E68" s="42">
        <f>IFERROR(__xludf.DUMMYFUNCTION("""COMPUTED_VALUE"""),16.0)</f>
        <v>16</v>
      </c>
      <c r="F68" s="42">
        <f>IFERROR(__xludf.DUMMYFUNCTION("""COMPUTED_VALUE"""),2.0)</f>
        <v>2</v>
      </c>
      <c r="G68" s="42" t="str">
        <f>IFERROR(__xludf.DUMMYFUNCTION("""COMPUTED_VALUE"""),"ARKWH3")</f>
        <v>ARKWH3</v>
      </c>
      <c r="H68" s="42" t="str">
        <f>IFERROR(__xludf.DUMMYFUNCTION("""COMPUTED_VALUE"""),"Flowchart + Logic")</f>
        <v>Flowchart + Logic</v>
      </c>
      <c r="I68" s="46" t="str">
        <f>IFERROR(__xludf.DUMMYFUNCTION("""COMPUTED_VALUE"""),"https://repl.it/@bgsilham/IlhamBagasSaputra-QuizWeek3")</f>
        <v>https://repl.it/@bgsilham/IlhamBagasSaputra-QuizWeek3</v>
      </c>
      <c r="J68" s="46" t="str">
        <f>IFERROR(__xludf.DUMMYFUNCTION("""COMPUTED_VALUE"""),"https://drive.google.com/file/d/1_kF4pPymmTbLaMDmMX-UYbuktUoRCpDN/view?usp=sharing")</f>
        <v>https://drive.google.com/file/d/1_kF4pPymmTbLaMDmMX-UYbuktUoRCpDN/view?usp=sharing</v>
      </c>
      <c r="K68" s="42"/>
      <c r="L68" s="42">
        <f>IFERROR(__xludf.DUMMYFUNCTION("""COMPUTED_VALUE"""),2.0)</f>
        <v>2</v>
      </c>
      <c r="M68" s="42"/>
    </row>
    <row r="69">
      <c r="A69" s="43">
        <f>IFERROR(__xludf.DUMMYFUNCTION("""COMPUTED_VALUE"""),44013.59673534722)</f>
        <v>44013.59674</v>
      </c>
      <c r="B69" s="42" t="str">
        <f>IFERROR(__xludf.DUMMYFUNCTION("""COMPUTED_VALUE"""),"BILKIS ISMAIL")</f>
        <v>BILKIS ISMAIL</v>
      </c>
      <c r="C69" s="42" t="str">
        <f>IFERROR(__xludf.DUMMYFUNCTION("""COMPUTED_VALUE"""),"Online")</f>
        <v>Online</v>
      </c>
      <c r="D69" s="42" t="str">
        <f>IFERROR(__xludf.DUMMYFUNCTION("""COMPUTED_VALUE"""),"Fullstack Mobile Developer")</f>
        <v>Fullstack Mobile Developer</v>
      </c>
      <c r="E69" s="42">
        <f>IFERROR(__xludf.DUMMYFUNCTION("""COMPUTED_VALUE"""),16.0)</f>
        <v>16</v>
      </c>
      <c r="F69" s="42">
        <f>IFERROR(__xludf.DUMMYFUNCTION("""COMPUTED_VALUE"""),2.0)</f>
        <v>2</v>
      </c>
      <c r="G69" s="42" t="str">
        <f>IFERROR(__xludf.DUMMYFUNCTION("""COMPUTED_VALUE"""),"ARKWH3")</f>
        <v>ARKWH3</v>
      </c>
      <c r="H69" s="42" t="str">
        <f>IFERROR(__xludf.DUMMYFUNCTION("""COMPUTED_VALUE"""),"Flowchart + Logic")</f>
        <v>Flowchart + Logic</v>
      </c>
      <c r="I69" s="46" t="str">
        <f>IFERROR(__xludf.DUMMYFUNCTION("""COMPUTED_VALUE"""),"https://playcode.io/629086/")</f>
        <v>https://playcode.io/629086/</v>
      </c>
      <c r="J69" s="46" t="str">
        <f>IFERROR(__xludf.DUMMYFUNCTION("""COMPUTED_VALUE"""),"https://drive.google.com/file/d/1YJLgijp6pBm_x7mq5pIk5TJqWA8JfSPX/view?usp=sharing")</f>
        <v>https://drive.google.com/file/d/1YJLgijp6pBm_x7mq5pIk5TJqWA8JfSPX/view?usp=sharing</v>
      </c>
      <c r="K69" s="42"/>
      <c r="L69" s="42">
        <f>IFERROR(__xludf.DUMMYFUNCTION("""COMPUTED_VALUE"""),2.0)</f>
        <v>2</v>
      </c>
      <c r="M69" s="42"/>
    </row>
    <row r="70">
      <c r="A70" s="43">
        <f>IFERROR(__xludf.DUMMYFUNCTION("""COMPUTED_VALUE"""),44013.60157667824)</f>
        <v>44013.60158</v>
      </c>
      <c r="B70" s="42" t="str">
        <f>IFERROR(__xludf.DUMMYFUNCTION("""COMPUTED_VALUE"""),"Prio Arief Gunawan")</f>
        <v>Prio Arief Gunawan</v>
      </c>
      <c r="C70" s="42" t="str">
        <f>IFERROR(__xludf.DUMMYFUNCTION("""COMPUTED_VALUE"""),"Online")</f>
        <v>Online</v>
      </c>
      <c r="D70" s="42" t="str">
        <f>IFERROR(__xludf.DUMMYFUNCTION("""COMPUTED_VALUE"""),"Fullstack Mobile Developer")</f>
        <v>Fullstack Mobile Developer</v>
      </c>
      <c r="E70" s="42">
        <f>IFERROR(__xludf.DUMMYFUNCTION("""COMPUTED_VALUE"""),16.0)</f>
        <v>16</v>
      </c>
      <c r="F70" s="42">
        <f>IFERROR(__xludf.DUMMYFUNCTION("""COMPUTED_VALUE"""),3.0)</f>
        <v>3</v>
      </c>
      <c r="G70" s="42" t="str">
        <f>IFERROR(__xludf.DUMMYFUNCTION("""COMPUTED_VALUE"""),"ARKWH3")</f>
        <v>ARKWH3</v>
      </c>
      <c r="H70" s="42" t="str">
        <f>IFERROR(__xludf.DUMMYFUNCTION("""COMPUTED_VALUE"""),"Flowchart + Logic")</f>
        <v>Flowchart + Logic</v>
      </c>
      <c r="I70" s="46" t="str">
        <f>IFERROR(__xludf.DUMMYFUNCTION("""COMPUTED_VALUE"""),"https://repl.it/@prioarief/arkwh3")</f>
        <v>https://repl.it/@prioarief/arkwh3</v>
      </c>
      <c r="J70" s="46" t="str">
        <f>IFERROR(__xludf.DUMMYFUNCTION("""COMPUTED_VALUE"""),"https://drive.google.com/file/d/1_R8KMGajgrJ-mnXer8Caq5XBEaP6QXGc/view?usp=sharing")</f>
        <v>https://drive.google.com/file/d/1_R8KMGajgrJ-mnXer8Caq5XBEaP6QXGc/view?usp=sharing</v>
      </c>
      <c r="K70" s="42"/>
      <c r="L70" s="42"/>
      <c r="M70" s="42"/>
    </row>
    <row r="71">
      <c r="A71" s="43">
        <f>IFERROR(__xludf.DUMMYFUNCTION("""COMPUTED_VALUE"""),44013.60317032407)</f>
        <v>44013.60317</v>
      </c>
      <c r="B71" s="42" t="str">
        <f>IFERROR(__xludf.DUMMYFUNCTION("""COMPUTED_VALUE"""),"Daniel Saputra")</f>
        <v>Daniel Saputra</v>
      </c>
      <c r="C71" s="42" t="str">
        <f>IFERROR(__xludf.DUMMYFUNCTION("""COMPUTED_VALUE"""),"Online")</f>
        <v>Online</v>
      </c>
      <c r="D71" s="42" t="str">
        <f>IFERROR(__xludf.DUMMYFUNCTION("""COMPUTED_VALUE"""),"Fullstack Mobile Developer")</f>
        <v>Fullstack Mobile Developer</v>
      </c>
      <c r="E71" s="42">
        <f>IFERROR(__xludf.DUMMYFUNCTION("""COMPUTED_VALUE"""),16.0)</f>
        <v>16</v>
      </c>
      <c r="F71" s="42">
        <f>IFERROR(__xludf.DUMMYFUNCTION("""COMPUTED_VALUE"""),3.0)</f>
        <v>3</v>
      </c>
      <c r="G71" s="42" t="str">
        <f>IFERROR(__xludf.DUMMYFUNCTION("""COMPUTED_VALUE"""),"ARKWH3")</f>
        <v>ARKWH3</v>
      </c>
      <c r="H71" s="42" t="str">
        <f>IFERROR(__xludf.DUMMYFUNCTION("""COMPUTED_VALUE"""),"Flowchart + Logic")</f>
        <v>Flowchart + Logic</v>
      </c>
      <c r="I71" s="46" t="str">
        <f>IFERROR(__xludf.DUMMYFUNCTION("""COMPUTED_VALUE"""),"https://repl.it/@danielwetan/Weekly-Task-3-Arkademy#index.js")</f>
        <v>https://repl.it/@danielwetan/Weekly-Task-3-Arkademy#index.js</v>
      </c>
      <c r="J71" s="46" t="str">
        <f>IFERROR(__xludf.DUMMYFUNCTION("""COMPUTED_VALUE"""),"https://drive.google.com/file/d/1CQAyfQv4lKxgjuRpS7phFAJWPdVmnmg-/view?usp=sharing")</f>
        <v>https://drive.google.com/file/d/1CQAyfQv4lKxgjuRpS7phFAJWPdVmnmg-/view?usp=sharing</v>
      </c>
      <c r="K71" s="42"/>
      <c r="L71" s="42">
        <f>IFERROR(__xludf.DUMMYFUNCTION("""COMPUTED_VALUE"""),2.0)</f>
        <v>2</v>
      </c>
      <c r="M71" s="42"/>
    </row>
    <row r="72">
      <c r="A72" s="43">
        <f>IFERROR(__xludf.DUMMYFUNCTION("""COMPUTED_VALUE"""),44013.60479196759)</f>
        <v>44013.60479</v>
      </c>
      <c r="B72" s="42" t="str">
        <f>IFERROR(__xludf.DUMMYFUNCTION("""COMPUTED_VALUE"""),"Dimas Wahyu Juhair Mokodompit")</f>
        <v>Dimas Wahyu Juhair Mokodompit</v>
      </c>
      <c r="C72" s="42" t="str">
        <f>IFERROR(__xludf.DUMMYFUNCTION("""COMPUTED_VALUE"""),"Online")</f>
        <v>Online</v>
      </c>
      <c r="D72" s="42" t="str">
        <f>IFERROR(__xludf.DUMMYFUNCTION("""COMPUTED_VALUE"""),"Fullstack Mobile Developer")</f>
        <v>Fullstack Mobile Developer</v>
      </c>
      <c r="E72" s="42">
        <f>IFERROR(__xludf.DUMMYFUNCTION("""COMPUTED_VALUE"""),16.0)</f>
        <v>16</v>
      </c>
      <c r="F72" s="42">
        <f>IFERROR(__xludf.DUMMYFUNCTION("""COMPUTED_VALUE"""),3.0)</f>
        <v>3</v>
      </c>
      <c r="G72" s="42" t="str">
        <f>IFERROR(__xludf.DUMMYFUNCTION("""COMPUTED_VALUE"""),"ARKWH3")</f>
        <v>ARKWH3</v>
      </c>
      <c r="H72" s="42" t="str">
        <f>IFERROR(__xludf.DUMMYFUNCTION("""COMPUTED_VALUE"""),"Flowchart + Logic")</f>
        <v>Flowchart + Logic</v>
      </c>
      <c r="I72" s="46" t="str">
        <f>IFERROR(__xludf.DUMMYFUNCTION("""COMPUTED_VALUE"""),"https://repl.it/@DimasMokodompit/Weekly-Quiz-Week-3#index.js")</f>
        <v>https://repl.it/@DimasMokodompit/Weekly-Quiz-Week-3#index.js</v>
      </c>
      <c r="J72" s="46" t="str">
        <f>IFERROR(__xludf.DUMMYFUNCTION("""COMPUTED_VALUE"""),"https://drive.google.com/file/d/1WBPG_zX22OjDj6UFefDDRHXgUsYf0o-j/view?usp=sharing")</f>
        <v>https://drive.google.com/file/d/1WBPG_zX22OjDj6UFefDDRHXgUsYf0o-j/view?usp=sharing</v>
      </c>
      <c r="K72" s="42"/>
      <c r="L72" s="42">
        <f>IFERROR(__xludf.DUMMYFUNCTION("""COMPUTED_VALUE"""),2.0)</f>
        <v>2</v>
      </c>
      <c r="M72" s="42"/>
    </row>
    <row r="73">
      <c r="A73" s="43">
        <f>IFERROR(__xludf.DUMMYFUNCTION("""COMPUTED_VALUE"""),44013.60487871528)</f>
        <v>44013.60488</v>
      </c>
      <c r="B73" s="42" t="str">
        <f>IFERROR(__xludf.DUMMYFUNCTION("""COMPUTED_VALUE"""),"Alifkhi Miftahul Janah")</f>
        <v>Alifkhi Miftahul Janah</v>
      </c>
      <c r="C73" s="42" t="str">
        <f>IFERROR(__xludf.DUMMYFUNCTION("""COMPUTED_VALUE"""),"Online")</f>
        <v>Online</v>
      </c>
      <c r="D73" s="42" t="str">
        <f>IFERROR(__xludf.DUMMYFUNCTION("""COMPUTED_VALUE"""),"Fullstack Mobile Developer")</f>
        <v>Fullstack Mobile Developer</v>
      </c>
      <c r="E73" s="42">
        <f>IFERROR(__xludf.DUMMYFUNCTION("""COMPUTED_VALUE"""),16.0)</f>
        <v>16</v>
      </c>
      <c r="F73" s="42">
        <f>IFERROR(__xludf.DUMMYFUNCTION("""COMPUTED_VALUE"""),3.0)</f>
        <v>3</v>
      </c>
      <c r="G73" s="42" t="str">
        <f>IFERROR(__xludf.DUMMYFUNCTION("""COMPUTED_VALUE"""),"ARKWH3")</f>
        <v>ARKWH3</v>
      </c>
      <c r="H73" s="42" t="str">
        <f>IFERROR(__xludf.DUMMYFUNCTION("""COMPUTED_VALUE"""),"Flowchart + Logic")</f>
        <v>Flowchart + Logic</v>
      </c>
      <c r="I73" s="46" t="str">
        <f>IFERROR(__xludf.DUMMYFUNCTION("""COMPUTED_VALUE"""),"https://repl.it/@ALIFKI/Weekly-Quiz-3#index.js")</f>
        <v>https://repl.it/@ALIFKI/Weekly-Quiz-3#index.js</v>
      </c>
      <c r="J73" s="46" t="str">
        <f>IFERROR(__xludf.DUMMYFUNCTION("""COMPUTED_VALUE"""),"https://drive.google.com/file/d/1_8BAEYfDBzHXr1c_4gLjBKc0O2e6094R/view?usp=sharing")</f>
        <v>https://drive.google.com/file/d/1_8BAEYfDBzHXr1c_4gLjBKc0O2e6094R/view?usp=sharing</v>
      </c>
      <c r="K73" s="42"/>
      <c r="L73" s="42">
        <f>IFERROR(__xludf.DUMMYFUNCTION("""COMPUTED_VALUE"""),2.0)</f>
        <v>2</v>
      </c>
      <c r="M73" s="42"/>
    </row>
    <row r="74">
      <c r="A74" s="43">
        <f>IFERROR(__xludf.DUMMYFUNCTION("""COMPUTED_VALUE"""),44013.604936041665)</f>
        <v>44013.60494</v>
      </c>
      <c r="B74" s="42" t="str">
        <f>IFERROR(__xludf.DUMMYFUNCTION("""COMPUTED_VALUE"""),"Prio Arief Gunawan")</f>
        <v>Prio Arief Gunawan</v>
      </c>
      <c r="C74" s="42" t="str">
        <f>IFERROR(__xludf.DUMMYFUNCTION("""COMPUTED_VALUE"""),"Online")</f>
        <v>Online</v>
      </c>
      <c r="D74" s="42" t="str">
        <f>IFERROR(__xludf.DUMMYFUNCTION("""COMPUTED_VALUE"""),"Fullstack Mobile Developer")</f>
        <v>Fullstack Mobile Developer</v>
      </c>
      <c r="E74" s="42">
        <f>IFERROR(__xludf.DUMMYFUNCTION("""COMPUTED_VALUE"""),16.0)</f>
        <v>16</v>
      </c>
      <c r="F74" s="42">
        <f>IFERROR(__xludf.DUMMYFUNCTION("""COMPUTED_VALUE"""),3.0)</f>
        <v>3</v>
      </c>
      <c r="G74" s="42" t="str">
        <f>IFERROR(__xludf.DUMMYFUNCTION("""COMPUTED_VALUE"""),"ARKWH3")</f>
        <v>ARKWH3</v>
      </c>
      <c r="H74" s="42" t="str">
        <f>IFERROR(__xludf.DUMMYFUNCTION("""COMPUTED_VALUE"""),"Flowchart + Logic")</f>
        <v>Flowchart + Logic</v>
      </c>
      <c r="I74" s="46" t="str">
        <f>IFERROR(__xludf.DUMMYFUNCTION("""COMPUTED_VALUE"""),"https://repl.it/@prioarief/arkwh3")</f>
        <v>https://repl.it/@prioarief/arkwh3</v>
      </c>
      <c r="J74" s="46" t="str">
        <f>IFERROR(__xludf.DUMMYFUNCTION("""COMPUTED_VALUE"""),"https://drive.google.com/file/d/1hVtwCZxDXRfWB5euiOMGK56cfyTWKq9k/view?usp=sharing")</f>
        <v>https://drive.google.com/file/d/1hVtwCZxDXRfWB5euiOMGK56cfyTWKq9k/view?usp=sharing</v>
      </c>
      <c r="K74" s="42"/>
      <c r="L74" s="42">
        <f>IFERROR(__xludf.DUMMYFUNCTION("""COMPUTED_VALUE"""),2.0)</f>
        <v>2</v>
      </c>
      <c r="M74" s="42"/>
    </row>
    <row r="75">
      <c r="A75" s="43">
        <f>IFERROR(__xludf.DUMMYFUNCTION("""COMPUTED_VALUE"""),44013.608045347224)</f>
        <v>44013.60805</v>
      </c>
      <c r="B75" s="42" t="str">
        <f>IFERROR(__xludf.DUMMYFUNCTION("""COMPUTED_VALUE"""),"sinta herena")</f>
        <v>sinta herena</v>
      </c>
      <c r="C75" s="42" t="str">
        <f>IFERROR(__xludf.DUMMYFUNCTION("""COMPUTED_VALUE"""),"Bogor")</f>
        <v>Bogor</v>
      </c>
      <c r="D75" s="42" t="str">
        <f>IFERROR(__xludf.DUMMYFUNCTION("""COMPUTED_VALUE"""),"Fullstack Mobile Developer")</f>
        <v>Fullstack Mobile Developer</v>
      </c>
      <c r="E75" s="42">
        <f>IFERROR(__xludf.DUMMYFUNCTION("""COMPUTED_VALUE"""),16.0)</f>
        <v>16</v>
      </c>
      <c r="F75" s="42">
        <f>IFERROR(__xludf.DUMMYFUNCTION("""COMPUTED_VALUE"""),3.0)</f>
        <v>3</v>
      </c>
      <c r="G75" s="42" t="str">
        <f>IFERROR(__xludf.DUMMYFUNCTION("""COMPUTED_VALUE"""),"ARKWH3")</f>
        <v>ARKWH3</v>
      </c>
      <c r="H75" s="42" t="str">
        <f>IFERROR(__xludf.DUMMYFUNCTION("""COMPUTED_VALUE"""),"Flowchart + Logic")</f>
        <v>Flowchart + Logic</v>
      </c>
      <c r="I75" s="46" t="str">
        <f>IFERROR(__xludf.DUMMYFUNCTION("""COMPUTED_VALUE"""),"https://repl.it/@herenacreative/PassionateLawfulProcessors#index.js")</f>
        <v>https://repl.it/@herenacreative/PassionateLawfulProcessors#index.js</v>
      </c>
      <c r="J75" s="42"/>
      <c r="K75" s="42"/>
      <c r="L75" s="42">
        <f>IFERROR(__xludf.DUMMYFUNCTION("""COMPUTED_VALUE"""),0.5)</f>
        <v>0.5</v>
      </c>
      <c r="M75" s="42" t="str">
        <f>IFERROR(__xludf.DUMMYFUNCTION("""COMPUTED_VALUE"""),"fungsi kedua gada, flowchart juga gada")</f>
        <v>fungsi kedua gada, flowchart juga gada</v>
      </c>
    </row>
    <row r="76">
      <c r="A76" s="43">
        <f>IFERROR(__xludf.DUMMYFUNCTION("""COMPUTED_VALUE"""),44013.611529421294)</f>
        <v>44013.61153</v>
      </c>
      <c r="B76" s="42" t="str">
        <f>IFERROR(__xludf.DUMMYFUNCTION("""COMPUTED_VALUE"""),"Bani Sholih")</f>
        <v>Bani Sholih</v>
      </c>
      <c r="C76" s="42" t="str">
        <f>IFERROR(__xludf.DUMMYFUNCTION("""COMPUTED_VALUE"""),"Online")</f>
        <v>Online</v>
      </c>
      <c r="D76" s="42" t="str">
        <f>IFERROR(__xludf.DUMMYFUNCTION("""COMPUTED_VALUE"""),"Fullstack Mobile Developer")</f>
        <v>Fullstack Mobile Developer</v>
      </c>
      <c r="E76" s="42">
        <f>IFERROR(__xludf.DUMMYFUNCTION("""COMPUTED_VALUE"""),16.0)</f>
        <v>16</v>
      </c>
      <c r="F76" s="42">
        <f>IFERROR(__xludf.DUMMYFUNCTION("""COMPUTED_VALUE"""),3.0)</f>
        <v>3</v>
      </c>
      <c r="G76" s="42" t="str">
        <f>IFERROR(__xludf.DUMMYFUNCTION("""COMPUTED_VALUE"""),"ARKWH3")</f>
        <v>ARKWH3</v>
      </c>
      <c r="H76" s="42" t="str">
        <f>IFERROR(__xludf.DUMMYFUNCTION("""COMPUTED_VALUE"""),"Flowchart + Logic")</f>
        <v>Flowchart + Logic</v>
      </c>
      <c r="I76" s="46" t="str">
        <f>IFERROR(__xludf.DUMMYFUNCTION("""COMPUTED_VALUE"""),"https://repl.it/@AkhirPekan/WeeklyQuizbani")</f>
        <v>https://repl.it/@AkhirPekan/WeeklyQuizbani</v>
      </c>
      <c r="J76" s="46" t="str">
        <f>IFERROR(__xludf.DUMMYFUNCTION("""COMPUTED_VALUE"""),"https://drive.google.com/file/d/1MTuEt6sxUEYHscLDrmsaaFT9cDcc8p6u/view?usp=sharing")</f>
        <v>https://drive.google.com/file/d/1MTuEt6sxUEYHscLDrmsaaFT9cDcc8p6u/view?usp=sharing</v>
      </c>
      <c r="K76" s="42"/>
      <c r="L76" s="42"/>
      <c r="M76" s="42"/>
    </row>
    <row r="77">
      <c r="A77" s="43">
        <f>IFERROR(__xludf.DUMMYFUNCTION("""COMPUTED_VALUE"""),44013.61181833333)</f>
        <v>44013.61182</v>
      </c>
      <c r="B77" s="42" t="str">
        <f>IFERROR(__xludf.DUMMYFUNCTION("""COMPUTED_VALUE"""),"Rina Lia Aryati")</f>
        <v>Rina Lia Aryati</v>
      </c>
      <c r="C77" s="42" t="str">
        <f>IFERROR(__xludf.DUMMYFUNCTION("""COMPUTED_VALUE"""),"Online")</f>
        <v>Online</v>
      </c>
      <c r="D77" s="42" t="str">
        <f>IFERROR(__xludf.DUMMYFUNCTION("""COMPUTED_VALUE"""),"Fullstack Mobile Developer")</f>
        <v>Fullstack Mobile Developer</v>
      </c>
      <c r="E77" s="42">
        <f>IFERROR(__xludf.DUMMYFUNCTION("""COMPUTED_VALUE"""),16.0)</f>
        <v>16</v>
      </c>
      <c r="F77" s="42">
        <f>IFERROR(__xludf.DUMMYFUNCTION("""COMPUTED_VALUE"""),2.0)</f>
        <v>2</v>
      </c>
      <c r="G77" s="42" t="str">
        <f>IFERROR(__xludf.DUMMYFUNCTION("""COMPUTED_VALUE"""),"ARKWH3")</f>
        <v>ARKWH3</v>
      </c>
      <c r="H77" s="42" t="str">
        <f>IFERROR(__xludf.DUMMYFUNCTION("""COMPUTED_VALUE"""),"Flowchart + Logic")</f>
        <v>Flowchart + Logic</v>
      </c>
      <c r="I77" s="46" t="str">
        <f>IFERROR(__xludf.DUMMYFUNCTION("""COMPUTED_VALUE"""),"https://repl.it/@RinaLia/Quiz3#index.js")</f>
        <v>https://repl.it/@RinaLia/Quiz3#index.js</v>
      </c>
      <c r="J77" s="42"/>
      <c r="K77" s="42"/>
      <c r="L77" s="42">
        <f>IFERROR(__xludf.DUMMYFUNCTION("""COMPUTED_VALUE"""),0.0)</f>
        <v>0</v>
      </c>
      <c r="M77" s="42"/>
    </row>
    <row r="78">
      <c r="A78" s="43">
        <f>IFERROR(__xludf.DUMMYFUNCTION("""COMPUTED_VALUE"""),44013.6118325)</f>
        <v>44013.61183</v>
      </c>
      <c r="B78" s="42" t="str">
        <f>IFERROR(__xludf.DUMMYFUNCTION("""COMPUTED_VALUE"""),"Luthfi Widya Ekakusuma")</f>
        <v>Luthfi Widya Ekakusuma</v>
      </c>
      <c r="C78" s="42" t="str">
        <f>IFERROR(__xludf.DUMMYFUNCTION("""COMPUTED_VALUE"""),"Online")</f>
        <v>Online</v>
      </c>
      <c r="D78" s="42" t="str">
        <f>IFERROR(__xludf.DUMMYFUNCTION("""COMPUTED_VALUE"""),"Fullstack Mobile Developer")</f>
        <v>Fullstack Mobile Developer</v>
      </c>
      <c r="E78" s="42">
        <f>IFERROR(__xludf.DUMMYFUNCTION("""COMPUTED_VALUE"""),16.0)</f>
        <v>16</v>
      </c>
      <c r="F78" s="42">
        <f>IFERROR(__xludf.DUMMYFUNCTION("""COMPUTED_VALUE"""),2.0)</f>
        <v>2</v>
      </c>
      <c r="G78" s="42" t="str">
        <f>IFERROR(__xludf.DUMMYFUNCTION("""COMPUTED_VALUE"""),"ARKWH3")</f>
        <v>ARKWH3</v>
      </c>
      <c r="H78" s="42" t="str">
        <f>IFERROR(__xludf.DUMMYFUNCTION("""COMPUTED_VALUE"""),"Flowchart + Logic")</f>
        <v>Flowchart + Logic</v>
      </c>
      <c r="I78" s="46" t="str">
        <f>IFERROR(__xludf.DUMMYFUNCTION("""COMPUTED_VALUE"""),"https://repl.it/@luthfiwidya/WeeklyQuiz3#index.js")</f>
        <v>https://repl.it/@luthfiwidya/WeeklyQuiz3#index.js</v>
      </c>
      <c r="J78" s="46" t="str">
        <f>IFERROR(__xludf.DUMMYFUNCTION("""COMPUTED_VALUE"""),"https://drive.google.com/file/d/1aibCtth-rRMyipwGVvjZyXhpmQNzwvJc/view?usp=sharing")</f>
        <v>https://drive.google.com/file/d/1aibCtth-rRMyipwGVvjZyXhpmQNzwvJc/view?usp=sharing</v>
      </c>
      <c r="K78" s="42"/>
      <c r="L78" s="42">
        <f>IFERROR(__xludf.DUMMYFUNCTION("""COMPUTED_VALUE"""),0.0)</f>
        <v>0</v>
      </c>
      <c r="M78" s="42"/>
    </row>
    <row r="79">
      <c r="A79" s="43">
        <f>IFERROR(__xludf.DUMMYFUNCTION("""COMPUTED_VALUE"""),44013.613794652774)</f>
        <v>44013.61379</v>
      </c>
      <c r="B79" s="42" t="str">
        <f>IFERROR(__xludf.DUMMYFUNCTION("""COMPUTED_VALUE"""),"Faris Ramadhan")</f>
        <v>Faris Ramadhan</v>
      </c>
      <c r="C79" s="42" t="str">
        <f>IFERROR(__xludf.DUMMYFUNCTION("""COMPUTED_VALUE"""),"Online")</f>
        <v>Online</v>
      </c>
      <c r="D79" s="42" t="str">
        <f>IFERROR(__xludf.DUMMYFUNCTION("""COMPUTED_VALUE"""),"Fullstack Mobile Developer")</f>
        <v>Fullstack Mobile Developer</v>
      </c>
      <c r="E79" s="42">
        <f>IFERROR(__xludf.DUMMYFUNCTION("""COMPUTED_VALUE"""),16.0)</f>
        <v>16</v>
      </c>
      <c r="F79" s="42">
        <f>IFERROR(__xludf.DUMMYFUNCTION("""COMPUTED_VALUE"""),3.0)</f>
        <v>3</v>
      </c>
      <c r="G79" s="42" t="str">
        <f>IFERROR(__xludf.DUMMYFUNCTION("""COMPUTED_VALUE"""),"ARKWH3")</f>
        <v>ARKWH3</v>
      </c>
      <c r="H79" s="42" t="str">
        <f>IFERROR(__xludf.DUMMYFUNCTION("""COMPUTED_VALUE"""),"Flowchart + Logic")</f>
        <v>Flowchart + Logic</v>
      </c>
      <c r="I79" s="46" t="str">
        <f>IFERROR(__xludf.DUMMYFUNCTION("""COMPUTED_VALUE"""),"https://repl.it/@knocknockguessw/Weekly-Quiz-Week-3#index.js")</f>
        <v>https://repl.it/@knocknockguessw/Weekly-Quiz-Week-3#index.js</v>
      </c>
      <c r="J79" s="46" t="str">
        <f>IFERROR(__xludf.DUMMYFUNCTION("""COMPUTED_VALUE"""),"https://drive.google.com/file/d/1wC8p4A0w9UCZNoikugSdrPHW9GEg7TU2/view?usp=sharing")</f>
        <v>https://drive.google.com/file/d/1wC8p4A0w9UCZNoikugSdrPHW9GEg7TU2/view?usp=sharing</v>
      </c>
      <c r="K79" s="42"/>
      <c r="L79" s="42">
        <f>IFERROR(__xludf.DUMMYFUNCTION("""COMPUTED_VALUE"""),1.5)</f>
        <v>1.5</v>
      </c>
      <c r="M79" s="42" t="str">
        <f>IFERROR(__xludf.DUMMYFUNCTION("""COMPUTED_VALUE"""),"flowchart kurang tepat")</f>
        <v>flowchart kurang tepat</v>
      </c>
    </row>
    <row r="80">
      <c r="A80" s="43">
        <f>IFERROR(__xludf.DUMMYFUNCTION("""COMPUTED_VALUE"""),44013.614330173616)</f>
        <v>44013.61433</v>
      </c>
      <c r="B80" s="42" t="str">
        <f>IFERROR(__xludf.DUMMYFUNCTION("""COMPUTED_VALUE"""),"Muhammad Rizky Ramadhan")</f>
        <v>Muhammad Rizky Ramadhan</v>
      </c>
      <c r="C80" s="42" t="str">
        <f>IFERROR(__xludf.DUMMYFUNCTION("""COMPUTED_VALUE"""),"Online")</f>
        <v>Online</v>
      </c>
      <c r="D80" s="42" t="str">
        <f>IFERROR(__xludf.DUMMYFUNCTION("""COMPUTED_VALUE"""),"Fullstack Mobile Developer")</f>
        <v>Fullstack Mobile Developer</v>
      </c>
      <c r="E80" s="42">
        <f>IFERROR(__xludf.DUMMYFUNCTION("""COMPUTED_VALUE"""),16.0)</f>
        <v>16</v>
      </c>
      <c r="F80" s="42">
        <f>IFERROR(__xludf.DUMMYFUNCTION("""COMPUTED_VALUE"""),3.0)</f>
        <v>3</v>
      </c>
      <c r="G80" s="42" t="str">
        <f>IFERROR(__xludf.DUMMYFUNCTION("""COMPUTED_VALUE"""),"ARKWH3")</f>
        <v>ARKWH3</v>
      </c>
      <c r="H80" s="42" t="str">
        <f>IFERROR(__xludf.DUMMYFUNCTION("""COMPUTED_VALUE"""),"Flowchart + Logic")</f>
        <v>Flowchart + Logic</v>
      </c>
      <c r="I80" s="46" t="str">
        <f>IFERROR(__xludf.DUMMYFUNCTION("""COMPUTED_VALUE"""),"https://playcode.io/629060/")</f>
        <v>https://playcode.io/629060/</v>
      </c>
      <c r="J80" s="42"/>
      <c r="K80" s="42"/>
      <c r="L80" s="42">
        <f>IFERROR(__xludf.DUMMYFUNCTION("""COMPUTED_VALUE"""),1.0)</f>
        <v>1</v>
      </c>
      <c r="M80" s="42" t="str">
        <f>IFERROR(__xludf.DUMMYFUNCTION("""COMPUTED_VALUE"""),"flowchart kosong")</f>
        <v>flowchart kosong</v>
      </c>
    </row>
    <row r="81">
      <c r="A81" s="43">
        <f>IFERROR(__xludf.DUMMYFUNCTION("""COMPUTED_VALUE"""),44027.57146738426)</f>
        <v>44027.57147</v>
      </c>
      <c r="B81" s="42" t="str">
        <f>IFERROR(__xludf.DUMMYFUNCTION("""COMPUTED_VALUE"""),"Dezza Rizqi")</f>
        <v>Dezza Rizqi</v>
      </c>
      <c r="C81" s="42" t="str">
        <f>IFERROR(__xludf.DUMMYFUNCTION("""COMPUTED_VALUE"""),"Online")</f>
        <v>Online</v>
      </c>
      <c r="D81" s="42" t="str">
        <f>IFERROR(__xludf.DUMMYFUNCTION("""COMPUTED_VALUE"""),"Fullstack Mobile Developer")</f>
        <v>Fullstack Mobile Developer</v>
      </c>
      <c r="E81" s="42">
        <f>IFERROR(__xludf.DUMMYFUNCTION("""COMPUTED_VALUE"""),16.0)</f>
        <v>16</v>
      </c>
      <c r="F81" s="42">
        <f>IFERROR(__xludf.DUMMYFUNCTION("""COMPUTED_VALUE"""),2.0)</f>
        <v>2</v>
      </c>
      <c r="G81" s="42" t="str">
        <f>IFERROR(__xludf.DUMMYFUNCTION("""COMPUTED_VALUE"""),"ARKWH4")</f>
        <v>ARKWH4</v>
      </c>
      <c r="H81" s="42" t="str">
        <f>IFERROR(__xludf.DUMMYFUNCTION("""COMPUTED_VALUE"""),"Flowchart + Logic")</f>
        <v>Flowchart + Logic</v>
      </c>
      <c r="I81" s="46" t="str">
        <f>IFERROR(__xludf.DUMMYFUNCTION("""COMPUTED_VALUE"""),"https://repl.it/@ParkD/Week-4")</f>
        <v>https://repl.it/@ParkD/Week-4</v>
      </c>
      <c r="J81" s="46" t="str">
        <f>IFERROR(__xludf.DUMMYFUNCTION("""COMPUTED_VALUE"""),"https://drive.google.com/file/d/1vqlcHxAWGDvwZQ4egrglZ8_YC3S5TgXy/view?usp=sharing")</f>
        <v>https://drive.google.com/file/d/1vqlcHxAWGDvwZQ4egrglZ8_YC3S5TgXy/view?usp=sharing</v>
      </c>
      <c r="K81" s="46" t="str">
        <f>IFERROR(__xludf.DUMMYFUNCTION("""COMPUTED_VALUE"""),"https://drive.google.com/open?id=1t8zW1XY3bnySApfmHpIk9ZmKG4RFmJXr")</f>
        <v>https://drive.google.com/open?id=1t8zW1XY3bnySApfmHpIk9ZmKG4RFmJXr</v>
      </c>
      <c r="L81" s="42">
        <f>IFERROR(__xludf.DUMMYFUNCTION("""COMPUTED_VALUE"""),2.0)</f>
        <v>2</v>
      </c>
      <c r="M81" s="42"/>
    </row>
    <row r="82">
      <c r="A82" s="43">
        <f>IFERROR(__xludf.DUMMYFUNCTION("""COMPUTED_VALUE"""),44027.574767199076)</f>
        <v>44027.57477</v>
      </c>
      <c r="B82" s="42" t="str">
        <f>IFERROR(__xludf.DUMMYFUNCTION("""COMPUTED_VALUE"""),"Muhamad Abiyasa Sastra Wardana")</f>
        <v>Muhamad Abiyasa Sastra Wardana</v>
      </c>
      <c r="C82" s="42" t="str">
        <f>IFERROR(__xludf.DUMMYFUNCTION("""COMPUTED_VALUE"""),"Online")</f>
        <v>Online</v>
      </c>
      <c r="D82" s="42" t="str">
        <f>IFERROR(__xludf.DUMMYFUNCTION("""COMPUTED_VALUE"""),"Fullstack Mobile Developer")</f>
        <v>Fullstack Mobile Developer</v>
      </c>
      <c r="E82" s="42">
        <f>IFERROR(__xludf.DUMMYFUNCTION("""COMPUTED_VALUE"""),16.0)</f>
        <v>16</v>
      </c>
      <c r="F82" s="42">
        <f>IFERROR(__xludf.DUMMYFUNCTION("""COMPUTED_VALUE"""),3.0)</f>
        <v>3</v>
      </c>
      <c r="G82" s="42" t="str">
        <f>IFERROR(__xludf.DUMMYFUNCTION("""COMPUTED_VALUE"""),"ARKWH4")</f>
        <v>ARKWH4</v>
      </c>
      <c r="H82" s="42" t="str">
        <f>IFERROR(__xludf.DUMMYFUNCTION("""COMPUTED_VALUE"""),"Flowchart + Logic")</f>
        <v>Flowchart + Logic</v>
      </c>
      <c r="I82" s="46" t="str">
        <f>IFERROR(__xludf.DUMMYFUNCTION("""COMPUTED_VALUE"""),"https://repl.it/@byasaa/Quiz-Arkademy-Week-4")</f>
        <v>https://repl.it/@byasaa/Quiz-Arkademy-Week-4</v>
      </c>
      <c r="J82" s="46" t="str">
        <f>IFERROR(__xludf.DUMMYFUNCTION("""COMPUTED_VALUE"""),"https://drive.google.com/file/d/1YP09Cq948qLTnXkH6mnqdzljpHsWPGFk/view?usp=sharing")</f>
        <v>https://drive.google.com/file/d/1YP09Cq948qLTnXkH6mnqdzljpHsWPGFk/view?usp=sharing</v>
      </c>
      <c r="K82" s="42"/>
      <c r="L82" s="42">
        <f>IFERROR(__xludf.DUMMYFUNCTION("""COMPUTED_VALUE"""),1.0)</f>
        <v>1</v>
      </c>
      <c r="M82" s="42" t="str">
        <f>IFERROR(__xludf.DUMMYFUNCTION("""COMPUTED_VALUE"""),"flowchart tidak bisa diakses")</f>
        <v>flowchart tidak bisa diakses</v>
      </c>
    </row>
    <row r="83">
      <c r="A83" s="43">
        <f>IFERROR(__xludf.DUMMYFUNCTION("""COMPUTED_VALUE"""),44027.576527488425)</f>
        <v>44027.57653</v>
      </c>
      <c r="B83" s="42" t="str">
        <f>IFERROR(__xludf.DUMMYFUNCTION("""COMPUTED_VALUE"""),"Alifkhi Miftahul Janah")</f>
        <v>Alifkhi Miftahul Janah</v>
      </c>
      <c r="C83" s="42" t="str">
        <f>IFERROR(__xludf.DUMMYFUNCTION("""COMPUTED_VALUE"""),"Online")</f>
        <v>Online</v>
      </c>
      <c r="D83" s="42" t="str">
        <f>IFERROR(__xludf.DUMMYFUNCTION("""COMPUTED_VALUE"""),"Fullstack Mobile Developer")</f>
        <v>Fullstack Mobile Developer</v>
      </c>
      <c r="E83" s="42">
        <f>IFERROR(__xludf.DUMMYFUNCTION("""COMPUTED_VALUE"""),16.0)</f>
        <v>16</v>
      </c>
      <c r="F83" s="42">
        <f>IFERROR(__xludf.DUMMYFUNCTION("""COMPUTED_VALUE"""),3.0)</f>
        <v>3</v>
      </c>
      <c r="G83" s="42" t="str">
        <f>IFERROR(__xludf.DUMMYFUNCTION("""COMPUTED_VALUE"""),"ARKWH4")</f>
        <v>ARKWH4</v>
      </c>
      <c r="H83" s="42" t="str">
        <f>IFERROR(__xludf.DUMMYFUNCTION("""COMPUTED_VALUE"""),"Flowchart + Logic")</f>
        <v>Flowchart + Logic</v>
      </c>
      <c r="I83" s="46" t="str">
        <f>IFERROR(__xludf.DUMMYFUNCTION("""COMPUTED_VALUE"""),"https://repl.it/@ALIFKI/WeeklyQuizz4#index.js")</f>
        <v>https://repl.it/@ALIFKI/WeeklyQuizz4#index.js</v>
      </c>
      <c r="J83" s="46" t="str">
        <f>IFERROR(__xludf.DUMMYFUNCTION("""COMPUTED_VALUE"""),"https://app.diagrams.net/#G1Ga9H554bnKNfHkrGisfvfIvLkiR71pWe")</f>
        <v>https://app.diagrams.net/#G1Ga9H554bnKNfHkrGisfvfIvLkiR71pWe</v>
      </c>
      <c r="K83" s="42"/>
      <c r="L83" s="42"/>
      <c r="M83" s="42"/>
    </row>
    <row r="84">
      <c r="A84" s="43">
        <f>IFERROR(__xludf.DUMMYFUNCTION("""COMPUTED_VALUE"""),44027.57926103009)</f>
        <v>44027.57926</v>
      </c>
      <c r="B84" s="42" t="str">
        <f>IFERROR(__xludf.DUMMYFUNCTION("""COMPUTED_VALUE"""),"Alifkhi Miftahul Janah")</f>
        <v>Alifkhi Miftahul Janah</v>
      </c>
      <c r="C84" s="42" t="str">
        <f>IFERROR(__xludf.DUMMYFUNCTION("""COMPUTED_VALUE"""),"Online")</f>
        <v>Online</v>
      </c>
      <c r="D84" s="42" t="str">
        <f>IFERROR(__xludf.DUMMYFUNCTION("""COMPUTED_VALUE"""),"Fullstack Mobile Developer")</f>
        <v>Fullstack Mobile Developer</v>
      </c>
      <c r="E84" s="42">
        <f>IFERROR(__xludf.DUMMYFUNCTION("""COMPUTED_VALUE"""),16.0)</f>
        <v>16</v>
      </c>
      <c r="F84" s="42">
        <f>IFERROR(__xludf.DUMMYFUNCTION("""COMPUTED_VALUE"""),3.0)</f>
        <v>3</v>
      </c>
      <c r="G84" s="42" t="str">
        <f>IFERROR(__xludf.DUMMYFUNCTION("""COMPUTED_VALUE"""),"ARKWH4")</f>
        <v>ARKWH4</v>
      </c>
      <c r="H84" s="42" t="str">
        <f>IFERROR(__xludf.DUMMYFUNCTION("""COMPUTED_VALUE"""),"Flowchart + Logic")</f>
        <v>Flowchart + Logic</v>
      </c>
      <c r="I84" s="46" t="str">
        <f>IFERROR(__xludf.DUMMYFUNCTION("""COMPUTED_VALUE"""),"https://repl.it/@ALIFKI/WeeklyQuizz4#index.js")</f>
        <v>https://repl.it/@ALIFKI/WeeklyQuizz4#index.js</v>
      </c>
      <c r="J84" s="46" t="str">
        <f>IFERROR(__xludf.DUMMYFUNCTION("""COMPUTED_VALUE"""),"https://drive.google.com/file/d/1Ga9H554bnKNfHkrGisfvfIvLkiR71pWe/view?usp=sharing")</f>
        <v>https://drive.google.com/file/d/1Ga9H554bnKNfHkrGisfvfIvLkiR71pWe/view?usp=sharing</v>
      </c>
      <c r="K84" s="42"/>
      <c r="L84" s="42">
        <f>IFERROR(__xludf.DUMMYFUNCTION("""COMPUTED_VALUE"""),1.0)</f>
        <v>1</v>
      </c>
      <c r="M84" s="42" t="str">
        <f>IFERROR(__xludf.DUMMYFUNCTION("""COMPUTED_VALUE"""),"flowchart tidak bisa diakses")</f>
        <v>flowchart tidak bisa diakses</v>
      </c>
    </row>
    <row r="85">
      <c r="A85" s="43">
        <f>IFERROR(__xludf.DUMMYFUNCTION("""COMPUTED_VALUE"""),44027.58261696759)</f>
        <v>44027.58262</v>
      </c>
      <c r="B85" s="42" t="str">
        <f>IFERROR(__xludf.DUMMYFUNCTION("""COMPUTED_VALUE"""),"Rina Lia Aryati")</f>
        <v>Rina Lia Aryati</v>
      </c>
      <c r="C85" s="42" t="str">
        <f>IFERROR(__xludf.DUMMYFUNCTION("""COMPUTED_VALUE"""),"Online")</f>
        <v>Online</v>
      </c>
      <c r="D85" s="42" t="str">
        <f>IFERROR(__xludf.DUMMYFUNCTION("""COMPUTED_VALUE"""),"Fullstack Mobile Developer")</f>
        <v>Fullstack Mobile Developer</v>
      </c>
      <c r="E85" s="42">
        <f>IFERROR(__xludf.DUMMYFUNCTION("""COMPUTED_VALUE"""),16.0)</f>
        <v>16</v>
      </c>
      <c r="F85" s="42">
        <f>IFERROR(__xludf.DUMMYFUNCTION("""COMPUTED_VALUE"""),2.0)</f>
        <v>2</v>
      </c>
      <c r="G85" s="42" t="str">
        <f>IFERROR(__xludf.DUMMYFUNCTION("""COMPUTED_VALUE"""),"ARKWH4")</f>
        <v>ARKWH4</v>
      </c>
      <c r="H85" s="42" t="str">
        <f>IFERROR(__xludf.DUMMYFUNCTION("""COMPUTED_VALUE"""),"Flowchart + Logic")</f>
        <v>Flowchart + Logic</v>
      </c>
      <c r="I85" s="46" t="str">
        <f>IFERROR(__xludf.DUMMYFUNCTION("""COMPUTED_VALUE"""),"https://repl.it/@RinaLia/Quiz4#index.js")</f>
        <v>https://repl.it/@RinaLia/Quiz4#index.js</v>
      </c>
      <c r="J85" s="46" t="str">
        <f>IFERROR(__xludf.DUMMYFUNCTION("""COMPUTED_VALUE"""),"https://drive.google.com/file/d/1dx-XJwtlWAyv2va5EORHUSUbxbEudGbq/view?usp=sharing")</f>
        <v>https://drive.google.com/file/d/1dx-XJwtlWAyv2va5EORHUSUbxbEudGbq/view?usp=sharing</v>
      </c>
      <c r="K85" s="42"/>
      <c r="L85" s="42">
        <f>IFERROR(__xludf.DUMMYFUNCTION("""COMPUTED_VALUE"""),0.0)</f>
        <v>0</v>
      </c>
      <c r="M85" s="42"/>
    </row>
    <row r="86">
      <c r="A86" s="43">
        <f>IFERROR(__xludf.DUMMYFUNCTION("""COMPUTED_VALUE"""),44027.58553078704)</f>
        <v>44027.58553</v>
      </c>
      <c r="B86" s="42" t="str">
        <f>IFERROR(__xludf.DUMMYFUNCTION("""COMPUTED_VALUE"""),"M Ismoyo Setyonowdiagdo")</f>
        <v>M Ismoyo Setyonowdiagdo</v>
      </c>
      <c r="C86" s="42" t="str">
        <f>IFERROR(__xludf.DUMMYFUNCTION("""COMPUTED_VALUE"""),"Online")</f>
        <v>Online</v>
      </c>
      <c r="D86" s="42" t="str">
        <f>IFERROR(__xludf.DUMMYFUNCTION("""COMPUTED_VALUE"""),"Fullstack Mobile Developer")</f>
        <v>Fullstack Mobile Developer</v>
      </c>
      <c r="E86" s="42">
        <f>IFERROR(__xludf.DUMMYFUNCTION("""COMPUTED_VALUE"""),16.0)</f>
        <v>16</v>
      </c>
      <c r="F86" s="42">
        <f>IFERROR(__xludf.DUMMYFUNCTION("""COMPUTED_VALUE"""),3.0)</f>
        <v>3</v>
      </c>
      <c r="G86" s="42" t="str">
        <f>IFERROR(__xludf.DUMMYFUNCTION("""COMPUTED_VALUE"""),"ARKWH4")</f>
        <v>ARKWH4</v>
      </c>
      <c r="H86" s="42" t="str">
        <f>IFERROR(__xludf.DUMMYFUNCTION("""COMPUTED_VALUE"""),"Flowchart + Logic")</f>
        <v>Flowchart + Logic</v>
      </c>
      <c r="I86" s="46" t="str">
        <f>IFERROR(__xludf.DUMMYFUNCTION("""COMPUTED_VALUE"""),"https://playcode.io/636029/")</f>
        <v>https://playcode.io/636029/</v>
      </c>
      <c r="J86" s="46" t="str">
        <f>IFERROR(__xludf.DUMMYFUNCTION("""COMPUTED_VALUE"""),"https://drive.google.com/file/d/1ptvvNeeineRw0WwcF5VmL0-TroHfVg_E/view?usp=sharing")</f>
        <v>https://drive.google.com/file/d/1ptvvNeeineRw0WwcF5VmL0-TroHfVg_E/view?usp=sharing</v>
      </c>
      <c r="K86" s="42"/>
      <c r="L86" s="42">
        <f>IFERROR(__xludf.DUMMYFUNCTION("""COMPUTED_VALUE"""),0.5)</f>
        <v>0.5</v>
      </c>
      <c r="M86" s="42" t="str">
        <f>IFERROR(__xludf.DUMMYFUNCTION("""COMPUTED_VALUE"""),"salah memahami soal")</f>
        <v>salah memahami soal</v>
      </c>
    </row>
    <row r="87">
      <c r="A87" s="43">
        <f>IFERROR(__xludf.DUMMYFUNCTION("""COMPUTED_VALUE"""),44027.59012623843)</f>
        <v>44027.59013</v>
      </c>
      <c r="B87" s="42" t="str">
        <f>IFERROR(__xludf.DUMMYFUNCTION("""COMPUTED_VALUE"""),"DWIKY SATRIA HUTOMO")</f>
        <v>DWIKY SATRIA HUTOMO</v>
      </c>
      <c r="C87" s="42" t="str">
        <f>IFERROR(__xludf.DUMMYFUNCTION("""COMPUTED_VALUE"""),"Online")</f>
        <v>Online</v>
      </c>
      <c r="D87" s="42" t="str">
        <f>IFERROR(__xludf.DUMMYFUNCTION("""COMPUTED_VALUE"""),"Fullstack Mobile Developer")</f>
        <v>Fullstack Mobile Developer</v>
      </c>
      <c r="E87" s="42">
        <f>IFERROR(__xludf.DUMMYFUNCTION("""COMPUTED_VALUE"""),16.0)</f>
        <v>16</v>
      </c>
      <c r="F87" s="42">
        <f>IFERROR(__xludf.DUMMYFUNCTION("""COMPUTED_VALUE"""),1.0)</f>
        <v>1</v>
      </c>
      <c r="G87" s="42" t="str">
        <f>IFERROR(__xludf.DUMMYFUNCTION("""COMPUTED_VALUE"""),"ARKWH4")</f>
        <v>ARKWH4</v>
      </c>
      <c r="H87" s="42" t="str">
        <f>IFERROR(__xludf.DUMMYFUNCTION("""COMPUTED_VALUE"""),"Flowchart + Logic")</f>
        <v>Flowchart + Logic</v>
      </c>
      <c r="I87" s="46" t="str">
        <f>IFERROR(__xludf.DUMMYFUNCTION("""COMPUTED_VALUE"""),"https://playcode.io/636023/")</f>
        <v>https://playcode.io/636023/</v>
      </c>
      <c r="J87" s="46" t="str">
        <f>IFERROR(__xludf.DUMMYFUNCTION("""COMPUTED_VALUE"""),"https://drive.google.com/file/d/1repWjAn-2yGRIFrMBy8tm0_CWQ7RGWia/view?usp=sharing")</f>
        <v>https://drive.google.com/file/d/1repWjAn-2yGRIFrMBy8tm0_CWQ7RGWia/view?usp=sharing</v>
      </c>
      <c r="K87" s="42"/>
      <c r="L87" s="42"/>
      <c r="M87" s="42"/>
    </row>
    <row r="88">
      <c r="A88" s="43">
        <f>IFERROR(__xludf.DUMMYFUNCTION("""COMPUTED_VALUE"""),44027.60005245371)</f>
        <v>44027.60005</v>
      </c>
      <c r="B88" s="42" t="str">
        <f>IFERROR(__xludf.DUMMYFUNCTION("""COMPUTED_VALUE"""),"Muhamad Adam")</f>
        <v>Muhamad Adam</v>
      </c>
      <c r="C88" s="42" t="str">
        <f>IFERROR(__xludf.DUMMYFUNCTION("""COMPUTED_VALUE"""),"Online")</f>
        <v>Online</v>
      </c>
      <c r="D88" s="42" t="str">
        <f>IFERROR(__xludf.DUMMYFUNCTION("""COMPUTED_VALUE"""),"Fullstack Mobile Developer")</f>
        <v>Fullstack Mobile Developer</v>
      </c>
      <c r="E88" s="42">
        <f>IFERROR(__xludf.DUMMYFUNCTION("""COMPUTED_VALUE"""),16.0)</f>
        <v>16</v>
      </c>
      <c r="F88" s="42">
        <f>IFERROR(__xludf.DUMMYFUNCTION("""COMPUTED_VALUE"""),2.0)</f>
        <v>2</v>
      </c>
      <c r="G88" s="42" t="str">
        <f>IFERROR(__xludf.DUMMYFUNCTION("""COMPUTED_VALUE"""),"ARKWH4")</f>
        <v>ARKWH4</v>
      </c>
      <c r="H88" s="42" t="str">
        <f>IFERROR(__xludf.DUMMYFUNCTION("""COMPUTED_VALUE"""),"Flowchart + Logic")</f>
        <v>Flowchart + Logic</v>
      </c>
      <c r="I88" s="46" t="str">
        <f>IFERROR(__xludf.DUMMYFUNCTION("""COMPUTED_VALUE"""),"https://repl.it/@MuhamadAdam/menghitung-pasang-sepatu")</f>
        <v>https://repl.it/@MuhamadAdam/menghitung-pasang-sepatu</v>
      </c>
      <c r="J88" s="46" t="str">
        <f>IFERROR(__xludf.DUMMYFUNCTION("""COMPUTED_VALUE"""),"https://drive.google.com/file/d/1ughkleoPXfZ-id08C5VOxsFB7zwAbN6z/view?usp=sharing")</f>
        <v>https://drive.google.com/file/d/1ughkleoPXfZ-id08C5VOxsFB7zwAbN6z/view?usp=sharing</v>
      </c>
      <c r="K88" s="42"/>
      <c r="L88" s="42">
        <f>IFERROR(__xludf.DUMMYFUNCTION("""COMPUTED_VALUE"""),2.0)</f>
        <v>2</v>
      </c>
      <c r="M88" s="42"/>
    </row>
    <row r="89">
      <c r="A89" s="43">
        <f>IFERROR(__xludf.DUMMYFUNCTION("""COMPUTED_VALUE"""),44027.60284247685)</f>
        <v>44027.60284</v>
      </c>
      <c r="B89" s="42" t="str">
        <f>IFERROR(__xludf.DUMMYFUNCTION("""COMPUTED_VALUE"""),"sinta herena")</f>
        <v>sinta herena</v>
      </c>
      <c r="C89" s="42" t="str">
        <f>IFERROR(__xludf.DUMMYFUNCTION("""COMPUTED_VALUE"""),"Online")</f>
        <v>Online</v>
      </c>
      <c r="D89" s="42" t="str">
        <f>IFERROR(__xludf.DUMMYFUNCTION("""COMPUTED_VALUE"""),"Fullstack Mobile Developer")</f>
        <v>Fullstack Mobile Developer</v>
      </c>
      <c r="E89" s="42">
        <f>IFERROR(__xludf.DUMMYFUNCTION("""COMPUTED_VALUE"""),16.0)</f>
        <v>16</v>
      </c>
      <c r="F89" s="42">
        <f>IFERROR(__xludf.DUMMYFUNCTION("""COMPUTED_VALUE"""),3.0)</f>
        <v>3</v>
      </c>
      <c r="G89" s="42" t="str">
        <f>IFERROR(__xludf.DUMMYFUNCTION("""COMPUTED_VALUE"""),"ARKWH4")</f>
        <v>ARKWH4</v>
      </c>
      <c r="H89" s="42" t="str">
        <f>IFERROR(__xludf.DUMMYFUNCTION("""COMPUTED_VALUE"""),"Flowchart + Logic")</f>
        <v>Flowchart + Logic</v>
      </c>
      <c r="I89" s="46" t="str">
        <f>IFERROR(__xludf.DUMMYFUNCTION("""COMPUTED_VALUE"""),"https://repl.it/repls/PlayfulDishonestSearch#index.js")</f>
        <v>https://repl.it/repls/PlayfulDishonestSearch#index.js</v>
      </c>
      <c r="J89" s="42"/>
      <c r="K89" s="42"/>
      <c r="L89" s="42">
        <f>IFERROR(__xludf.DUMMYFUNCTION("""COMPUTED_VALUE"""),0.8)</f>
        <v>0.8</v>
      </c>
      <c r="M89" s="42" t="str">
        <f>IFERROR(__xludf.DUMMYFUNCTION("""COMPUTED_VALUE"""),"fungsinya kurang tepat, flowchart tidak ada")</f>
        <v>fungsinya kurang tepat, flowchart tidak ada</v>
      </c>
    </row>
    <row r="90">
      <c r="A90" s="43">
        <f>IFERROR(__xludf.DUMMYFUNCTION("""COMPUTED_VALUE"""),44027.60311013889)</f>
        <v>44027.60311</v>
      </c>
      <c r="B90" s="42" t="str">
        <f>IFERROR(__xludf.DUMMYFUNCTION("""COMPUTED_VALUE"""),"Ilham Bagas Saputra")</f>
        <v>Ilham Bagas Saputra</v>
      </c>
      <c r="C90" s="42" t="str">
        <f>IFERROR(__xludf.DUMMYFUNCTION("""COMPUTED_VALUE"""),"Online")</f>
        <v>Online</v>
      </c>
      <c r="D90" s="42" t="str">
        <f>IFERROR(__xludf.DUMMYFUNCTION("""COMPUTED_VALUE"""),"Fullstack Mobile Developer")</f>
        <v>Fullstack Mobile Developer</v>
      </c>
      <c r="E90" s="42">
        <f>IFERROR(__xludf.DUMMYFUNCTION("""COMPUTED_VALUE"""),16.0)</f>
        <v>16</v>
      </c>
      <c r="F90" s="42">
        <f>IFERROR(__xludf.DUMMYFUNCTION("""COMPUTED_VALUE"""),2.0)</f>
        <v>2</v>
      </c>
      <c r="G90" s="42" t="str">
        <f>IFERROR(__xludf.DUMMYFUNCTION("""COMPUTED_VALUE"""),"ARKWH4")</f>
        <v>ARKWH4</v>
      </c>
      <c r="H90" s="42" t="str">
        <f>IFERROR(__xludf.DUMMYFUNCTION("""COMPUTED_VALUE"""),"Flowchart + Logic")</f>
        <v>Flowchart + Logic</v>
      </c>
      <c r="I90" s="46" t="str">
        <f>IFERROR(__xludf.DUMMYFUNCTION("""COMPUTED_VALUE"""),"https://repl.it/@bgsilham/QuizWeek4-IlhamBagasSaputra")</f>
        <v>https://repl.it/@bgsilham/QuizWeek4-IlhamBagasSaputra</v>
      </c>
      <c r="J90" s="46" t="str">
        <f>IFERROR(__xludf.DUMMYFUNCTION("""COMPUTED_VALUE"""),"https://drive.google.com/file/d/1PzEMT3aMFJcAgYE8z_IEAB3_sAv0wnuv/view?usp=sharing")</f>
        <v>https://drive.google.com/file/d/1PzEMT3aMFJcAgYE8z_IEAB3_sAv0wnuv/view?usp=sharing</v>
      </c>
      <c r="K90" s="42"/>
      <c r="L90" s="42">
        <f>IFERROR(__xludf.DUMMYFUNCTION("""COMPUTED_VALUE"""),2.0)</f>
        <v>2</v>
      </c>
      <c r="M90" s="42"/>
    </row>
    <row r="91">
      <c r="A91" s="43">
        <f>IFERROR(__xludf.DUMMYFUNCTION("""COMPUTED_VALUE"""),44027.60369916666)</f>
        <v>44027.6037</v>
      </c>
      <c r="B91" s="42" t="str">
        <f>IFERROR(__xludf.DUMMYFUNCTION("""COMPUTED_VALUE"""),"Dicky Julian Pratama")</f>
        <v>Dicky Julian Pratama</v>
      </c>
      <c r="C91" s="42" t="str">
        <f>IFERROR(__xludf.DUMMYFUNCTION("""COMPUTED_VALUE"""),"Online")</f>
        <v>Online</v>
      </c>
      <c r="D91" s="42" t="str">
        <f>IFERROR(__xludf.DUMMYFUNCTION("""COMPUTED_VALUE"""),"Fullstack Mobile Developer")</f>
        <v>Fullstack Mobile Developer</v>
      </c>
      <c r="E91" s="42">
        <f>IFERROR(__xludf.DUMMYFUNCTION("""COMPUTED_VALUE"""),16.0)</f>
        <v>16</v>
      </c>
      <c r="F91" s="42">
        <f>IFERROR(__xludf.DUMMYFUNCTION("""COMPUTED_VALUE"""),3.0)</f>
        <v>3</v>
      </c>
      <c r="G91" s="42" t="str">
        <f>IFERROR(__xludf.DUMMYFUNCTION("""COMPUTED_VALUE"""),"ARKWH4")</f>
        <v>ARKWH4</v>
      </c>
      <c r="H91" s="42" t="str">
        <f>IFERROR(__xludf.DUMMYFUNCTION("""COMPUTED_VALUE"""),"Flowchart + Logic")</f>
        <v>Flowchart + Logic</v>
      </c>
      <c r="I91" s="46" t="str">
        <f>IFERROR(__xludf.DUMMYFUNCTION("""COMPUTED_VALUE"""),"https://repl.it/@dickyjulian/Find-Shoes#index.js")</f>
        <v>https://repl.it/@dickyjulian/Find-Shoes#index.js</v>
      </c>
      <c r="J91" s="46" t="str">
        <f>IFERROR(__xludf.DUMMYFUNCTION("""COMPUTED_VALUE"""),"https://drive.google.com/file/d/1Wflf2s6BtmZdVLlBqy2P_IUL8SfG4zbJ/view?usp=sharing")</f>
        <v>https://drive.google.com/file/d/1Wflf2s6BtmZdVLlBqy2P_IUL8SfG4zbJ/view?usp=sharing</v>
      </c>
      <c r="K91" s="42"/>
      <c r="L91" s="42">
        <f>IFERROR(__xludf.DUMMYFUNCTION("""COMPUTED_VALUE"""),2.0)</f>
        <v>2</v>
      </c>
      <c r="M91" s="42"/>
    </row>
    <row r="92">
      <c r="A92" s="43">
        <f>IFERROR(__xludf.DUMMYFUNCTION("""COMPUTED_VALUE"""),44027.60754693287)</f>
        <v>44027.60755</v>
      </c>
      <c r="B92" s="42" t="str">
        <f>IFERROR(__xludf.DUMMYFUNCTION("""COMPUTED_VALUE"""),"Bani Sholih")</f>
        <v>Bani Sholih</v>
      </c>
      <c r="C92" s="42" t="str">
        <f>IFERROR(__xludf.DUMMYFUNCTION("""COMPUTED_VALUE"""),"Online")</f>
        <v>Online</v>
      </c>
      <c r="D92" s="42" t="str">
        <f>IFERROR(__xludf.DUMMYFUNCTION("""COMPUTED_VALUE"""),"Fullstack Mobile Developer")</f>
        <v>Fullstack Mobile Developer</v>
      </c>
      <c r="E92" s="42">
        <f>IFERROR(__xludf.DUMMYFUNCTION("""COMPUTED_VALUE"""),16.0)</f>
        <v>16</v>
      </c>
      <c r="F92" s="42">
        <f>IFERROR(__xludf.DUMMYFUNCTION("""COMPUTED_VALUE"""),2.0)</f>
        <v>2</v>
      </c>
      <c r="G92" s="42" t="str">
        <f>IFERROR(__xludf.DUMMYFUNCTION("""COMPUTED_VALUE"""),"ARKWH4")</f>
        <v>ARKWH4</v>
      </c>
      <c r="H92" s="42" t="str">
        <f>IFERROR(__xludf.DUMMYFUNCTION("""COMPUTED_VALUE"""),"Flowchart + Logic")</f>
        <v>Flowchart + Logic</v>
      </c>
      <c r="I92" s="46" t="str">
        <f>IFERROR(__xludf.DUMMYFUNCTION("""COMPUTED_VALUE"""),"https://repl.it/@AkhirPekan/QuizWeek4")</f>
        <v>https://repl.it/@AkhirPekan/QuizWeek4</v>
      </c>
      <c r="J92" s="46" t="str">
        <f>IFERROR(__xludf.DUMMYFUNCTION("""COMPUTED_VALUE"""),"https://drive.google.com/file/d/1JNipyYE6MsWkcS-PQmVzQ4j46vQKeFQy/view?usp=sharing")</f>
        <v>https://drive.google.com/file/d/1JNipyYE6MsWkcS-PQmVzQ4j46vQKeFQy/view?usp=sharing</v>
      </c>
      <c r="K92" s="42"/>
      <c r="L92" s="42">
        <f>IFERROR(__xludf.DUMMYFUNCTION("""COMPUTED_VALUE"""),2.0)</f>
        <v>2</v>
      </c>
      <c r="M92" s="42"/>
    </row>
    <row r="93">
      <c r="A93" s="43">
        <f>IFERROR(__xludf.DUMMYFUNCTION("""COMPUTED_VALUE"""),44027.608053310185)</f>
        <v>44027.60805</v>
      </c>
      <c r="B93" s="42" t="str">
        <f>IFERROR(__xludf.DUMMYFUNCTION("""COMPUTED_VALUE"""),"Adnin Rifandi Sutanto Putra")</f>
        <v>Adnin Rifandi Sutanto Putra</v>
      </c>
      <c r="C93" s="42" t="str">
        <f>IFERROR(__xludf.DUMMYFUNCTION("""COMPUTED_VALUE"""),"Online")</f>
        <v>Online</v>
      </c>
      <c r="D93" s="42" t="str">
        <f>IFERROR(__xludf.DUMMYFUNCTION("""COMPUTED_VALUE"""),"Fullstack Mobile Developer")</f>
        <v>Fullstack Mobile Developer</v>
      </c>
      <c r="E93" s="42">
        <f>IFERROR(__xludf.DUMMYFUNCTION("""COMPUTED_VALUE"""),16.0)</f>
        <v>16</v>
      </c>
      <c r="F93" s="42">
        <f>IFERROR(__xludf.DUMMYFUNCTION("""COMPUTED_VALUE"""),3.0)</f>
        <v>3</v>
      </c>
      <c r="G93" s="42" t="str">
        <f>IFERROR(__xludf.DUMMYFUNCTION("""COMPUTED_VALUE"""),"ARKWH4")</f>
        <v>ARKWH4</v>
      </c>
      <c r="H93" s="42" t="str">
        <f>IFERROR(__xludf.DUMMYFUNCTION("""COMPUTED_VALUE"""),"Flowchart + Logic")</f>
        <v>Flowchart + Logic</v>
      </c>
      <c r="I93" s="46" t="str">
        <f>IFERROR(__xludf.DUMMYFUNCTION("""COMPUTED_VALUE"""),"https://repl.it/@AdninRifandioff/Weekly-Quiz-Week-4#index.js")</f>
        <v>https://repl.it/@AdninRifandioff/Weekly-Quiz-Week-4#index.js</v>
      </c>
      <c r="J93" s="46" t="str">
        <f>IFERROR(__xludf.DUMMYFUNCTION("""COMPUTED_VALUE"""),"https://drive.google.com/file/d/17V6AF_tmLOFsADgO4idCq-XrEWuXWL5B/view?usp=sharing")</f>
        <v>https://drive.google.com/file/d/17V6AF_tmLOFsADgO4idCq-XrEWuXWL5B/view?usp=sharing</v>
      </c>
      <c r="K93" s="42"/>
      <c r="L93" s="42">
        <f>IFERROR(__xludf.DUMMYFUNCTION("""COMPUTED_VALUE"""),2.0)</f>
        <v>2</v>
      </c>
      <c r="M93" s="42"/>
    </row>
    <row r="94">
      <c r="A94" s="43">
        <f>IFERROR(__xludf.DUMMYFUNCTION("""COMPUTED_VALUE"""),44027.60806890046)</f>
        <v>44027.60807</v>
      </c>
      <c r="B94" s="42" t="str">
        <f>IFERROR(__xludf.DUMMYFUNCTION("""COMPUTED_VALUE"""),"Bilkis Ismail")</f>
        <v>Bilkis Ismail</v>
      </c>
      <c r="C94" s="42" t="str">
        <f>IFERROR(__xludf.DUMMYFUNCTION("""COMPUTED_VALUE"""),"Online")</f>
        <v>Online</v>
      </c>
      <c r="D94" s="42" t="str">
        <f>IFERROR(__xludf.DUMMYFUNCTION("""COMPUTED_VALUE"""),"Fullstack Mobile Developer")</f>
        <v>Fullstack Mobile Developer</v>
      </c>
      <c r="E94" s="42">
        <f>IFERROR(__xludf.DUMMYFUNCTION("""COMPUTED_VALUE"""),16.0)</f>
        <v>16</v>
      </c>
      <c r="F94" s="42">
        <f>IFERROR(__xludf.DUMMYFUNCTION("""COMPUTED_VALUE"""),2.0)</f>
        <v>2</v>
      </c>
      <c r="G94" s="42" t="str">
        <f>IFERROR(__xludf.DUMMYFUNCTION("""COMPUTED_VALUE"""),"ARKWH4")</f>
        <v>ARKWH4</v>
      </c>
      <c r="H94" s="42" t="str">
        <f>IFERROR(__xludf.DUMMYFUNCTION("""COMPUTED_VALUE"""),"Flowchart + Logic")</f>
        <v>Flowchart + Logic</v>
      </c>
      <c r="I94" s="46" t="str">
        <f>IFERROR(__xludf.DUMMYFUNCTION("""COMPUTED_VALUE"""),"https://playcode.io/636037/")</f>
        <v>https://playcode.io/636037/</v>
      </c>
      <c r="J94" s="46" t="str">
        <f>IFERROR(__xludf.DUMMYFUNCTION("""COMPUTED_VALUE"""),"https://drive.google.com/file/d/1XnQl5quxsA47qrWSMk_-OFP-CpZ41TGe/view?usp=sharing")</f>
        <v>https://drive.google.com/file/d/1XnQl5quxsA47qrWSMk_-OFP-CpZ41TGe/view?usp=sharing</v>
      </c>
      <c r="K94" s="42"/>
      <c r="L94" s="42">
        <f>IFERROR(__xludf.DUMMYFUNCTION("""COMPUTED_VALUE"""),2.0)</f>
        <v>2</v>
      </c>
      <c r="M94" s="42"/>
    </row>
    <row r="95">
      <c r="A95" s="43">
        <f>IFERROR(__xludf.DUMMYFUNCTION("""COMPUTED_VALUE"""),44027.609860613426)</f>
        <v>44027.60986</v>
      </c>
      <c r="B95" s="42" t="str">
        <f>IFERROR(__xludf.DUMMYFUNCTION("""COMPUTED_VALUE"""),"Faris Ramadhan")</f>
        <v>Faris Ramadhan</v>
      </c>
      <c r="C95" s="42" t="str">
        <f>IFERROR(__xludf.DUMMYFUNCTION("""COMPUTED_VALUE"""),"Online")</f>
        <v>Online</v>
      </c>
      <c r="D95" s="42" t="str">
        <f>IFERROR(__xludf.DUMMYFUNCTION("""COMPUTED_VALUE"""),"Fullstack Mobile Developer")</f>
        <v>Fullstack Mobile Developer</v>
      </c>
      <c r="E95" s="42">
        <f>IFERROR(__xludf.DUMMYFUNCTION("""COMPUTED_VALUE"""),16.0)</f>
        <v>16</v>
      </c>
      <c r="F95" s="42">
        <f>IFERROR(__xludf.DUMMYFUNCTION("""COMPUTED_VALUE"""),3.0)</f>
        <v>3</v>
      </c>
      <c r="G95" s="42" t="str">
        <f>IFERROR(__xludf.DUMMYFUNCTION("""COMPUTED_VALUE"""),"ARKWH4")</f>
        <v>ARKWH4</v>
      </c>
      <c r="H95" s="42" t="str">
        <f>IFERROR(__xludf.DUMMYFUNCTION("""COMPUTED_VALUE"""),"Flowchart + Logic")</f>
        <v>Flowchart + Logic</v>
      </c>
      <c r="I95" s="46" t="str">
        <f>IFERROR(__xludf.DUMMYFUNCTION("""COMPUTED_VALUE"""),"https://repl.it/join/duquwuvc-knocknockguessw")</f>
        <v>https://repl.it/join/duquwuvc-knocknockguessw</v>
      </c>
      <c r="J95" s="46" t="str">
        <f>IFERROR(__xludf.DUMMYFUNCTION("""COMPUTED_VALUE"""),"https://drive.google.com/file/d/15-CnON7bjFJNPJFoT9WKcNgql65HQ2zi/view?usp=sharing")</f>
        <v>https://drive.google.com/file/d/15-CnON7bjFJNPJFoT9WKcNgql65HQ2zi/view?usp=sharing</v>
      </c>
      <c r="K95" s="42"/>
      <c r="L95" s="42">
        <f>IFERROR(__xludf.DUMMYFUNCTION("""COMPUTED_VALUE"""),0.5)</f>
        <v>0.5</v>
      </c>
      <c r="M95" s="42" t="str">
        <f>IFERROR(__xludf.DUMMYFUNCTION("""COMPUTED_VALUE"""),"code tidak bisa diakses, flowchart kurang tepat")</f>
        <v>code tidak bisa diakses, flowchart kurang tepat</v>
      </c>
    </row>
    <row r="96">
      <c r="A96" s="43">
        <f>IFERROR(__xludf.DUMMYFUNCTION("""COMPUTED_VALUE"""),44027.61071869213)</f>
        <v>44027.61072</v>
      </c>
      <c r="B96" s="42" t="str">
        <f>IFERROR(__xludf.DUMMYFUNCTION("""COMPUTED_VALUE"""),"Luthfi Widya Ekakusuma")</f>
        <v>Luthfi Widya Ekakusuma</v>
      </c>
      <c r="C96" s="42" t="str">
        <f>IFERROR(__xludf.DUMMYFUNCTION("""COMPUTED_VALUE"""),"Online")</f>
        <v>Online</v>
      </c>
      <c r="D96" s="42" t="str">
        <f>IFERROR(__xludf.DUMMYFUNCTION("""COMPUTED_VALUE"""),"Fullstack Mobile Developer")</f>
        <v>Fullstack Mobile Developer</v>
      </c>
      <c r="E96" s="42">
        <f>IFERROR(__xludf.DUMMYFUNCTION("""COMPUTED_VALUE"""),16.0)</f>
        <v>16</v>
      </c>
      <c r="F96" s="42">
        <f>IFERROR(__xludf.DUMMYFUNCTION("""COMPUTED_VALUE"""),2.0)</f>
        <v>2</v>
      </c>
      <c r="G96" s="42" t="str">
        <f>IFERROR(__xludf.DUMMYFUNCTION("""COMPUTED_VALUE"""),"ARKWH4")</f>
        <v>ARKWH4</v>
      </c>
      <c r="H96" s="42" t="str">
        <f>IFERROR(__xludf.DUMMYFUNCTION("""COMPUTED_VALUE"""),"Flowchart + Logic")</f>
        <v>Flowchart + Logic</v>
      </c>
      <c r="I96" s="46" t="str">
        <f>IFERROR(__xludf.DUMMYFUNCTION("""COMPUTED_VALUE"""),"https://repl.it/@luthfiwidya/WeekltQuiz4#index.js")</f>
        <v>https://repl.it/@luthfiwidya/WeekltQuiz4#index.js</v>
      </c>
      <c r="J96" s="46" t="str">
        <f>IFERROR(__xludf.DUMMYFUNCTION("""COMPUTED_VALUE"""),"https://drive.google.com/file/d/1NcENUhFKih40wZm81P85ewHPHdf-SRQd/view?usp=sharing")</f>
        <v>https://drive.google.com/file/d/1NcENUhFKih40wZm81P85ewHPHdf-SRQd/view?usp=sharing</v>
      </c>
      <c r="K96" s="42"/>
      <c r="L96" s="42">
        <f>IFERROR(__xludf.DUMMYFUNCTION("""COMPUTED_VALUE"""),2.0)</f>
        <v>2</v>
      </c>
      <c r="M96" s="42"/>
    </row>
    <row r="97">
      <c r="A97" s="43">
        <f>IFERROR(__xludf.DUMMYFUNCTION("""COMPUTED_VALUE"""),44027.61082635417)</f>
        <v>44027.61083</v>
      </c>
      <c r="B97" s="42" t="str">
        <f>IFERROR(__xludf.DUMMYFUNCTION("""COMPUTED_VALUE"""),"Prio Arief Gunawan")</f>
        <v>Prio Arief Gunawan</v>
      </c>
      <c r="C97" s="42" t="str">
        <f>IFERROR(__xludf.DUMMYFUNCTION("""COMPUTED_VALUE"""),"Online")</f>
        <v>Online</v>
      </c>
      <c r="D97" s="42" t="str">
        <f>IFERROR(__xludf.DUMMYFUNCTION("""COMPUTED_VALUE"""),"Fullstack Mobile Developer")</f>
        <v>Fullstack Mobile Developer</v>
      </c>
      <c r="E97" s="42">
        <f>IFERROR(__xludf.DUMMYFUNCTION("""COMPUTED_VALUE"""),16.0)</f>
        <v>16</v>
      </c>
      <c r="F97" s="42">
        <f>IFERROR(__xludf.DUMMYFUNCTION("""COMPUTED_VALUE"""),3.0)</f>
        <v>3</v>
      </c>
      <c r="G97" s="42" t="str">
        <f>IFERROR(__xludf.DUMMYFUNCTION("""COMPUTED_VALUE"""),"ARKWH4")</f>
        <v>ARKWH4</v>
      </c>
      <c r="H97" s="42" t="str">
        <f>IFERROR(__xludf.DUMMYFUNCTION("""COMPUTED_VALUE"""),"Flowchart + Logic")</f>
        <v>Flowchart + Logic</v>
      </c>
      <c r="I97" s="46" t="str">
        <f>IFERROR(__xludf.DUMMYFUNCTION("""COMPUTED_VALUE"""),"https://repl.it/@prioarief/ARKWH4#index.js")</f>
        <v>https://repl.it/@prioarief/ARKWH4#index.js</v>
      </c>
      <c r="J97" s="46" t="str">
        <f>IFERROR(__xludf.DUMMYFUNCTION("""COMPUTED_VALUE"""),"https://drive.google.com/file/d/1L9HI--BKhKTFqEicgIC_9UaJTOzzZX1K/view?usp=sharing")</f>
        <v>https://drive.google.com/file/d/1L9HI--BKhKTFqEicgIC_9UaJTOzzZX1K/view?usp=sharing</v>
      </c>
      <c r="K97" s="42"/>
      <c r="L97" s="42">
        <f>IFERROR(__xludf.DUMMYFUNCTION("""COMPUTED_VALUE"""),1.8)</f>
        <v>1.8</v>
      </c>
      <c r="M97" s="42" t="str">
        <f>IFERROR(__xludf.DUMMYFUNCTION("""COMPUTED_VALUE"""),"flowchart kurang tepat")</f>
        <v>flowchart kurang tepat</v>
      </c>
    </row>
    <row r="98">
      <c r="A98" s="43">
        <f>IFERROR(__xludf.DUMMYFUNCTION("""COMPUTED_VALUE"""),44027.61173792824)</f>
        <v>44027.61174</v>
      </c>
      <c r="B98" s="42" t="str">
        <f>IFERROR(__xludf.DUMMYFUNCTION("""COMPUTED_VALUE"""),"Muhammad Rizky Ramadhan")</f>
        <v>Muhammad Rizky Ramadhan</v>
      </c>
      <c r="C98" s="42" t="str">
        <f>IFERROR(__xludf.DUMMYFUNCTION("""COMPUTED_VALUE"""),"Online")</f>
        <v>Online</v>
      </c>
      <c r="D98" s="42" t="str">
        <f>IFERROR(__xludf.DUMMYFUNCTION("""COMPUTED_VALUE"""),"Fullstack Mobile Developer")</f>
        <v>Fullstack Mobile Developer</v>
      </c>
      <c r="E98" s="42">
        <f>IFERROR(__xludf.DUMMYFUNCTION("""COMPUTED_VALUE"""),16.0)</f>
        <v>16</v>
      </c>
      <c r="F98" s="42">
        <f>IFERROR(__xludf.DUMMYFUNCTION("""COMPUTED_VALUE"""),3.0)</f>
        <v>3</v>
      </c>
      <c r="G98" s="42" t="str">
        <f>IFERROR(__xludf.DUMMYFUNCTION("""COMPUTED_VALUE"""),"ARKWH4")</f>
        <v>ARKWH4</v>
      </c>
      <c r="H98" s="42" t="str">
        <f>IFERROR(__xludf.DUMMYFUNCTION("""COMPUTED_VALUE"""),"Flowchart + Logic")</f>
        <v>Flowchart + Logic</v>
      </c>
      <c r="I98" s="46" t="str">
        <f>IFERROR(__xludf.DUMMYFUNCTION("""COMPUTED_VALUE"""),"https://playcode.io/636067/")</f>
        <v>https://playcode.io/636067/</v>
      </c>
      <c r="J98" s="42"/>
      <c r="K98" s="42"/>
      <c r="L98" s="42">
        <f>IFERROR(__xludf.DUMMYFUNCTION("""COMPUTED_VALUE"""),0.8)</f>
        <v>0.8</v>
      </c>
      <c r="M98" s="42" t="str">
        <f>IFERROR(__xludf.DUMMYFUNCTION("""COMPUTED_VALUE"""),"fungsinya kurang tepat, flowchart tidak ada")</f>
        <v>fungsinya kurang tepat, flowchart tidak ada</v>
      </c>
    </row>
    <row r="99">
      <c r="A99" s="43">
        <f>IFERROR(__xludf.DUMMYFUNCTION("""COMPUTED_VALUE"""),44027.61230068287)</f>
        <v>44027.6123</v>
      </c>
      <c r="B99" s="42" t="str">
        <f>IFERROR(__xludf.DUMMYFUNCTION("""COMPUTED_VALUE"""),"Daniel")</f>
        <v>Daniel</v>
      </c>
      <c r="C99" s="42" t="str">
        <f>IFERROR(__xludf.DUMMYFUNCTION("""COMPUTED_VALUE"""),"Online")</f>
        <v>Online</v>
      </c>
      <c r="D99" s="42" t="str">
        <f>IFERROR(__xludf.DUMMYFUNCTION("""COMPUTED_VALUE"""),"Fullstack Mobile Developer")</f>
        <v>Fullstack Mobile Developer</v>
      </c>
      <c r="E99" s="42">
        <f>IFERROR(__xludf.DUMMYFUNCTION("""COMPUTED_VALUE"""),16.0)</f>
        <v>16</v>
      </c>
      <c r="F99" s="42">
        <f>IFERROR(__xludf.DUMMYFUNCTION("""COMPUTED_VALUE"""),3.0)</f>
        <v>3</v>
      </c>
      <c r="G99" s="42" t="str">
        <f>IFERROR(__xludf.DUMMYFUNCTION("""COMPUTED_VALUE"""),"ARKWH4")</f>
        <v>ARKWH4</v>
      </c>
      <c r="H99" s="42" t="str">
        <f>IFERROR(__xludf.DUMMYFUNCTION("""COMPUTED_VALUE"""),"Flowchart + Logic")</f>
        <v>Flowchart + Logic</v>
      </c>
      <c r="I99" s="46" t="str">
        <f>IFERROR(__xludf.DUMMYFUNCTION("""COMPUTED_VALUE"""),"https://repl.it/@danielwetan/Weekly-Quiz-4-Arkademy#index.js")</f>
        <v>https://repl.it/@danielwetan/Weekly-Quiz-4-Arkademy#index.js</v>
      </c>
      <c r="J99" s="42"/>
      <c r="K99" s="42"/>
      <c r="L99" s="42">
        <f>IFERROR(__xludf.DUMMYFUNCTION("""COMPUTED_VALUE"""),0.5)</f>
        <v>0.5</v>
      </c>
      <c r="M99" s="42" t="str">
        <f>IFERROR(__xludf.DUMMYFUNCTION("""COMPUTED_VALUE"""),"fungsinya kurang tepat, flowchart tidak ada")</f>
        <v>fungsinya kurang tepat, flowchart tidak ada</v>
      </c>
    </row>
    <row r="100">
      <c r="A100" s="43">
        <f>IFERROR(__xludf.DUMMYFUNCTION("""COMPUTED_VALUE"""),44027.61230748842)</f>
        <v>44027.61231</v>
      </c>
      <c r="B100" s="42" t="str">
        <f>IFERROR(__xludf.DUMMYFUNCTION("""COMPUTED_VALUE"""),"Dimas Wahyu Juhair Mokodompit")</f>
        <v>Dimas Wahyu Juhair Mokodompit</v>
      </c>
      <c r="C100" s="42" t="str">
        <f>IFERROR(__xludf.DUMMYFUNCTION("""COMPUTED_VALUE"""),"Online")</f>
        <v>Online</v>
      </c>
      <c r="D100" s="42" t="str">
        <f>IFERROR(__xludf.DUMMYFUNCTION("""COMPUTED_VALUE"""),"Fullstack Mobile Developer")</f>
        <v>Fullstack Mobile Developer</v>
      </c>
      <c r="E100" s="42">
        <f>IFERROR(__xludf.DUMMYFUNCTION("""COMPUTED_VALUE"""),16.0)</f>
        <v>16</v>
      </c>
      <c r="F100" s="42">
        <f>IFERROR(__xludf.DUMMYFUNCTION("""COMPUTED_VALUE"""),3.0)</f>
        <v>3</v>
      </c>
      <c r="G100" s="42" t="str">
        <f>IFERROR(__xludf.DUMMYFUNCTION("""COMPUTED_VALUE"""),"ARKWH4")</f>
        <v>ARKWH4</v>
      </c>
      <c r="H100" s="42" t="str">
        <f>IFERROR(__xludf.DUMMYFUNCTION("""COMPUTED_VALUE"""),"Flowchart + Logic")</f>
        <v>Flowchart + Logic</v>
      </c>
      <c r="I100" s="46" t="str">
        <f>IFERROR(__xludf.DUMMYFUNCTION("""COMPUTED_VALUE"""),"https://repl.it/@DimasMokodompit/Weekly-Quiz-4#index.js")</f>
        <v>https://repl.it/@DimasMokodompit/Weekly-Quiz-4#index.js</v>
      </c>
      <c r="J100" s="46" t="str">
        <f>IFERROR(__xludf.DUMMYFUNCTION("""COMPUTED_VALUE"""),"https://drive.google.com/file/d/14YAp3T7Oalze49Ypc722AxF420N7fdYc/view?usp=sharing")</f>
        <v>https://drive.google.com/file/d/14YAp3T7Oalze49Ypc722AxF420N7fdYc/view?usp=sharing</v>
      </c>
      <c r="K100" s="42"/>
      <c r="L100" s="42">
        <f>IFERROR(__xludf.DUMMYFUNCTION("""COMPUTED_VALUE"""),0.0)</f>
        <v>0</v>
      </c>
      <c r="M100" s="42" t="str">
        <f>IFERROR(__xludf.DUMMYFUNCTION("""COMPUTED_VALUE"""),"fungsi salah, flowchart salah")</f>
        <v>fungsi salah, flowchart salah</v>
      </c>
    </row>
    <row r="101">
      <c r="A101" s="43">
        <f>IFERROR(__xludf.DUMMYFUNCTION("""COMPUTED_VALUE"""),44027.61264626158)</f>
        <v>44027.61265</v>
      </c>
      <c r="B101" s="42" t="str">
        <f>IFERROR(__xludf.DUMMYFUNCTION("""COMPUTED_VALUE"""),"Randi")</f>
        <v>Randi</v>
      </c>
      <c r="C101" s="42" t="str">
        <f>IFERROR(__xludf.DUMMYFUNCTION("""COMPUTED_VALUE"""),"Online")</f>
        <v>Online</v>
      </c>
      <c r="D101" s="42" t="str">
        <f>IFERROR(__xludf.DUMMYFUNCTION("""COMPUTED_VALUE"""),"Fullstack Mobile Developer")</f>
        <v>Fullstack Mobile Developer</v>
      </c>
      <c r="E101" s="42">
        <f>IFERROR(__xludf.DUMMYFUNCTION("""COMPUTED_VALUE"""),16.0)</f>
        <v>16</v>
      </c>
      <c r="F101" s="42">
        <f>IFERROR(__xludf.DUMMYFUNCTION("""COMPUTED_VALUE"""),3.0)</f>
        <v>3</v>
      </c>
      <c r="G101" s="42" t="str">
        <f>IFERROR(__xludf.DUMMYFUNCTION("""COMPUTED_VALUE"""),"ARKWH4")</f>
        <v>ARKWH4</v>
      </c>
      <c r="H101" s="42" t="str">
        <f>IFERROR(__xludf.DUMMYFUNCTION("""COMPUTED_VALUE"""),"Flowchart + Logic")</f>
        <v>Flowchart + Logic</v>
      </c>
      <c r="I101" s="46" t="str">
        <f>IFERROR(__xludf.DUMMYFUNCTION("""COMPUTED_VALUE"""),"https://repl.it/repls/SecondBogusActiveserverpages#index.js")</f>
        <v>https://repl.it/repls/SecondBogusActiveserverpages#index.js</v>
      </c>
      <c r="J101" s="46" t="str">
        <f>IFERROR(__xludf.DUMMYFUNCTION("""COMPUTED_VALUE""")," https://drive.google.com/file/e/1mJBva2qMSIM41_sjdhsjdhsjdhjdsh/view?usp=sharing")</f>
        <v> https://drive.google.com/file/e/1mJBva2qMSIM41_sjdhsjdhsjdhjdsh/view?usp=sharing</v>
      </c>
      <c r="K101" s="42"/>
      <c r="L101" s="42">
        <f>IFERROR(__xludf.DUMMYFUNCTION("""COMPUTED_VALUE"""),0.0)</f>
        <v>0</v>
      </c>
      <c r="M101" s="42" t="str">
        <f>IFERROR(__xludf.DUMMYFUNCTION("""COMPUTED_VALUE"""),"fungsi salah, flowchart tidak bisa diakses")</f>
        <v>fungsi salah, flowchart tidak bisa diakses</v>
      </c>
    </row>
    <row r="102">
      <c r="A102" s="43">
        <f>IFERROR(__xludf.DUMMYFUNCTION("""COMPUTED_VALUE"""),44027.613861018515)</f>
        <v>44027.61386</v>
      </c>
      <c r="B102" s="42" t="str">
        <f>IFERROR(__xludf.DUMMYFUNCTION("""COMPUTED_VALUE"""),"Tri Fajar Pangestu")</f>
        <v>Tri Fajar Pangestu</v>
      </c>
      <c r="C102" s="42" t="str">
        <f>IFERROR(__xludf.DUMMYFUNCTION("""COMPUTED_VALUE"""),"Online")</f>
        <v>Online</v>
      </c>
      <c r="D102" s="42" t="str">
        <f>IFERROR(__xludf.DUMMYFUNCTION("""COMPUTED_VALUE"""),"Fullstack Mobile Developer")</f>
        <v>Fullstack Mobile Developer</v>
      </c>
      <c r="E102" s="42">
        <f>IFERROR(__xludf.DUMMYFUNCTION("""COMPUTED_VALUE"""),16.0)</f>
        <v>16</v>
      </c>
      <c r="F102" s="42">
        <f>IFERROR(__xludf.DUMMYFUNCTION("""COMPUTED_VALUE"""),2.0)</f>
        <v>2</v>
      </c>
      <c r="G102" s="42" t="str">
        <f>IFERROR(__xludf.DUMMYFUNCTION("""COMPUTED_VALUE"""),"ARKWH4")</f>
        <v>ARKWH4</v>
      </c>
      <c r="H102" s="42" t="str">
        <f>IFERROR(__xludf.DUMMYFUNCTION("""COMPUTED_VALUE"""),"Flowchart + Logic")</f>
        <v>Flowchart + Logic</v>
      </c>
      <c r="I102" s="46" t="str">
        <f>IFERROR(__xludf.DUMMYFUNCTION("""COMPUTED_VALUE"""),"https://repl.it/@fajarpng/quis-w4#index.js")</f>
        <v>https://repl.it/@fajarpng/quis-w4#index.js</v>
      </c>
      <c r="J102" s="42"/>
      <c r="K102" s="46" t="str">
        <f>IFERROR(__xludf.DUMMYFUNCTION("""COMPUTED_VALUE"""),"https://drive.google.com/open?id=1W1NegMc19RLLP-pF_pXiFL53aM1KpYo7")</f>
        <v>https://drive.google.com/open?id=1W1NegMc19RLLP-pF_pXiFL53aM1KpYo7</v>
      </c>
      <c r="L102" s="42">
        <f>IFERROR(__xludf.DUMMYFUNCTION("""COMPUTED_VALUE"""),2.0)</f>
        <v>2</v>
      </c>
      <c r="M102" s="42"/>
    </row>
    <row r="103">
      <c r="A103" s="43">
        <f>IFERROR(__xludf.DUMMYFUNCTION("""COMPUTED_VALUE"""),44034.57292517361)</f>
        <v>44034.57293</v>
      </c>
      <c r="B103" s="42" t="str">
        <f>IFERROR(__xludf.DUMMYFUNCTION("""COMPUTED_VALUE"""),"Muhamad Adam")</f>
        <v>Muhamad Adam</v>
      </c>
      <c r="C103" s="42" t="str">
        <f>IFERROR(__xludf.DUMMYFUNCTION("""COMPUTED_VALUE"""),"Online")</f>
        <v>Online</v>
      </c>
      <c r="D103" s="42" t="str">
        <f>IFERROR(__xludf.DUMMYFUNCTION("""COMPUTED_VALUE"""),"Fullstack Mobile Developer")</f>
        <v>Fullstack Mobile Developer</v>
      </c>
      <c r="E103" s="42">
        <f>IFERROR(__xludf.DUMMYFUNCTION("""COMPUTED_VALUE"""),16.0)</f>
        <v>16</v>
      </c>
      <c r="F103" s="42">
        <f>IFERROR(__xludf.DUMMYFUNCTION("""COMPUTED_VALUE"""),2.0)</f>
        <v>2</v>
      </c>
      <c r="G103" s="42" t="str">
        <f>IFERROR(__xludf.DUMMYFUNCTION("""COMPUTED_VALUE"""),"ARKWH5")</f>
        <v>ARKWH5</v>
      </c>
      <c r="H103" s="42" t="str">
        <f>IFERROR(__xludf.DUMMYFUNCTION("""COMPUTED_VALUE"""),"Logic")</f>
        <v>Logic</v>
      </c>
      <c r="I103" s="46" t="str">
        <f>IFERROR(__xludf.DUMMYFUNCTION("""COMPUTED_VALUE"""),"https://repl.it/@MuhamadAdam/Anagram")</f>
        <v>https://repl.it/@MuhamadAdam/Anagram</v>
      </c>
      <c r="J103" s="42"/>
      <c r="K103" s="42"/>
      <c r="L103" s="42">
        <f>IFERROR(__xludf.DUMMYFUNCTION("""COMPUTED_VALUE"""),2.0)</f>
        <v>2</v>
      </c>
      <c r="M103" s="42"/>
    </row>
    <row r="104">
      <c r="A104" s="43">
        <f>IFERROR(__xludf.DUMMYFUNCTION("""COMPUTED_VALUE"""),44034.58365381944)</f>
        <v>44034.58365</v>
      </c>
      <c r="B104" s="42" t="str">
        <f>IFERROR(__xludf.DUMMYFUNCTION("""COMPUTED_VALUE"""),"M Ismoyo Setyonowidagdo")</f>
        <v>M Ismoyo Setyonowidagdo</v>
      </c>
      <c r="C104" s="42" t="str">
        <f>IFERROR(__xludf.DUMMYFUNCTION("""COMPUTED_VALUE"""),"Online")</f>
        <v>Online</v>
      </c>
      <c r="D104" s="42" t="str">
        <f>IFERROR(__xludf.DUMMYFUNCTION("""COMPUTED_VALUE"""),"Fullstack Mobile Developer")</f>
        <v>Fullstack Mobile Developer</v>
      </c>
      <c r="E104" s="42">
        <f>IFERROR(__xludf.DUMMYFUNCTION("""COMPUTED_VALUE"""),16.0)</f>
        <v>16</v>
      </c>
      <c r="F104" s="42">
        <f>IFERROR(__xludf.DUMMYFUNCTION("""COMPUTED_VALUE"""),3.0)</f>
        <v>3</v>
      </c>
      <c r="G104" s="42" t="str">
        <f>IFERROR(__xludf.DUMMYFUNCTION("""COMPUTED_VALUE"""),"ARKWH5")</f>
        <v>ARKWH5</v>
      </c>
      <c r="H104" s="42" t="str">
        <f>IFERROR(__xludf.DUMMYFUNCTION("""COMPUTED_VALUE"""),"Logic")</f>
        <v>Logic</v>
      </c>
      <c r="I104" s="46" t="str">
        <f>IFERROR(__xludf.DUMMYFUNCTION("""COMPUTED_VALUE"""),"https://playcode.io/639581/")</f>
        <v>https://playcode.io/639581/</v>
      </c>
      <c r="J104" s="42"/>
      <c r="K104" s="42"/>
      <c r="L104" s="42">
        <f>IFERROR(__xludf.DUMMYFUNCTION("""COMPUTED_VALUE"""),0.0)</f>
        <v>0</v>
      </c>
      <c r="M104" s="42" t="str">
        <f>IFERROR(__xludf.DUMMYFUNCTION("""COMPUTED_VALUE"""),"fungsi salah")</f>
        <v>fungsi salah</v>
      </c>
    </row>
    <row r="105">
      <c r="A105" s="43">
        <f>IFERROR(__xludf.DUMMYFUNCTION("""COMPUTED_VALUE"""),44034.58584138889)</f>
        <v>44034.58584</v>
      </c>
      <c r="B105" s="42" t="str">
        <f>IFERROR(__xludf.DUMMYFUNCTION("""COMPUTED_VALUE"""),"Adnin Rifandi Sutanto Putra")</f>
        <v>Adnin Rifandi Sutanto Putra</v>
      </c>
      <c r="C105" s="42" t="str">
        <f>IFERROR(__xludf.DUMMYFUNCTION("""COMPUTED_VALUE"""),"Online")</f>
        <v>Online</v>
      </c>
      <c r="D105" s="42" t="str">
        <f>IFERROR(__xludf.DUMMYFUNCTION("""COMPUTED_VALUE"""),"Fullstack Mobile Developer")</f>
        <v>Fullstack Mobile Developer</v>
      </c>
      <c r="E105" s="42">
        <f>IFERROR(__xludf.DUMMYFUNCTION("""COMPUTED_VALUE"""),16.0)</f>
        <v>16</v>
      </c>
      <c r="F105" s="42">
        <f>IFERROR(__xludf.DUMMYFUNCTION("""COMPUTED_VALUE"""),3.0)</f>
        <v>3</v>
      </c>
      <c r="G105" s="42" t="str">
        <f>IFERROR(__xludf.DUMMYFUNCTION("""COMPUTED_VALUE"""),"ARKWH5")</f>
        <v>ARKWH5</v>
      </c>
      <c r="H105" s="42" t="str">
        <f>IFERROR(__xludf.DUMMYFUNCTION("""COMPUTED_VALUE"""),"Logic")</f>
        <v>Logic</v>
      </c>
      <c r="I105" s="46" t="str">
        <f>IFERROR(__xludf.DUMMYFUNCTION("""COMPUTED_VALUE"""),"https://repl.it/@AdninRifandioff/Weekly-Quiz-Week-5#index.js")</f>
        <v>https://repl.it/@AdninRifandioff/Weekly-Quiz-Week-5#index.js</v>
      </c>
      <c r="J105" s="46" t="str">
        <f>IFERROR(__xludf.DUMMYFUNCTION("""COMPUTED_VALUE"""),"https://drive.google.com/file/d/1XHC4ocljhwKb5pQF1dDVa2vY948aqV2n/view?usp=sharing")</f>
        <v>https://drive.google.com/file/d/1XHC4ocljhwKb5pQF1dDVa2vY948aqV2n/view?usp=sharing</v>
      </c>
      <c r="K105" s="42"/>
      <c r="L105" s="42">
        <f>IFERROR(__xludf.DUMMYFUNCTION("""COMPUTED_VALUE"""),2.0)</f>
        <v>2</v>
      </c>
      <c r="M105" s="42"/>
    </row>
    <row r="106">
      <c r="A106" s="43">
        <f>IFERROR(__xludf.DUMMYFUNCTION("""COMPUTED_VALUE"""),44034.58658930556)</f>
        <v>44034.58659</v>
      </c>
      <c r="B106" s="42" t="str">
        <f>IFERROR(__xludf.DUMMYFUNCTION("""COMPUTED_VALUE"""),"Tri Fajar Pangestu")</f>
        <v>Tri Fajar Pangestu</v>
      </c>
      <c r="C106" s="42" t="str">
        <f>IFERROR(__xludf.DUMMYFUNCTION("""COMPUTED_VALUE"""),"Online")</f>
        <v>Online</v>
      </c>
      <c r="D106" s="42" t="str">
        <f>IFERROR(__xludf.DUMMYFUNCTION("""COMPUTED_VALUE"""),"Fullstack Mobile Developer")</f>
        <v>Fullstack Mobile Developer</v>
      </c>
      <c r="E106" s="42">
        <f>IFERROR(__xludf.DUMMYFUNCTION("""COMPUTED_VALUE"""),16.0)</f>
        <v>16</v>
      </c>
      <c r="F106" s="42">
        <f>IFERROR(__xludf.DUMMYFUNCTION("""COMPUTED_VALUE"""),2.0)</f>
        <v>2</v>
      </c>
      <c r="G106" s="42" t="str">
        <f>IFERROR(__xludf.DUMMYFUNCTION("""COMPUTED_VALUE"""),"ARKWH5")</f>
        <v>ARKWH5</v>
      </c>
      <c r="H106" s="42" t="str">
        <f>IFERROR(__xludf.DUMMYFUNCTION("""COMPUTED_VALUE"""),"Logic")</f>
        <v>Logic</v>
      </c>
      <c r="I106" s="46" t="str">
        <f>IFERROR(__xludf.DUMMYFUNCTION("""COMPUTED_VALUE"""),"https://repl.it/@fajarpng/arkademy-quis-w5#index.js")</f>
        <v>https://repl.it/@fajarpng/arkademy-quis-w5#index.js</v>
      </c>
      <c r="J106" s="42"/>
      <c r="K106" s="42"/>
      <c r="L106" s="42">
        <f>IFERROR(__xludf.DUMMYFUNCTION("""COMPUTED_VALUE"""),2.0)</f>
        <v>2</v>
      </c>
      <c r="M106" s="42"/>
    </row>
    <row r="107">
      <c r="A107" s="43">
        <f>IFERROR(__xludf.DUMMYFUNCTION("""COMPUTED_VALUE"""),44034.593024305555)</f>
        <v>44034.59302</v>
      </c>
      <c r="B107" s="42" t="str">
        <f>IFERROR(__xludf.DUMMYFUNCTION("""COMPUTED_VALUE"""),"Muhamad Abiyasa Sastra Wardana")</f>
        <v>Muhamad Abiyasa Sastra Wardana</v>
      </c>
      <c r="C107" s="42" t="str">
        <f>IFERROR(__xludf.DUMMYFUNCTION("""COMPUTED_VALUE"""),"Online")</f>
        <v>Online</v>
      </c>
      <c r="D107" s="42" t="str">
        <f>IFERROR(__xludf.DUMMYFUNCTION("""COMPUTED_VALUE"""),"Fullstack Mobile Developer")</f>
        <v>Fullstack Mobile Developer</v>
      </c>
      <c r="E107" s="42">
        <f>IFERROR(__xludf.DUMMYFUNCTION("""COMPUTED_VALUE"""),16.0)</f>
        <v>16</v>
      </c>
      <c r="F107" s="42">
        <f>IFERROR(__xludf.DUMMYFUNCTION("""COMPUTED_VALUE"""),3.0)</f>
        <v>3</v>
      </c>
      <c r="G107" s="42" t="str">
        <f>IFERROR(__xludf.DUMMYFUNCTION("""COMPUTED_VALUE"""),"ARKWH5")</f>
        <v>ARKWH5</v>
      </c>
      <c r="H107" s="42" t="str">
        <f>IFERROR(__xludf.DUMMYFUNCTION("""COMPUTED_VALUE"""),"Logic")</f>
        <v>Logic</v>
      </c>
      <c r="I107" s="46" t="str">
        <f>IFERROR(__xludf.DUMMYFUNCTION("""COMPUTED_VALUE"""),"https://repl.it/@byasaa/Arkademy-Weekly-Quiz-5#index.js")</f>
        <v>https://repl.it/@byasaa/Arkademy-Weekly-Quiz-5#index.js</v>
      </c>
      <c r="J107" s="42"/>
      <c r="K107" s="42"/>
      <c r="L107" s="42">
        <f>IFERROR(__xludf.DUMMYFUNCTION("""COMPUTED_VALUE"""),0.0)</f>
        <v>0</v>
      </c>
      <c r="M107" s="42" t="str">
        <f>IFERROR(__xludf.DUMMYFUNCTION("""COMPUTED_VALUE"""),"fungsi salah")</f>
        <v>fungsi salah</v>
      </c>
    </row>
    <row r="108">
      <c r="A108" s="43">
        <f>IFERROR(__xludf.DUMMYFUNCTION("""COMPUTED_VALUE"""),44034.594452708334)</f>
        <v>44034.59445</v>
      </c>
      <c r="B108" s="42" t="str">
        <f>IFERROR(__xludf.DUMMYFUNCTION("""COMPUTED_VALUE"""),"Rina Lia Aryati ")</f>
        <v>Rina Lia Aryati </v>
      </c>
      <c r="C108" s="42" t="str">
        <f>IFERROR(__xludf.DUMMYFUNCTION("""COMPUTED_VALUE"""),"Online")</f>
        <v>Online</v>
      </c>
      <c r="D108" s="42" t="str">
        <f>IFERROR(__xludf.DUMMYFUNCTION("""COMPUTED_VALUE"""),"Fullstack Mobile Developer")</f>
        <v>Fullstack Mobile Developer</v>
      </c>
      <c r="E108" s="42">
        <f>IFERROR(__xludf.DUMMYFUNCTION("""COMPUTED_VALUE"""),16.0)</f>
        <v>16</v>
      </c>
      <c r="F108" s="42">
        <f>IFERROR(__xludf.DUMMYFUNCTION("""COMPUTED_VALUE"""),2.0)</f>
        <v>2</v>
      </c>
      <c r="G108" s="42" t="str">
        <f>IFERROR(__xludf.DUMMYFUNCTION("""COMPUTED_VALUE"""),"ARKWH5")</f>
        <v>ARKWH5</v>
      </c>
      <c r="H108" s="42" t="str">
        <f>IFERROR(__xludf.DUMMYFUNCTION("""COMPUTED_VALUE"""),"Logic")</f>
        <v>Logic</v>
      </c>
      <c r="I108" s="46" t="str">
        <f>IFERROR(__xludf.DUMMYFUNCTION("""COMPUTED_VALUE"""),"https://repl.it/@RinaLia/Quiz5#index.js")</f>
        <v>https://repl.it/@RinaLia/Quiz5#index.js</v>
      </c>
      <c r="J108" s="42"/>
      <c r="K108" s="42"/>
      <c r="L108" s="42">
        <f>IFERROR(__xludf.DUMMYFUNCTION("""COMPUTED_VALUE"""),0.0)</f>
        <v>0</v>
      </c>
      <c r="M108" s="42" t="str">
        <f>IFERROR(__xludf.DUMMYFUNCTION("""COMPUTED_VALUE"""),"Kode terindikasi belum selesai")</f>
        <v>Kode terindikasi belum selesai</v>
      </c>
    </row>
    <row r="109">
      <c r="A109" s="43">
        <f>IFERROR(__xludf.DUMMYFUNCTION("""COMPUTED_VALUE"""),44034.594756805556)</f>
        <v>44034.59476</v>
      </c>
      <c r="B109" s="42" t="str">
        <f>IFERROR(__xludf.DUMMYFUNCTION("""COMPUTED_VALUE"""),"Alifkhi Miftahul Janah")</f>
        <v>Alifkhi Miftahul Janah</v>
      </c>
      <c r="C109" s="42" t="str">
        <f>IFERROR(__xludf.DUMMYFUNCTION("""COMPUTED_VALUE"""),"Online")</f>
        <v>Online</v>
      </c>
      <c r="D109" s="42" t="str">
        <f>IFERROR(__xludf.DUMMYFUNCTION("""COMPUTED_VALUE"""),"Fullstack Mobile Developer")</f>
        <v>Fullstack Mobile Developer</v>
      </c>
      <c r="E109" s="42">
        <f>IFERROR(__xludf.DUMMYFUNCTION("""COMPUTED_VALUE"""),16.0)</f>
        <v>16</v>
      </c>
      <c r="F109" s="42">
        <f>IFERROR(__xludf.DUMMYFUNCTION("""COMPUTED_VALUE"""),3.0)</f>
        <v>3</v>
      </c>
      <c r="G109" s="42" t="str">
        <f>IFERROR(__xludf.DUMMYFUNCTION("""COMPUTED_VALUE"""),"ARKWH5")</f>
        <v>ARKWH5</v>
      </c>
      <c r="H109" s="42" t="str">
        <f>IFERROR(__xludf.DUMMYFUNCTION("""COMPUTED_VALUE"""),"Logic")</f>
        <v>Logic</v>
      </c>
      <c r="I109" s="46" t="str">
        <f>IFERROR(__xludf.DUMMYFUNCTION("""COMPUTED_VALUE"""),"https://repl.it/@ALIFKI/WeeklyQuiz5#index.js")</f>
        <v>https://repl.it/@ALIFKI/WeeklyQuiz5#index.js</v>
      </c>
      <c r="J109" s="42"/>
      <c r="K109" s="42"/>
      <c r="L109" s="42">
        <f>IFERROR(__xludf.DUMMYFUNCTION("""COMPUTED_VALUE"""),2.0)</f>
        <v>2</v>
      </c>
      <c r="M109" s="42"/>
    </row>
    <row r="110">
      <c r="A110" s="43">
        <f>IFERROR(__xludf.DUMMYFUNCTION("""COMPUTED_VALUE"""),44034.59615795139)</f>
        <v>44034.59616</v>
      </c>
      <c r="B110" s="42" t="str">
        <f>IFERROR(__xludf.DUMMYFUNCTION("""COMPUTED_VALUE"""),"Prio Arief Gunawan")</f>
        <v>Prio Arief Gunawan</v>
      </c>
      <c r="C110" s="42" t="str">
        <f>IFERROR(__xludf.DUMMYFUNCTION("""COMPUTED_VALUE"""),"Online")</f>
        <v>Online</v>
      </c>
      <c r="D110" s="42" t="str">
        <f>IFERROR(__xludf.DUMMYFUNCTION("""COMPUTED_VALUE"""),"Fullstack Mobile Developer")</f>
        <v>Fullstack Mobile Developer</v>
      </c>
      <c r="E110" s="42">
        <f>IFERROR(__xludf.DUMMYFUNCTION("""COMPUTED_VALUE"""),16.0)</f>
        <v>16</v>
      </c>
      <c r="F110" s="42">
        <f>IFERROR(__xludf.DUMMYFUNCTION("""COMPUTED_VALUE"""),3.0)</f>
        <v>3</v>
      </c>
      <c r="G110" s="42" t="str">
        <f>IFERROR(__xludf.DUMMYFUNCTION("""COMPUTED_VALUE"""),"ARKWH5")</f>
        <v>ARKWH5</v>
      </c>
      <c r="H110" s="42" t="str">
        <f>IFERROR(__xludf.DUMMYFUNCTION("""COMPUTED_VALUE"""),"Logic")</f>
        <v>Logic</v>
      </c>
      <c r="I110" s="46" t="str">
        <f>IFERROR(__xludf.DUMMYFUNCTION("""COMPUTED_VALUE"""),"https://repl.it/@prioarief/ARKWH5")</f>
        <v>https://repl.it/@prioarief/ARKWH5</v>
      </c>
      <c r="J110" s="42"/>
      <c r="K110" s="42"/>
      <c r="L110" s="42">
        <f>IFERROR(__xludf.DUMMYFUNCTION("""COMPUTED_VALUE"""),2.0)</f>
        <v>2</v>
      </c>
      <c r="M110" s="42"/>
    </row>
    <row r="111">
      <c r="A111" s="43">
        <f>IFERROR(__xludf.DUMMYFUNCTION("""COMPUTED_VALUE"""),44034.59632863426)</f>
        <v>44034.59633</v>
      </c>
      <c r="B111" s="42" t="str">
        <f>IFERROR(__xludf.DUMMYFUNCTION("""COMPUTED_VALUE"""),"Dwiky satria hutomo")</f>
        <v>Dwiky satria hutomo</v>
      </c>
      <c r="C111" s="42" t="str">
        <f>IFERROR(__xludf.DUMMYFUNCTION("""COMPUTED_VALUE"""),"Online")</f>
        <v>Online</v>
      </c>
      <c r="D111" s="42" t="str">
        <f>IFERROR(__xludf.DUMMYFUNCTION("""COMPUTED_VALUE"""),"Fullstack Mobile Developer")</f>
        <v>Fullstack Mobile Developer</v>
      </c>
      <c r="E111" s="42">
        <f>IFERROR(__xludf.DUMMYFUNCTION("""COMPUTED_VALUE"""),16.0)</f>
        <v>16</v>
      </c>
      <c r="F111" s="42">
        <f>IFERROR(__xludf.DUMMYFUNCTION("""COMPUTED_VALUE"""),1.0)</f>
        <v>1</v>
      </c>
      <c r="G111" s="42" t="str">
        <f>IFERROR(__xludf.DUMMYFUNCTION("""COMPUTED_VALUE"""),"ARKWH5")</f>
        <v>ARKWH5</v>
      </c>
      <c r="H111" s="42" t="str">
        <f>IFERROR(__xludf.DUMMYFUNCTION("""COMPUTED_VALUE"""),"Logic")</f>
        <v>Logic</v>
      </c>
      <c r="I111" s="46" t="str">
        <f>IFERROR(__xludf.DUMMYFUNCTION("""COMPUTED_VALUE"""),"https://playcode.io/639578/")</f>
        <v>https://playcode.io/639578/</v>
      </c>
      <c r="J111" s="42"/>
      <c r="K111" s="42"/>
      <c r="L111" s="42"/>
      <c r="M111" s="42"/>
    </row>
    <row r="112">
      <c r="A112" s="43">
        <f>IFERROR(__xludf.DUMMYFUNCTION("""COMPUTED_VALUE"""),44034.59735444444)</f>
        <v>44034.59735</v>
      </c>
      <c r="B112" s="42" t="str">
        <f>IFERROR(__xludf.DUMMYFUNCTION("""COMPUTED_VALUE"""),"Randi Maulana")</f>
        <v>Randi Maulana</v>
      </c>
      <c r="C112" s="42" t="str">
        <f>IFERROR(__xludf.DUMMYFUNCTION("""COMPUTED_VALUE"""),"Online")</f>
        <v>Online</v>
      </c>
      <c r="D112" s="42" t="str">
        <f>IFERROR(__xludf.DUMMYFUNCTION("""COMPUTED_VALUE"""),"Fullstack Mobile Developer")</f>
        <v>Fullstack Mobile Developer</v>
      </c>
      <c r="E112" s="42">
        <f>IFERROR(__xludf.DUMMYFUNCTION("""COMPUTED_VALUE"""),16.0)</f>
        <v>16</v>
      </c>
      <c r="F112" s="42">
        <f>IFERROR(__xludf.DUMMYFUNCTION("""COMPUTED_VALUE"""),3.0)</f>
        <v>3</v>
      </c>
      <c r="G112" s="42" t="str">
        <f>IFERROR(__xludf.DUMMYFUNCTION("""COMPUTED_VALUE"""),"ARKWH5")</f>
        <v>ARKWH5</v>
      </c>
      <c r="H112" s="42" t="str">
        <f>IFERROR(__xludf.DUMMYFUNCTION("""COMPUTED_VALUE"""),"Logic")</f>
        <v>Logic</v>
      </c>
      <c r="I112" s="46" t="str">
        <f>IFERROR(__xludf.DUMMYFUNCTION("""COMPUTED_VALUE"""),"https://playcode.io/639593/")</f>
        <v>https://playcode.io/639593/</v>
      </c>
      <c r="J112" s="42"/>
      <c r="K112" s="42"/>
      <c r="L112" s="42">
        <f>IFERROR(__xludf.DUMMYFUNCTION("""COMPUTED_VALUE"""),0.0)</f>
        <v>0</v>
      </c>
      <c r="M112" s="42" t="str">
        <f>IFERROR(__xludf.DUMMYFUNCTION("""COMPUTED_VALUE"""),"fungsi salah")</f>
        <v>fungsi salah</v>
      </c>
    </row>
    <row r="113">
      <c r="A113" s="43">
        <f>IFERROR(__xludf.DUMMYFUNCTION("""COMPUTED_VALUE"""),44034.597574768515)</f>
        <v>44034.59757</v>
      </c>
      <c r="B113" s="42" t="str">
        <f>IFERROR(__xludf.DUMMYFUNCTION("""COMPUTED_VALUE"""),"Muhammad Rizky Ramadhan")</f>
        <v>Muhammad Rizky Ramadhan</v>
      </c>
      <c r="C113" s="42" t="str">
        <f>IFERROR(__xludf.DUMMYFUNCTION("""COMPUTED_VALUE"""),"Online")</f>
        <v>Online</v>
      </c>
      <c r="D113" s="42" t="str">
        <f>IFERROR(__xludf.DUMMYFUNCTION("""COMPUTED_VALUE"""),"Fullstack Mobile Developer")</f>
        <v>Fullstack Mobile Developer</v>
      </c>
      <c r="E113" s="42">
        <f>IFERROR(__xludf.DUMMYFUNCTION("""COMPUTED_VALUE"""),16.0)</f>
        <v>16</v>
      </c>
      <c r="F113" s="42">
        <f>IFERROR(__xludf.DUMMYFUNCTION("""COMPUTED_VALUE"""),3.0)</f>
        <v>3</v>
      </c>
      <c r="G113" s="42" t="str">
        <f>IFERROR(__xludf.DUMMYFUNCTION("""COMPUTED_VALUE"""),"ARKWH5")</f>
        <v>ARKWH5</v>
      </c>
      <c r="H113" s="42" t="str">
        <f>IFERROR(__xludf.DUMMYFUNCTION("""COMPUTED_VALUE"""),"Logic")</f>
        <v>Logic</v>
      </c>
      <c r="I113" s="46" t="str">
        <f>IFERROR(__xludf.DUMMYFUNCTION("""COMPUTED_VALUE"""),"https://playcode.io/639579/")</f>
        <v>https://playcode.io/639579/</v>
      </c>
      <c r="J113" s="42"/>
      <c r="K113" s="42"/>
      <c r="L113" s="42">
        <f>IFERROR(__xludf.DUMMYFUNCTION("""COMPUTED_VALUE"""),1.5)</f>
        <v>1.5</v>
      </c>
      <c r="M113" s="42" t="str">
        <f>IFERROR(__xludf.DUMMYFUNCTION("""COMPUTED_VALUE"""),"Output kurang seusai")</f>
        <v>Output kurang seusai</v>
      </c>
    </row>
    <row r="114">
      <c r="A114" s="43">
        <f>IFERROR(__xludf.DUMMYFUNCTION("""COMPUTED_VALUE"""),44034.597915879625)</f>
        <v>44034.59792</v>
      </c>
      <c r="B114" s="42" t="str">
        <f>IFERROR(__xludf.DUMMYFUNCTION("""COMPUTED_VALUE"""),"Bilkis Ismail")</f>
        <v>Bilkis Ismail</v>
      </c>
      <c r="C114" s="42" t="str">
        <f>IFERROR(__xludf.DUMMYFUNCTION("""COMPUTED_VALUE"""),"Online")</f>
        <v>Online</v>
      </c>
      <c r="D114" s="42" t="str">
        <f>IFERROR(__xludf.DUMMYFUNCTION("""COMPUTED_VALUE"""),"Fullstack Mobile Developer")</f>
        <v>Fullstack Mobile Developer</v>
      </c>
      <c r="E114" s="42">
        <f>IFERROR(__xludf.DUMMYFUNCTION("""COMPUTED_VALUE"""),16.0)</f>
        <v>16</v>
      </c>
      <c r="F114" s="42">
        <f>IFERROR(__xludf.DUMMYFUNCTION("""COMPUTED_VALUE"""),2.0)</f>
        <v>2</v>
      </c>
      <c r="G114" s="42" t="str">
        <f>IFERROR(__xludf.DUMMYFUNCTION("""COMPUTED_VALUE"""),"ARKWH5")</f>
        <v>ARKWH5</v>
      </c>
      <c r="H114" s="42" t="str">
        <f>IFERROR(__xludf.DUMMYFUNCTION("""COMPUTED_VALUE"""),"Logic")</f>
        <v>Logic</v>
      </c>
      <c r="I114" s="46" t="str">
        <f>IFERROR(__xludf.DUMMYFUNCTION("""COMPUTED_VALUE"""),"https://playcode.io/639610/")</f>
        <v>https://playcode.io/639610/</v>
      </c>
      <c r="J114" s="42"/>
      <c r="K114" s="42"/>
      <c r="L114" s="42">
        <f>IFERROR(__xludf.DUMMYFUNCTION("""COMPUTED_VALUE"""),2.0)</f>
        <v>2</v>
      </c>
      <c r="M114" s="42"/>
    </row>
    <row r="115">
      <c r="A115" s="43">
        <f>IFERROR(__xludf.DUMMYFUNCTION("""COMPUTED_VALUE"""),44034.59812717592)</f>
        <v>44034.59813</v>
      </c>
      <c r="B115" s="42" t="str">
        <f>IFERROR(__xludf.DUMMYFUNCTION("""COMPUTED_VALUE"""),"Ilham Bagas Saputra")</f>
        <v>Ilham Bagas Saputra</v>
      </c>
      <c r="C115" s="42" t="str">
        <f>IFERROR(__xludf.DUMMYFUNCTION("""COMPUTED_VALUE"""),"Online")</f>
        <v>Online</v>
      </c>
      <c r="D115" s="42" t="str">
        <f>IFERROR(__xludf.DUMMYFUNCTION("""COMPUTED_VALUE"""),"Fullstack Mobile Developer")</f>
        <v>Fullstack Mobile Developer</v>
      </c>
      <c r="E115" s="42">
        <f>IFERROR(__xludf.DUMMYFUNCTION("""COMPUTED_VALUE"""),16.0)</f>
        <v>16</v>
      </c>
      <c r="F115" s="42">
        <f>IFERROR(__xludf.DUMMYFUNCTION("""COMPUTED_VALUE"""),2.0)</f>
        <v>2</v>
      </c>
      <c r="G115" s="42" t="str">
        <f>IFERROR(__xludf.DUMMYFUNCTION("""COMPUTED_VALUE"""),"ARKWH5")</f>
        <v>ARKWH5</v>
      </c>
      <c r="H115" s="42" t="str">
        <f>IFERROR(__xludf.DUMMYFUNCTION("""COMPUTED_VALUE"""),"Logic")</f>
        <v>Logic</v>
      </c>
      <c r="I115" s="46" t="str">
        <f>IFERROR(__xludf.DUMMYFUNCTION("""COMPUTED_VALUE"""),"https://repl.it/@bgsilham/QuizWeek5-IlhamBagasSaputra")</f>
        <v>https://repl.it/@bgsilham/QuizWeek5-IlhamBagasSaputra</v>
      </c>
      <c r="J115" s="42"/>
      <c r="K115" s="42"/>
      <c r="L115" s="42">
        <f>IFERROR(__xludf.DUMMYFUNCTION("""COMPUTED_VALUE"""),1.8)</f>
        <v>1.8</v>
      </c>
      <c r="M115" s="42"/>
    </row>
    <row r="116">
      <c r="A116" s="43">
        <f>IFERROR(__xludf.DUMMYFUNCTION("""COMPUTED_VALUE"""),44034.59814872685)</f>
        <v>44034.59815</v>
      </c>
      <c r="B116" s="42" t="str">
        <f>IFERROR(__xludf.DUMMYFUNCTION("""COMPUTED_VALUE"""),"Dezza Rizqi")</f>
        <v>Dezza Rizqi</v>
      </c>
      <c r="C116" s="42" t="str">
        <f>IFERROR(__xludf.DUMMYFUNCTION("""COMPUTED_VALUE"""),"Online")</f>
        <v>Online</v>
      </c>
      <c r="D116" s="42" t="str">
        <f>IFERROR(__xludf.DUMMYFUNCTION("""COMPUTED_VALUE"""),"Fullstack Mobile Developer")</f>
        <v>Fullstack Mobile Developer</v>
      </c>
      <c r="E116" s="42">
        <f>IFERROR(__xludf.DUMMYFUNCTION("""COMPUTED_VALUE"""),16.0)</f>
        <v>16</v>
      </c>
      <c r="F116" s="42">
        <f>IFERROR(__xludf.DUMMYFUNCTION("""COMPUTED_VALUE"""),2.0)</f>
        <v>2</v>
      </c>
      <c r="G116" s="42" t="str">
        <f>IFERROR(__xludf.DUMMYFUNCTION("""COMPUTED_VALUE"""),"ARKWH5")</f>
        <v>ARKWH5</v>
      </c>
      <c r="H116" s="42" t="str">
        <f>IFERROR(__xludf.DUMMYFUNCTION("""COMPUTED_VALUE"""),"Logic")</f>
        <v>Logic</v>
      </c>
      <c r="I116" s="46" t="str">
        <f>IFERROR(__xludf.DUMMYFUNCTION("""COMPUTED_VALUE"""),"https://repl.it/@ParkD/Week-5#index.js")</f>
        <v>https://repl.it/@ParkD/Week-5#index.js</v>
      </c>
      <c r="J116" s="42"/>
      <c r="K116" s="42"/>
      <c r="L116" s="42">
        <f>IFERROR(__xludf.DUMMYFUNCTION("""COMPUTED_VALUE"""),2.0)</f>
        <v>2</v>
      </c>
      <c r="M116" s="42"/>
    </row>
    <row r="117">
      <c r="A117" s="43">
        <f>IFERROR(__xludf.DUMMYFUNCTION("""COMPUTED_VALUE"""),44034.59845859953)</f>
        <v>44034.59846</v>
      </c>
      <c r="B117" s="42" t="str">
        <f>IFERROR(__xludf.DUMMYFUNCTION("""COMPUTED_VALUE"""),"Luthfi Widya Ekakusuma")</f>
        <v>Luthfi Widya Ekakusuma</v>
      </c>
      <c r="C117" s="42" t="str">
        <f>IFERROR(__xludf.DUMMYFUNCTION("""COMPUTED_VALUE"""),"Online")</f>
        <v>Online</v>
      </c>
      <c r="D117" s="42" t="str">
        <f>IFERROR(__xludf.DUMMYFUNCTION("""COMPUTED_VALUE"""),"Fullstack Mobile Developer")</f>
        <v>Fullstack Mobile Developer</v>
      </c>
      <c r="E117" s="42">
        <f>IFERROR(__xludf.DUMMYFUNCTION("""COMPUTED_VALUE"""),16.0)</f>
        <v>16</v>
      </c>
      <c r="F117" s="42">
        <f>IFERROR(__xludf.DUMMYFUNCTION("""COMPUTED_VALUE"""),2.0)</f>
        <v>2</v>
      </c>
      <c r="G117" s="42" t="str">
        <f>IFERROR(__xludf.DUMMYFUNCTION("""COMPUTED_VALUE"""),"ARKWH5")</f>
        <v>ARKWH5</v>
      </c>
      <c r="H117" s="42" t="str">
        <f>IFERROR(__xludf.DUMMYFUNCTION("""COMPUTED_VALUE"""),"Logic")</f>
        <v>Logic</v>
      </c>
      <c r="I117" s="46" t="str">
        <f>IFERROR(__xludf.DUMMYFUNCTION("""COMPUTED_VALUE"""),"https://playcode.io/639611")</f>
        <v>https://playcode.io/639611</v>
      </c>
      <c r="J117" s="42"/>
      <c r="K117" s="42"/>
      <c r="L117" s="42">
        <f>IFERROR(__xludf.DUMMYFUNCTION("""COMPUTED_VALUE"""),0.0)</f>
        <v>0</v>
      </c>
      <c r="M117" s="42" t="str">
        <f>IFERROR(__xludf.DUMMYFUNCTION("""COMPUTED_VALUE"""),"Output tidak sesuai")</f>
        <v>Output tidak sesuai</v>
      </c>
    </row>
    <row r="118">
      <c r="A118" s="43">
        <f>IFERROR(__xludf.DUMMYFUNCTION("""COMPUTED_VALUE"""),44034.5984755324)</f>
        <v>44034.59848</v>
      </c>
      <c r="B118" s="42" t="str">
        <f>IFERROR(__xludf.DUMMYFUNCTION("""COMPUTED_VALUE"""),"Daniel")</f>
        <v>Daniel</v>
      </c>
      <c r="C118" s="42" t="str">
        <f>IFERROR(__xludf.DUMMYFUNCTION("""COMPUTED_VALUE"""),"Online")</f>
        <v>Online</v>
      </c>
      <c r="D118" s="42" t="str">
        <f>IFERROR(__xludf.DUMMYFUNCTION("""COMPUTED_VALUE"""),"Fullstack Mobile Developer")</f>
        <v>Fullstack Mobile Developer</v>
      </c>
      <c r="E118" s="42">
        <f>IFERROR(__xludf.DUMMYFUNCTION("""COMPUTED_VALUE"""),16.0)</f>
        <v>16</v>
      </c>
      <c r="F118" s="42">
        <f>IFERROR(__xludf.DUMMYFUNCTION("""COMPUTED_VALUE"""),3.0)</f>
        <v>3</v>
      </c>
      <c r="G118" s="42" t="str">
        <f>IFERROR(__xludf.DUMMYFUNCTION("""COMPUTED_VALUE"""),"ARKWH5")</f>
        <v>ARKWH5</v>
      </c>
      <c r="H118" s="42" t="str">
        <f>IFERROR(__xludf.DUMMYFUNCTION("""COMPUTED_VALUE"""),"Logic")</f>
        <v>Logic</v>
      </c>
      <c r="I118" s="46" t="str">
        <f>IFERROR(__xludf.DUMMYFUNCTION("""COMPUTED_VALUE"""),"https://repl.it/@danielwetan/Weekly-Quiz-5-Arkademy#index.js")</f>
        <v>https://repl.it/@danielwetan/Weekly-Quiz-5-Arkademy#index.js</v>
      </c>
      <c r="J118" s="42"/>
      <c r="K118" s="42"/>
      <c r="L118" s="42">
        <f>IFERROR(__xludf.DUMMYFUNCTION("""COMPUTED_VALUE"""),0.0)</f>
        <v>0</v>
      </c>
      <c r="M118" s="42" t="str">
        <f>IFERROR(__xludf.DUMMYFUNCTION("""COMPUTED_VALUE"""),"fungsi salah")</f>
        <v>fungsi salah</v>
      </c>
    </row>
    <row r="119">
      <c r="A119" s="43">
        <f>IFERROR(__xludf.DUMMYFUNCTION("""COMPUTED_VALUE"""),44034.59877413194)</f>
        <v>44034.59877</v>
      </c>
      <c r="B119" s="42" t="str">
        <f>IFERROR(__xludf.DUMMYFUNCTION("""COMPUTED_VALUE"""),"Faris Ramadhan")</f>
        <v>Faris Ramadhan</v>
      </c>
      <c r="C119" s="42" t="str">
        <f>IFERROR(__xludf.DUMMYFUNCTION("""COMPUTED_VALUE"""),"Online")</f>
        <v>Online</v>
      </c>
      <c r="D119" s="42" t="str">
        <f>IFERROR(__xludf.DUMMYFUNCTION("""COMPUTED_VALUE"""),"Fullstack Mobile Developer")</f>
        <v>Fullstack Mobile Developer</v>
      </c>
      <c r="E119" s="42">
        <f>IFERROR(__xludf.DUMMYFUNCTION("""COMPUTED_VALUE"""),16.0)</f>
        <v>16</v>
      </c>
      <c r="F119" s="42">
        <f>IFERROR(__xludf.DUMMYFUNCTION("""COMPUTED_VALUE"""),3.0)</f>
        <v>3</v>
      </c>
      <c r="G119" s="42" t="str">
        <f>IFERROR(__xludf.DUMMYFUNCTION("""COMPUTED_VALUE"""),"ARKWH5")</f>
        <v>ARKWH5</v>
      </c>
      <c r="H119" s="42" t="str">
        <f>IFERROR(__xludf.DUMMYFUNCTION("""COMPUTED_VALUE"""),"Logic")</f>
        <v>Logic</v>
      </c>
      <c r="I119" s="46" t="str">
        <f>IFERROR(__xludf.DUMMYFUNCTION("""COMPUTED_VALUE"""),"https://repl.it/join/mgrsmuew-knocknockguessw")</f>
        <v>https://repl.it/join/mgrsmuew-knocknockguessw</v>
      </c>
      <c r="J119" s="42"/>
      <c r="K119" s="42"/>
      <c r="L119" s="42">
        <f>IFERROR(__xludf.DUMMYFUNCTION("""COMPUTED_VALUE"""),0.0)</f>
        <v>0</v>
      </c>
      <c r="M119" s="42" t="str">
        <f>IFERROR(__xludf.DUMMYFUNCTION("""COMPUTED_VALUE"""),"code tidak bisa diakses")</f>
        <v>code tidak bisa diakses</v>
      </c>
    </row>
    <row r="120">
      <c r="A120" s="43">
        <f>IFERROR(__xludf.DUMMYFUNCTION("""COMPUTED_VALUE"""),44034.59921267361)</f>
        <v>44034.59921</v>
      </c>
      <c r="B120" s="42" t="str">
        <f>IFERROR(__xludf.DUMMYFUNCTION("""COMPUTED_VALUE"""),"Dimas Wahyu Juhair Mokodompit")</f>
        <v>Dimas Wahyu Juhair Mokodompit</v>
      </c>
      <c r="C120" s="42" t="str">
        <f>IFERROR(__xludf.DUMMYFUNCTION("""COMPUTED_VALUE"""),"Online")</f>
        <v>Online</v>
      </c>
      <c r="D120" s="42" t="str">
        <f>IFERROR(__xludf.DUMMYFUNCTION("""COMPUTED_VALUE"""),"Fullstack Mobile Developer")</f>
        <v>Fullstack Mobile Developer</v>
      </c>
      <c r="E120" s="42">
        <f>IFERROR(__xludf.DUMMYFUNCTION("""COMPUTED_VALUE"""),16.0)</f>
        <v>16</v>
      </c>
      <c r="F120" s="42">
        <f>IFERROR(__xludf.DUMMYFUNCTION("""COMPUTED_VALUE"""),3.0)</f>
        <v>3</v>
      </c>
      <c r="G120" s="42" t="str">
        <f>IFERROR(__xludf.DUMMYFUNCTION("""COMPUTED_VALUE"""),"ARKWH5")</f>
        <v>ARKWH5</v>
      </c>
      <c r="H120" s="42" t="str">
        <f>IFERROR(__xludf.DUMMYFUNCTION("""COMPUTED_VALUE"""),"Logic")</f>
        <v>Logic</v>
      </c>
      <c r="I120" s="46" t="str">
        <f>IFERROR(__xludf.DUMMYFUNCTION("""COMPUTED_VALUE"""),"https://repl.it/@DimasMokodompit/Weekly-Quiz-5#index.js")</f>
        <v>https://repl.it/@DimasMokodompit/Weekly-Quiz-5#index.js</v>
      </c>
      <c r="J120" s="42"/>
      <c r="K120" s="42"/>
      <c r="L120" s="42">
        <f>IFERROR(__xludf.DUMMYFUNCTION("""COMPUTED_VALUE"""),0.8)</f>
        <v>0.8</v>
      </c>
      <c r="M120" s="42" t="str">
        <f>IFERROR(__xludf.DUMMYFUNCTION("""COMPUTED_VALUE"""),"Output kurang seusai")</f>
        <v>Output kurang seusai</v>
      </c>
    </row>
    <row r="121">
      <c r="A121" s="43">
        <f>IFERROR(__xludf.DUMMYFUNCTION("""COMPUTED_VALUE"""),44041.606889166665)</f>
        <v>44041.60689</v>
      </c>
      <c r="B121" s="42" t="str">
        <f>IFERROR(__xludf.DUMMYFUNCTION("""COMPUTED_VALUE"""),"Muhamad Adam")</f>
        <v>Muhamad Adam</v>
      </c>
      <c r="C121" s="42" t="str">
        <f>IFERROR(__xludf.DUMMYFUNCTION("""COMPUTED_VALUE"""),"Online")</f>
        <v>Online</v>
      </c>
      <c r="D121" s="42" t="str">
        <f>IFERROR(__xludf.DUMMYFUNCTION("""COMPUTED_VALUE"""),"Fullstack Mobile Developer")</f>
        <v>Fullstack Mobile Developer</v>
      </c>
      <c r="E121" s="42">
        <f>IFERROR(__xludf.DUMMYFUNCTION("""COMPUTED_VALUE"""),16.0)</f>
        <v>16</v>
      </c>
      <c r="F121" s="42">
        <f>IFERROR(__xludf.DUMMYFUNCTION("""COMPUTED_VALUE"""),2.0)</f>
        <v>2</v>
      </c>
      <c r="G121" s="42" t="str">
        <f>IFERROR(__xludf.DUMMYFUNCTION("""COMPUTED_VALUE"""),"ARKWH6")</f>
        <v>ARKWH6</v>
      </c>
      <c r="H121" s="42" t="str">
        <f>IFERROR(__xludf.DUMMYFUNCTION("""COMPUTED_VALUE"""),"JavaScript")</f>
        <v>JavaScript</v>
      </c>
      <c r="I121" s="46" t="str">
        <f>IFERROR(__xludf.DUMMYFUNCTION("""COMPUTED_VALUE"""),"https://repl.it/@MuhamadAdam/ARKWH6#index.js")</f>
        <v>https://repl.it/@MuhamadAdam/ARKWH6#index.js</v>
      </c>
      <c r="J121" s="42"/>
      <c r="K121" s="42"/>
      <c r="L121" s="42">
        <f>IFERROR(__xludf.DUMMYFUNCTION("""COMPUTED_VALUE"""),0.25)</f>
        <v>0.25</v>
      </c>
      <c r="M121" s="42"/>
    </row>
    <row r="122">
      <c r="A122" s="43">
        <f>IFERROR(__xludf.DUMMYFUNCTION("""COMPUTED_VALUE"""),44041.61163082176)</f>
        <v>44041.61163</v>
      </c>
      <c r="B122" s="42" t="str">
        <f>IFERROR(__xludf.DUMMYFUNCTION("""COMPUTED_VALUE"""),"Wildan Dhya Ulhaq Hidayat")</f>
        <v>Wildan Dhya Ulhaq Hidayat</v>
      </c>
      <c r="C122" s="42" t="str">
        <f>IFERROR(__xludf.DUMMYFUNCTION("""COMPUTED_VALUE"""),"Online")</f>
        <v>Online</v>
      </c>
      <c r="D122" s="42" t="str">
        <f>IFERROR(__xludf.DUMMYFUNCTION("""COMPUTED_VALUE"""),"Fullstack Mobile Developer")</f>
        <v>Fullstack Mobile Developer</v>
      </c>
      <c r="E122" s="42">
        <f>IFERROR(__xludf.DUMMYFUNCTION("""COMPUTED_VALUE"""),17.0)</f>
        <v>17</v>
      </c>
      <c r="F122" s="42">
        <f>IFERROR(__xludf.DUMMYFUNCTION("""COMPUTED_VALUE"""),1.0)</f>
        <v>1</v>
      </c>
      <c r="G122" s="42" t="str">
        <f>IFERROR(__xludf.DUMMYFUNCTION("""COMPUTED_VALUE"""),"ARKWH6")</f>
        <v>ARKWH6</v>
      </c>
      <c r="H122" s="42" t="str">
        <f>IFERROR(__xludf.DUMMYFUNCTION("""COMPUTED_VALUE"""),"JavaScript")</f>
        <v>JavaScript</v>
      </c>
      <c r="I122" s="46" t="str">
        <f>IFERROR(__xludf.DUMMYFUNCTION("""COMPUTED_VALUE"""),"https://playcode.io/643273")</f>
        <v>https://playcode.io/643273</v>
      </c>
      <c r="J122" s="42"/>
      <c r="K122" s="42"/>
      <c r="L122" s="42">
        <f>IFERROR(__xludf.DUMMYFUNCTION("""COMPUTED_VALUE"""),0.75)</f>
        <v>0.75</v>
      </c>
      <c r="M122" s="42"/>
    </row>
    <row r="123">
      <c r="A123" s="43">
        <f>IFERROR(__xludf.DUMMYFUNCTION("""COMPUTED_VALUE"""),44041.61311884259)</f>
        <v>44041.61312</v>
      </c>
      <c r="B123" s="42" t="str">
        <f>IFERROR(__xludf.DUMMYFUNCTION("""COMPUTED_VALUE"""),"M Ismoyo Setyonowidagdo")</f>
        <v>M Ismoyo Setyonowidagdo</v>
      </c>
      <c r="C123" s="42" t="str">
        <f>IFERROR(__xludf.DUMMYFUNCTION("""COMPUTED_VALUE"""),"Online")</f>
        <v>Online</v>
      </c>
      <c r="D123" s="42" t="str">
        <f>IFERROR(__xludf.DUMMYFUNCTION("""COMPUTED_VALUE"""),"Fullstack Mobile Developer")</f>
        <v>Fullstack Mobile Developer</v>
      </c>
      <c r="E123" s="42">
        <f>IFERROR(__xludf.DUMMYFUNCTION("""COMPUTED_VALUE"""),16.0)</f>
        <v>16</v>
      </c>
      <c r="F123" s="42">
        <f>IFERROR(__xludf.DUMMYFUNCTION("""COMPUTED_VALUE"""),3.0)</f>
        <v>3</v>
      </c>
      <c r="G123" s="42" t="str">
        <f>IFERROR(__xludf.DUMMYFUNCTION("""COMPUTED_VALUE"""),"ARKWH5")</f>
        <v>ARKWH5</v>
      </c>
      <c r="H123" s="42" t="str">
        <f>IFERROR(__xludf.DUMMYFUNCTION("""COMPUTED_VALUE"""),"Logic")</f>
        <v>Logic</v>
      </c>
      <c r="I123" s="46" t="str">
        <f>IFERROR(__xludf.DUMMYFUNCTION("""COMPUTED_VALUE"""),"https://playcode.io/643269/")</f>
        <v>https://playcode.io/643269/</v>
      </c>
      <c r="J123" s="42"/>
      <c r="K123" s="42"/>
      <c r="L123" s="42"/>
      <c r="M123" s="42"/>
    </row>
    <row r="124">
      <c r="A124" s="43">
        <f>IFERROR(__xludf.DUMMYFUNCTION("""COMPUTED_VALUE"""),44041.61523898148)</f>
        <v>44041.61524</v>
      </c>
      <c r="B124" s="42" t="str">
        <f>IFERROR(__xludf.DUMMYFUNCTION("""COMPUTED_VALUE"""),"Muhamad Abiyasa Sastra Wardana")</f>
        <v>Muhamad Abiyasa Sastra Wardana</v>
      </c>
      <c r="C124" s="42" t="str">
        <f>IFERROR(__xludf.DUMMYFUNCTION("""COMPUTED_VALUE"""),"Online")</f>
        <v>Online</v>
      </c>
      <c r="D124" s="42" t="str">
        <f>IFERROR(__xludf.DUMMYFUNCTION("""COMPUTED_VALUE"""),"Fullstack Mobile Developer")</f>
        <v>Fullstack Mobile Developer</v>
      </c>
      <c r="E124" s="42">
        <f>IFERROR(__xludf.DUMMYFUNCTION("""COMPUTED_VALUE"""),16.0)</f>
        <v>16</v>
      </c>
      <c r="F124" s="42">
        <f>IFERROR(__xludf.DUMMYFUNCTION("""COMPUTED_VALUE"""),3.0)</f>
        <v>3</v>
      </c>
      <c r="G124" s="42" t="str">
        <f>IFERROR(__xludf.DUMMYFUNCTION("""COMPUTED_VALUE"""),"ARKWH6")</f>
        <v>ARKWH6</v>
      </c>
      <c r="H124" s="42" t="str">
        <f>IFERROR(__xludf.DUMMYFUNCTION("""COMPUTED_VALUE"""),"JavaScript")</f>
        <v>JavaScript</v>
      </c>
      <c r="I124" s="46" t="str">
        <f>IFERROR(__xludf.DUMMYFUNCTION("""COMPUTED_VALUE"""),"https://repl.it/@byasaa/Quiz-Weekly-6#index.js")</f>
        <v>https://repl.it/@byasaa/Quiz-Weekly-6#index.js</v>
      </c>
      <c r="J124" s="42"/>
      <c r="K124" s="42"/>
      <c r="L124" s="42">
        <f>IFERROR(__xludf.DUMMYFUNCTION("""COMPUTED_VALUE"""),1.25)</f>
        <v>1.25</v>
      </c>
      <c r="M124" s="42"/>
    </row>
    <row r="125">
      <c r="A125" s="43">
        <f>IFERROR(__xludf.DUMMYFUNCTION("""COMPUTED_VALUE"""),44041.61547693287)</f>
        <v>44041.61548</v>
      </c>
      <c r="B125" s="42" t="str">
        <f>IFERROR(__xludf.DUMMYFUNCTION("""COMPUTED_VALUE"""),"Alifkhi miftahul janah")</f>
        <v>Alifkhi miftahul janah</v>
      </c>
      <c r="C125" s="42" t="str">
        <f>IFERROR(__xludf.DUMMYFUNCTION("""COMPUTED_VALUE"""),"Online")</f>
        <v>Online</v>
      </c>
      <c r="D125" s="42" t="str">
        <f>IFERROR(__xludf.DUMMYFUNCTION("""COMPUTED_VALUE"""),"Fullstack Mobile Developer")</f>
        <v>Fullstack Mobile Developer</v>
      </c>
      <c r="E125" s="42">
        <f>IFERROR(__xludf.DUMMYFUNCTION("""COMPUTED_VALUE"""),16.0)</f>
        <v>16</v>
      </c>
      <c r="F125" s="42">
        <f>IFERROR(__xludf.DUMMYFUNCTION("""COMPUTED_VALUE"""),3.0)</f>
        <v>3</v>
      </c>
      <c r="G125" s="42" t="str">
        <f>IFERROR(__xludf.DUMMYFUNCTION("""COMPUTED_VALUE"""),"ARKWH6")</f>
        <v>ARKWH6</v>
      </c>
      <c r="H125" s="42" t="str">
        <f>IFERROR(__xludf.DUMMYFUNCTION("""COMPUTED_VALUE"""),"JavaScript")</f>
        <v>JavaScript</v>
      </c>
      <c r="I125" s="46" t="str">
        <f>IFERROR(__xludf.DUMMYFUNCTION("""COMPUTED_VALUE"""),"https://docs.google.com/document/d/1_VqDq_gEUKQmBCl-IB7_hJHqj_UNNNv_ebpGbloXPzM/edit?usp=sharing")</f>
        <v>https://docs.google.com/document/d/1_VqDq_gEUKQmBCl-IB7_hJHqj_UNNNv_ebpGbloXPzM/edit?usp=sharing</v>
      </c>
      <c r="J125" s="42"/>
      <c r="K125" s="42"/>
      <c r="L125" s="42">
        <f>IFERROR(__xludf.DUMMYFUNCTION("""COMPUTED_VALUE"""),0.75)</f>
        <v>0.75</v>
      </c>
      <c r="M125" s="42"/>
    </row>
    <row r="126">
      <c r="A126" s="43">
        <f>IFERROR(__xludf.DUMMYFUNCTION("""COMPUTED_VALUE"""),44041.61595206019)</f>
        <v>44041.61595</v>
      </c>
      <c r="B126" s="42" t="str">
        <f>IFERROR(__xludf.DUMMYFUNCTION("""COMPUTED_VALUE"""),"Ahmad Zaky")</f>
        <v>Ahmad Zaky</v>
      </c>
      <c r="C126" s="42" t="str">
        <f>IFERROR(__xludf.DUMMYFUNCTION("""COMPUTED_VALUE"""),"Online")</f>
        <v>Online</v>
      </c>
      <c r="D126" s="42" t="str">
        <f>IFERROR(__xludf.DUMMYFUNCTION("""COMPUTED_VALUE"""),"Fullstack Mobile Developer")</f>
        <v>Fullstack Mobile Developer</v>
      </c>
      <c r="E126" s="42">
        <f>IFERROR(__xludf.DUMMYFUNCTION("""COMPUTED_VALUE"""),17.0)</f>
        <v>17</v>
      </c>
      <c r="F126" s="42">
        <f>IFERROR(__xludf.DUMMYFUNCTION("""COMPUTED_VALUE"""),1.0)</f>
        <v>1</v>
      </c>
      <c r="G126" s="42" t="str">
        <f>IFERROR(__xludf.DUMMYFUNCTION("""COMPUTED_VALUE"""),"ARKWH6")</f>
        <v>ARKWH6</v>
      </c>
      <c r="H126" s="42" t="str">
        <f>IFERROR(__xludf.DUMMYFUNCTION("""COMPUTED_VALUE"""),"JavaScript")</f>
        <v>JavaScript</v>
      </c>
      <c r="I126" s="46" t="str">
        <f>IFERROR(__xludf.DUMMYFUNCTION("""COMPUTED_VALUE"""),"http://playcode.io/643276/")</f>
        <v>http://playcode.io/643276/</v>
      </c>
      <c r="J126" s="42"/>
      <c r="K126" s="42"/>
      <c r="L126" s="42">
        <f>IFERROR(__xludf.DUMMYFUNCTION("""COMPUTED_VALUE"""),1.0)</f>
        <v>1</v>
      </c>
      <c r="M126" s="42"/>
    </row>
    <row r="127">
      <c r="A127" s="43">
        <f>IFERROR(__xludf.DUMMYFUNCTION("""COMPUTED_VALUE"""),44041.6159695949)</f>
        <v>44041.61597</v>
      </c>
      <c r="B127" s="42" t="str">
        <f>IFERROR(__xludf.DUMMYFUNCTION("""COMPUTED_VALUE"""),"Ilham Bagas Saputra")</f>
        <v>Ilham Bagas Saputra</v>
      </c>
      <c r="C127" s="42" t="str">
        <f>IFERROR(__xludf.DUMMYFUNCTION("""COMPUTED_VALUE"""),"Online")</f>
        <v>Online</v>
      </c>
      <c r="D127" s="42" t="str">
        <f>IFERROR(__xludf.DUMMYFUNCTION("""COMPUTED_VALUE"""),"Fullstack Mobile Developer")</f>
        <v>Fullstack Mobile Developer</v>
      </c>
      <c r="E127" s="42">
        <f>IFERROR(__xludf.DUMMYFUNCTION("""COMPUTED_VALUE"""),16.0)</f>
        <v>16</v>
      </c>
      <c r="F127" s="42">
        <f>IFERROR(__xludf.DUMMYFUNCTION("""COMPUTED_VALUE"""),2.0)</f>
        <v>2</v>
      </c>
      <c r="G127" s="42" t="str">
        <f>IFERROR(__xludf.DUMMYFUNCTION("""COMPUTED_VALUE"""),"ARKWH6")</f>
        <v>ARKWH6</v>
      </c>
      <c r="H127" s="42" t="str">
        <f>IFERROR(__xludf.DUMMYFUNCTION("""COMPUTED_VALUE"""),"JavaScript")</f>
        <v>JavaScript</v>
      </c>
      <c r="I127" s="46" t="str">
        <f>IFERROR(__xludf.DUMMYFUNCTION("""COMPUTED_VALUE"""),"https://drive.google.com/file/d/1rGXirif8UXrvOBU1f7BhZcAIxnKFouJ8/view?usp=sharing")</f>
        <v>https://drive.google.com/file/d/1rGXirif8UXrvOBU1f7BhZcAIxnKFouJ8/view?usp=sharing</v>
      </c>
      <c r="J127" s="42"/>
      <c r="K127" s="42"/>
      <c r="L127" s="42">
        <f>IFERROR(__xludf.DUMMYFUNCTION("""COMPUTED_VALUE"""),1.0)</f>
        <v>1</v>
      </c>
      <c r="M127" s="42"/>
    </row>
    <row r="128">
      <c r="A128" s="43">
        <f>IFERROR(__xludf.DUMMYFUNCTION("""COMPUTED_VALUE"""),44041.61629160879)</f>
        <v>44041.61629</v>
      </c>
      <c r="B128" s="42" t="str">
        <f>IFERROR(__xludf.DUMMYFUNCTION("""COMPUTED_VALUE"""),"Solehudin")</f>
        <v>Solehudin</v>
      </c>
      <c r="C128" s="42" t="str">
        <f>IFERROR(__xludf.DUMMYFUNCTION("""COMPUTED_VALUE"""),"Online")</f>
        <v>Online</v>
      </c>
      <c r="D128" s="42" t="str">
        <f>IFERROR(__xludf.DUMMYFUNCTION("""COMPUTED_VALUE"""),"Fullstack Mobile Developer")</f>
        <v>Fullstack Mobile Developer</v>
      </c>
      <c r="E128" s="42">
        <f>IFERROR(__xludf.DUMMYFUNCTION("""COMPUTED_VALUE"""),17.0)</f>
        <v>17</v>
      </c>
      <c r="F128" s="42">
        <f>IFERROR(__xludf.DUMMYFUNCTION("""COMPUTED_VALUE"""),1.0)</f>
        <v>1</v>
      </c>
      <c r="G128" s="42" t="str">
        <f>IFERROR(__xludf.DUMMYFUNCTION("""COMPUTED_VALUE"""),"ARKWH6")</f>
        <v>ARKWH6</v>
      </c>
      <c r="H128" s="42" t="str">
        <f>IFERROR(__xludf.DUMMYFUNCTION("""COMPUTED_VALUE"""),"JavaScript")</f>
        <v>JavaScript</v>
      </c>
      <c r="I128" s="46" t="str">
        <f>IFERROR(__xludf.DUMMYFUNCTION("""COMPUTED_VALUE"""),"https://playcode.io/643265")</f>
        <v>https://playcode.io/643265</v>
      </c>
      <c r="J128" s="42"/>
      <c r="K128" s="42"/>
      <c r="L128" s="42">
        <f>IFERROR(__xludf.DUMMYFUNCTION("""COMPUTED_VALUE"""),0.5)</f>
        <v>0.5</v>
      </c>
      <c r="M128" s="42"/>
    </row>
    <row r="129">
      <c r="A129" s="43">
        <f>IFERROR(__xludf.DUMMYFUNCTION("""COMPUTED_VALUE"""),44041.61645612269)</f>
        <v>44041.61646</v>
      </c>
      <c r="B129" s="42" t="str">
        <f>IFERROR(__xludf.DUMMYFUNCTION("""COMPUTED_VALUE"""),"Yusup Junaedi")</f>
        <v>Yusup Junaedi</v>
      </c>
      <c r="C129" s="42" t="str">
        <f>IFERROR(__xludf.DUMMYFUNCTION("""COMPUTED_VALUE"""),"Online")</f>
        <v>Online</v>
      </c>
      <c r="D129" s="42" t="str">
        <f>IFERROR(__xludf.DUMMYFUNCTION("""COMPUTED_VALUE"""),"Fullstack Mobile Developer")</f>
        <v>Fullstack Mobile Developer</v>
      </c>
      <c r="E129" s="42">
        <f>IFERROR(__xludf.DUMMYFUNCTION("""COMPUTED_VALUE"""),17.0)</f>
        <v>17</v>
      </c>
      <c r="F129" s="42">
        <f>IFERROR(__xludf.DUMMYFUNCTION("""COMPUTED_VALUE"""),1.0)</f>
        <v>1</v>
      </c>
      <c r="G129" s="42" t="str">
        <f>IFERROR(__xludf.DUMMYFUNCTION("""COMPUTED_VALUE"""),"ARKWH6")</f>
        <v>ARKWH6</v>
      </c>
      <c r="H129" s="42" t="str">
        <f>IFERROR(__xludf.DUMMYFUNCTION("""COMPUTED_VALUE"""),"JavaScript")</f>
        <v>JavaScript</v>
      </c>
      <c r="I129" s="46" t="str">
        <f>IFERROR(__xludf.DUMMYFUNCTION("""COMPUTED_VALUE"""),"https://playcode.io/643272/")</f>
        <v>https://playcode.io/643272/</v>
      </c>
      <c r="J129" s="42"/>
      <c r="K129" s="42"/>
      <c r="L129" s="42">
        <f>IFERROR(__xludf.DUMMYFUNCTION("""COMPUTED_VALUE"""),1.0)</f>
        <v>1</v>
      </c>
      <c r="M129" s="42"/>
    </row>
    <row r="130">
      <c r="A130" s="43">
        <f>IFERROR(__xludf.DUMMYFUNCTION("""COMPUTED_VALUE"""),44041.617127627316)</f>
        <v>44041.61713</v>
      </c>
      <c r="B130" s="42" t="str">
        <f>IFERROR(__xludf.DUMMYFUNCTION("""COMPUTED_VALUE"""),"Faiz Sulistyawan")</f>
        <v>Faiz Sulistyawan</v>
      </c>
      <c r="C130" s="42" t="str">
        <f>IFERROR(__xludf.DUMMYFUNCTION("""COMPUTED_VALUE"""),"Online")</f>
        <v>Online</v>
      </c>
      <c r="D130" s="42" t="str">
        <f>IFERROR(__xludf.DUMMYFUNCTION("""COMPUTED_VALUE"""),"Fullstack Mobile Developer")</f>
        <v>Fullstack Mobile Developer</v>
      </c>
      <c r="E130" s="42">
        <f>IFERROR(__xludf.DUMMYFUNCTION("""COMPUTED_VALUE"""),17.0)</f>
        <v>17</v>
      </c>
      <c r="F130" s="42">
        <f>IFERROR(__xludf.DUMMYFUNCTION("""COMPUTED_VALUE"""),1.0)</f>
        <v>1</v>
      </c>
      <c r="G130" s="42" t="str">
        <f>IFERROR(__xludf.DUMMYFUNCTION("""COMPUTED_VALUE"""),"ARKWH6")</f>
        <v>ARKWH6</v>
      </c>
      <c r="H130" s="42" t="str">
        <f>IFERROR(__xludf.DUMMYFUNCTION("""COMPUTED_VALUE"""),"JavaScript")</f>
        <v>JavaScript</v>
      </c>
      <c r="I130" s="46" t="str">
        <f>IFERROR(__xludf.DUMMYFUNCTION("""COMPUTED_VALUE"""),"https://playcode.io/643284/")</f>
        <v>https://playcode.io/643284/</v>
      </c>
      <c r="J130" s="42"/>
      <c r="K130" s="42"/>
      <c r="L130" s="42">
        <f>IFERROR(__xludf.DUMMYFUNCTION("""COMPUTED_VALUE"""),1.0)</f>
        <v>1</v>
      </c>
      <c r="M130" s="42"/>
    </row>
    <row r="131">
      <c r="A131" s="43">
        <f>IFERROR(__xludf.DUMMYFUNCTION("""COMPUTED_VALUE"""),44041.617173287035)</f>
        <v>44041.61717</v>
      </c>
      <c r="B131" s="42" t="str">
        <f>IFERROR(__xludf.DUMMYFUNCTION("""COMPUTED_VALUE"""),"Ghana Widya Afani")</f>
        <v>Ghana Widya Afani</v>
      </c>
      <c r="C131" s="42" t="str">
        <f>IFERROR(__xludf.DUMMYFUNCTION("""COMPUTED_VALUE"""),"Online")</f>
        <v>Online</v>
      </c>
      <c r="D131" s="42" t="str">
        <f>IFERROR(__xludf.DUMMYFUNCTION("""COMPUTED_VALUE"""),"Fullstack Mobile Developer")</f>
        <v>Fullstack Mobile Developer</v>
      </c>
      <c r="E131" s="42">
        <f>IFERROR(__xludf.DUMMYFUNCTION("""COMPUTED_VALUE"""),17.0)</f>
        <v>17</v>
      </c>
      <c r="F131" s="42">
        <f>IFERROR(__xludf.DUMMYFUNCTION("""COMPUTED_VALUE"""),1.0)</f>
        <v>1</v>
      </c>
      <c r="G131" s="42" t="str">
        <f>IFERROR(__xludf.DUMMYFUNCTION("""COMPUTED_VALUE"""),"ARKWH6")</f>
        <v>ARKWH6</v>
      </c>
      <c r="H131" s="42" t="str">
        <f>IFERROR(__xludf.DUMMYFUNCTION("""COMPUTED_VALUE"""),"JavaScript")</f>
        <v>JavaScript</v>
      </c>
      <c r="I131" s="46" t="str">
        <f>IFERROR(__xludf.DUMMYFUNCTION("""COMPUTED_VALUE"""),"https://playcode.io/643274/")</f>
        <v>https://playcode.io/643274/</v>
      </c>
      <c r="J131" s="42"/>
      <c r="K131" s="42"/>
      <c r="L131" s="42">
        <f>IFERROR(__xludf.DUMMYFUNCTION("""COMPUTED_VALUE"""),1.0)</f>
        <v>1</v>
      </c>
      <c r="M131" s="42"/>
    </row>
    <row r="132">
      <c r="A132" s="43">
        <f>IFERROR(__xludf.DUMMYFUNCTION("""COMPUTED_VALUE"""),44041.6174404051)</f>
        <v>44041.61744</v>
      </c>
      <c r="B132" s="42" t="str">
        <f>IFERROR(__xludf.DUMMYFUNCTION("""COMPUTED_VALUE"""),"Taufiq Widi")</f>
        <v>Taufiq Widi</v>
      </c>
      <c r="C132" s="42" t="str">
        <f>IFERROR(__xludf.DUMMYFUNCTION("""COMPUTED_VALUE"""),"Online")</f>
        <v>Online</v>
      </c>
      <c r="D132" s="42" t="str">
        <f>IFERROR(__xludf.DUMMYFUNCTION("""COMPUTED_VALUE"""),"Fullstack Mobile Developer")</f>
        <v>Fullstack Mobile Developer</v>
      </c>
      <c r="E132" s="42">
        <f>IFERROR(__xludf.DUMMYFUNCTION("""COMPUTED_VALUE"""),17.0)</f>
        <v>17</v>
      </c>
      <c r="F132" s="42">
        <f>IFERROR(__xludf.DUMMYFUNCTION("""COMPUTED_VALUE"""),1.0)</f>
        <v>1</v>
      </c>
      <c r="G132" s="42" t="str">
        <f>IFERROR(__xludf.DUMMYFUNCTION("""COMPUTED_VALUE"""),"ARKWH6")</f>
        <v>ARKWH6</v>
      </c>
      <c r="H132" s="42" t="str">
        <f>IFERROR(__xludf.DUMMYFUNCTION("""COMPUTED_VALUE"""),"JavaScript")</f>
        <v>JavaScript</v>
      </c>
      <c r="I132" s="46" t="str">
        <f>IFERROR(__xludf.DUMMYFUNCTION("""COMPUTED_VALUE"""),"http://playcode.io/643264/")</f>
        <v>http://playcode.io/643264/</v>
      </c>
      <c r="J132" s="42"/>
      <c r="K132" s="42"/>
      <c r="L132" s="42">
        <f>IFERROR(__xludf.DUMMYFUNCTION("""COMPUTED_VALUE"""),1.0)</f>
        <v>1</v>
      </c>
      <c r="M132" s="42"/>
    </row>
    <row r="133">
      <c r="A133" s="43">
        <f>IFERROR(__xludf.DUMMYFUNCTION("""COMPUTED_VALUE"""),44041.6175012037)</f>
        <v>44041.6175</v>
      </c>
      <c r="B133" s="42" t="str">
        <f>IFERROR(__xludf.DUMMYFUNCTION("""COMPUTED_VALUE"""),"Prio Arief Gunawan")</f>
        <v>Prio Arief Gunawan</v>
      </c>
      <c r="C133" s="42" t="str">
        <f>IFERROR(__xludf.DUMMYFUNCTION("""COMPUTED_VALUE"""),"Online")</f>
        <v>Online</v>
      </c>
      <c r="D133" s="42" t="str">
        <f>IFERROR(__xludf.DUMMYFUNCTION("""COMPUTED_VALUE"""),"Fullstack Mobile Developer")</f>
        <v>Fullstack Mobile Developer</v>
      </c>
      <c r="E133" s="42">
        <f>IFERROR(__xludf.DUMMYFUNCTION("""COMPUTED_VALUE"""),16.0)</f>
        <v>16</v>
      </c>
      <c r="F133" s="42">
        <f>IFERROR(__xludf.DUMMYFUNCTION("""COMPUTED_VALUE"""),3.0)</f>
        <v>3</v>
      </c>
      <c r="G133" s="42" t="str">
        <f>IFERROR(__xludf.DUMMYFUNCTION("""COMPUTED_VALUE"""),"ARKWH6")</f>
        <v>ARKWH6</v>
      </c>
      <c r="H133" s="42" t="str">
        <f>IFERROR(__xludf.DUMMYFUNCTION("""COMPUTED_VALUE"""),"JavaScript")</f>
        <v>JavaScript</v>
      </c>
      <c r="I133" s="46" t="str">
        <f>IFERROR(__xludf.DUMMYFUNCTION("""COMPUTED_VALUE"""),"https://repl.it/@prioarief/arkwh6")</f>
        <v>https://repl.it/@prioarief/arkwh6</v>
      </c>
      <c r="J133" s="42"/>
      <c r="K133" s="42"/>
      <c r="L133" s="42">
        <f>IFERROR(__xludf.DUMMYFUNCTION("""COMPUTED_VALUE"""),0.5)</f>
        <v>0.5</v>
      </c>
      <c r="M133" s="42"/>
    </row>
    <row r="134">
      <c r="A134" s="43">
        <f>IFERROR(__xludf.DUMMYFUNCTION("""COMPUTED_VALUE"""),44041.617503483794)</f>
        <v>44041.6175</v>
      </c>
      <c r="B134" s="42" t="str">
        <f>IFERROR(__xludf.DUMMYFUNCTION("""COMPUTED_VALUE"""),"Dimas Wahyu Juhair Mokodompit")</f>
        <v>Dimas Wahyu Juhair Mokodompit</v>
      </c>
      <c r="C134" s="42" t="str">
        <f>IFERROR(__xludf.DUMMYFUNCTION("""COMPUTED_VALUE"""),"Online")</f>
        <v>Online</v>
      </c>
      <c r="D134" s="42" t="str">
        <f>IFERROR(__xludf.DUMMYFUNCTION("""COMPUTED_VALUE"""),"Fullstack Mobile Developer")</f>
        <v>Fullstack Mobile Developer</v>
      </c>
      <c r="E134" s="42">
        <f>IFERROR(__xludf.DUMMYFUNCTION("""COMPUTED_VALUE"""),16.0)</f>
        <v>16</v>
      </c>
      <c r="F134" s="42">
        <f>IFERROR(__xludf.DUMMYFUNCTION("""COMPUTED_VALUE"""),3.0)</f>
        <v>3</v>
      </c>
      <c r="G134" s="42" t="str">
        <f>IFERROR(__xludf.DUMMYFUNCTION("""COMPUTED_VALUE"""),"ARKWH6")</f>
        <v>ARKWH6</v>
      </c>
      <c r="H134" s="42" t="str">
        <f>IFERROR(__xludf.DUMMYFUNCTION("""COMPUTED_VALUE"""),"JavaScript")</f>
        <v>JavaScript</v>
      </c>
      <c r="I134" s="46" t="str">
        <f>IFERROR(__xludf.DUMMYFUNCTION("""COMPUTED_VALUE"""),"https://repl.it/@DimasMokodompit/Weekly-Quiz-6#index.js")</f>
        <v>https://repl.it/@DimasMokodompit/Weekly-Quiz-6#index.js</v>
      </c>
      <c r="J134" s="42"/>
      <c r="K134" s="42"/>
      <c r="L134" s="42">
        <f>IFERROR(__xludf.DUMMYFUNCTION("""COMPUTED_VALUE"""),1.5)</f>
        <v>1.5</v>
      </c>
      <c r="M134" s="42"/>
    </row>
    <row r="135">
      <c r="A135" s="43">
        <f>IFERROR(__xludf.DUMMYFUNCTION("""COMPUTED_VALUE"""),44041.61770328703)</f>
        <v>44041.6177</v>
      </c>
      <c r="B135" s="42" t="str">
        <f>IFERROR(__xludf.DUMMYFUNCTION("""COMPUTED_VALUE"""),"Luthfi Widya Ekakusuma")</f>
        <v>Luthfi Widya Ekakusuma</v>
      </c>
      <c r="C135" s="42" t="str">
        <f>IFERROR(__xludf.DUMMYFUNCTION("""COMPUTED_VALUE"""),"Online")</f>
        <v>Online</v>
      </c>
      <c r="D135" s="42" t="str">
        <f>IFERROR(__xludf.DUMMYFUNCTION("""COMPUTED_VALUE"""),"Fullstack Mobile Developer")</f>
        <v>Fullstack Mobile Developer</v>
      </c>
      <c r="E135" s="42">
        <f>IFERROR(__xludf.DUMMYFUNCTION("""COMPUTED_VALUE"""),16.0)</f>
        <v>16</v>
      </c>
      <c r="F135" s="42">
        <f>IFERROR(__xludf.DUMMYFUNCTION("""COMPUTED_VALUE"""),2.0)</f>
        <v>2</v>
      </c>
      <c r="G135" s="42" t="str">
        <f>IFERROR(__xludf.DUMMYFUNCTION("""COMPUTED_VALUE"""),"ARKWH6")</f>
        <v>ARKWH6</v>
      </c>
      <c r="H135" s="42" t="str">
        <f>IFERROR(__xludf.DUMMYFUNCTION("""COMPUTED_VALUE"""),"JavaScript")</f>
        <v>JavaScript</v>
      </c>
      <c r="I135" s="46" t="str">
        <f>IFERROR(__xludf.DUMMYFUNCTION("""COMPUTED_VALUE"""),"https://repl.it/@luthfiwidya/QuizWeekly6#index.js")</f>
        <v>https://repl.it/@luthfiwidya/QuizWeekly6#index.js</v>
      </c>
      <c r="J135" s="42"/>
      <c r="K135" s="42"/>
      <c r="L135" s="42">
        <f>IFERROR(__xludf.DUMMYFUNCTION("""COMPUTED_VALUE"""),1.0)</f>
        <v>1</v>
      </c>
      <c r="M135" s="42"/>
    </row>
    <row r="136">
      <c r="A136" s="43">
        <f>IFERROR(__xludf.DUMMYFUNCTION("""COMPUTED_VALUE"""),44041.617712430554)</f>
        <v>44041.61771</v>
      </c>
      <c r="B136" s="42" t="str">
        <f>IFERROR(__xludf.DUMMYFUNCTION("""COMPUTED_VALUE"""),"Adnin Rifandi Sutanto Putra")</f>
        <v>Adnin Rifandi Sutanto Putra</v>
      </c>
      <c r="C136" s="42" t="str">
        <f>IFERROR(__xludf.DUMMYFUNCTION("""COMPUTED_VALUE"""),"Online")</f>
        <v>Online</v>
      </c>
      <c r="D136" s="42" t="str">
        <f>IFERROR(__xludf.DUMMYFUNCTION("""COMPUTED_VALUE"""),"Fullstack Mobile Developer")</f>
        <v>Fullstack Mobile Developer</v>
      </c>
      <c r="E136" s="42">
        <f>IFERROR(__xludf.DUMMYFUNCTION("""COMPUTED_VALUE"""),16.0)</f>
        <v>16</v>
      </c>
      <c r="F136" s="42">
        <f>IFERROR(__xludf.DUMMYFUNCTION("""COMPUTED_VALUE"""),3.0)</f>
        <v>3</v>
      </c>
      <c r="G136" s="42" t="str">
        <f>IFERROR(__xludf.DUMMYFUNCTION("""COMPUTED_VALUE"""),"ARKWH6")</f>
        <v>ARKWH6</v>
      </c>
      <c r="H136" s="42" t="str">
        <f>IFERROR(__xludf.DUMMYFUNCTION("""COMPUTED_VALUE"""),"JavaScript")</f>
        <v>JavaScript</v>
      </c>
      <c r="I136" s="46" t="str">
        <f>IFERROR(__xludf.DUMMYFUNCTION("""COMPUTED_VALUE"""),"https://repl.it/@AdninRifandioff/Weekly-Quiz-Week-6#index.js")</f>
        <v>https://repl.it/@AdninRifandioff/Weekly-Quiz-Week-6#index.js</v>
      </c>
      <c r="J136" s="42"/>
      <c r="K136" s="42"/>
      <c r="L136" s="42">
        <f>IFERROR(__xludf.DUMMYFUNCTION("""COMPUTED_VALUE"""),0.25)</f>
        <v>0.25</v>
      </c>
      <c r="M136" s="42"/>
    </row>
    <row r="137">
      <c r="A137" s="43">
        <f>IFERROR(__xludf.DUMMYFUNCTION("""COMPUTED_VALUE"""),44041.617867719906)</f>
        <v>44041.61787</v>
      </c>
      <c r="B137" s="42" t="str">
        <f>IFERROR(__xludf.DUMMYFUNCTION("""COMPUTED_VALUE"""),"Daniel Saputra")</f>
        <v>Daniel Saputra</v>
      </c>
      <c r="C137" s="42" t="str">
        <f>IFERROR(__xludf.DUMMYFUNCTION("""COMPUTED_VALUE"""),"Online")</f>
        <v>Online</v>
      </c>
      <c r="D137" s="42" t="str">
        <f>IFERROR(__xludf.DUMMYFUNCTION("""COMPUTED_VALUE"""),"Fullstack Mobile Developer")</f>
        <v>Fullstack Mobile Developer</v>
      </c>
      <c r="E137" s="42">
        <f>IFERROR(__xludf.DUMMYFUNCTION("""COMPUTED_VALUE"""),16.0)</f>
        <v>16</v>
      </c>
      <c r="F137" s="42">
        <f>IFERROR(__xludf.DUMMYFUNCTION("""COMPUTED_VALUE"""),3.0)</f>
        <v>3</v>
      </c>
      <c r="G137" s="42" t="str">
        <f>IFERROR(__xludf.DUMMYFUNCTION("""COMPUTED_VALUE"""),"ARKWH6")</f>
        <v>ARKWH6</v>
      </c>
      <c r="H137" s="42" t="str">
        <f>IFERROR(__xludf.DUMMYFUNCTION("""COMPUTED_VALUE"""),"JavaScript")</f>
        <v>JavaScript</v>
      </c>
      <c r="I137" s="46" t="str">
        <f>IFERROR(__xludf.DUMMYFUNCTION("""COMPUTED_VALUE"""),"https://repl.it/@danielwetan/Weekly-Quiz-6-Arkademy#index.js")</f>
        <v>https://repl.it/@danielwetan/Weekly-Quiz-6-Arkademy#index.js</v>
      </c>
      <c r="J137" s="42"/>
      <c r="K137" s="42"/>
      <c r="L137" s="42">
        <f>IFERROR(__xludf.DUMMYFUNCTION("""COMPUTED_VALUE"""),0.25)</f>
        <v>0.25</v>
      </c>
      <c r="M137" s="42"/>
    </row>
    <row r="138">
      <c r="A138" s="43">
        <f>IFERROR(__xludf.DUMMYFUNCTION("""COMPUTED_VALUE"""),44041.617943310186)</f>
        <v>44041.61794</v>
      </c>
      <c r="B138" s="42" t="str">
        <f>IFERROR(__xludf.DUMMYFUNCTION("""COMPUTED_VALUE"""),"sinta herena")</f>
        <v>sinta herena</v>
      </c>
      <c r="C138" s="42" t="str">
        <f>IFERROR(__xludf.DUMMYFUNCTION("""COMPUTED_VALUE"""),"Online")</f>
        <v>Online</v>
      </c>
      <c r="D138" s="42" t="str">
        <f>IFERROR(__xludf.DUMMYFUNCTION("""COMPUTED_VALUE"""),"Fullstack Mobile Developer")</f>
        <v>Fullstack Mobile Developer</v>
      </c>
      <c r="E138" s="42">
        <f>IFERROR(__xludf.DUMMYFUNCTION("""COMPUTED_VALUE"""),16.0)</f>
        <v>16</v>
      </c>
      <c r="F138" s="42">
        <f>IFERROR(__xludf.DUMMYFUNCTION("""COMPUTED_VALUE"""),3.0)</f>
        <v>3</v>
      </c>
      <c r="G138" s="42" t="str">
        <f>IFERROR(__xludf.DUMMYFUNCTION("""COMPUTED_VALUE"""),"ARKWH6")</f>
        <v>ARKWH6</v>
      </c>
      <c r="H138" s="42" t="str">
        <f>IFERROR(__xludf.DUMMYFUNCTION("""COMPUTED_VALUE"""),"JavaScript")</f>
        <v>JavaScript</v>
      </c>
      <c r="I138" s="46" t="str">
        <f>IFERROR(__xludf.DUMMYFUNCTION("""COMPUTED_VALUE"""),"https://repl.it/repls/SubduedInternalParallelport#index.js")</f>
        <v>https://repl.it/repls/SubduedInternalParallelport#index.js</v>
      </c>
      <c r="J138" s="42"/>
      <c r="K138" s="42"/>
      <c r="L138" s="42">
        <f>IFERROR(__xludf.DUMMYFUNCTION("""COMPUTED_VALUE"""),0.75)</f>
        <v>0.75</v>
      </c>
      <c r="M138" s="42"/>
    </row>
    <row r="139">
      <c r="A139" s="43">
        <f>IFERROR(__xludf.DUMMYFUNCTION("""COMPUTED_VALUE"""),44041.61799130787)</f>
        <v>44041.61799</v>
      </c>
      <c r="B139" s="42" t="str">
        <f>IFERROR(__xludf.DUMMYFUNCTION("""COMPUTED_VALUE"""),"Bilkis Ismail")</f>
        <v>Bilkis Ismail</v>
      </c>
      <c r="C139" s="42" t="str">
        <f>IFERROR(__xludf.DUMMYFUNCTION("""COMPUTED_VALUE"""),"Online")</f>
        <v>Online</v>
      </c>
      <c r="D139" s="42" t="str">
        <f>IFERROR(__xludf.DUMMYFUNCTION("""COMPUTED_VALUE"""),"Fullstack Mobile Developer")</f>
        <v>Fullstack Mobile Developer</v>
      </c>
      <c r="E139" s="42">
        <f>IFERROR(__xludf.DUMMYFUNCTION("""COMPUTED_VALUE"""),16.0)</f>
        <v>16</v>
      </c>
      <c r="F139" s="42">
        <f>IFERROR(__xludf.DUMMYFUNCTION("""COMPUTED_VALUE"""),2.0)</f>
        <v>2</v>
      </c>
      <c r="G139" s="42" t="str">
        <f>IFERROR(__xludf.DUMMYFUNCTION("""COMPUTED_VALUE"""),"ARKWH6")</f>
        <v>ARKWH6</v>
      </c>
      <c r="H139" s="42" t="str">
        <f>IFERROR(__xludf.DUMMYFUNCTION("""COMPUTED_VALUE"""),"JavaScript")</f>
        <v>JavaScript</v>
      </c>
      <c r="I139" s="46" t="str">
        <f>IFERROR(__xludf.DUMMYFUNCTION("""COMPUTED_VALUE"""),"https://playcode.io/643275/")</f>
        <v>https://playcode.io/643275/</v>
      </c>
      <c r="J139" s="42"/>
      <c r="K139" s="42"/>
      <c r="L139" s="42">
        <f>IFERROR(__xludf.DUMMYFUNCTION("""COMPUTED_VALUE"""),1.5)</f>
        <v>1.5</v>
      </c>
      <c r="M139" s="42"/>
    </row>
    <row r="140">
      <c r="A140" s="43">
        <f>IFERROR(__xludf.DUMMYFUNCTION("""COMPUTED_VALUE"""),44041.61822775463)</f>
        <v>44041.61823</v>
      </c>
      <c r="B140" s="42" t="str">
        <f>IFERROR(__xludf.DUMMYFUNCTION("""COMPUTED_VALUE"""),"randi")</f>
        <v>randi</v>
      </c>
      <c r="C140" s="42" t="str">
        <f>IFERROR(__xludf.DUMMYFUNCTION("""COMPUTED_VALUE"""),"Online")</f>
        <v>Online</v>
      </c>
      <c r="D140" s="42" t="str">
        <f>IFERROR(__xludf.DUMMYFUNCTION("""COMPUTED_VALUE"""),"Fullstack Mobile Developer")</f>
        <v>Fullstack Mobile Developer</v>
      </c>
      <c r="E140" s="42">
        <f>IFERROR(__xludf.DUMMYFUNCTION("""COMPUTED_VALUE"""),16.0)</f>
        <v>16</v>
      </c>
      <c r="F140" s="42">
        <f>IFERROR(__xludf.DUMMYFUNCTION("""COMPUTED_VALUE"""),3.0)</f>
        <v>3</v>
      </c>
      <c r="G140" s="42" t="str">
        <f>IFERROR(__xludf.DUMMYFUNCTION("""COMPUTED_VALUE"""),"ARKWH6")</f>
        <v>ARKWH6</v>
      </c>
      <c r="H140" s="42" t="str">
        <f>IFERROR(__xludf.DUMMYFUNCTION("""COMPUTED_VALUE"""),"JavaScript")</f>
        <v>JavaScript</v>
      </c>
      <c r="I140" s="46" t="str">
        <f>IFERROR(__xludf.DUMMYFUNCTION("""COMPUTED_VALUE"""),"https://playcode.io/643278/")</f>
        <v>https://playcode.io/643278/</v>
      </c>
      <c r="J140" s="42"/>
      <c r="K140" s="42"/>
      <c r="L140" s="42">
        <f>IFERROR(__xludf.DUMMYFUNCTION("""COMPUTED_VALUE"""),0.25)</f>
        <v>0.25</v>
      </c>
      <c r="M140" s="42"/>
    </row>
    <row r="141">
      <c r="A141" s="43">
        <f>IFERROR(__xludf.DUMMYFUNCTION("""COMPUTED_VALUE"""),44041.61852364583)</f>
        <v>44041.61852</v>
      </c>
      <c r="B141" s="42" t="str">
        <f>IFERROR(__xludf.DUMMYFUNCTION("""COMPUTED_VALUE"""),"Gusti Amelia")</f>
        <v>Gusti Amelia</v>
      </c>
      <c r="C141" s="42" t="str">
        <f>IFERROR(__xludf.DUMMYFUNCTION("""COMPUTED_VALUE"""),"Online")</f>
        <v>Online</v>
      </c>
      <c r="D141" s="42" t="str">
        <f>IFERROR(__xludf.DUMMYFUNCTION("""COMPUTED_VALUE"""),"Fullstack Mobile Developer")</f>
        <v>Fullstack Mobile Developer</v>
      </c>
      <c r="E141" s="42">
        <f>IFERROR(__xludf.DUMMYFUNCTION("""COMPUTED_VALUE"""),17.0)</f>
        <v>17</v>
      </c>
      <c r="F141" s="42">
        <f>IFERROR(__xludf.DUMMYFUNCTION("""COMPUTED_VALUE"""),1.0)</f>
        <v>1</v>
      </c>
      <c r="G141" s="42" t="str">
        <f>IFERROR(__xludf.DUMMYFUNCTION("""COMPUTED_VALUE"""),"ARKWH6")</f>
        <v>ARKWH6</v>
      </c>
      <c r="H141" s="42" t="str">
        <f>IFERROR(__xludf.DUMMYFUNCTION("""COMPUTED_VALUE"""),"JavaScript")</f>
        <v>JavaScript</v>
      </c>
      <c r="I141" s="46" t="str">
        <f>IFERROR(__xludf.DUMMYFUNCTION("""COMPUTED_VALUE"""),"https://playcode.io/643271")</f>
        <v>https://playcode.io/643271</v>
      </c>
      <c r="J141" s="42"/>
      <c r="K141" s="42"/>
      <c r="L141" s="42">
        <f>IFERROR(__xludf.DUMMYFUNCTION("""COMPUTED_VALUE"""),0.75)</f>
        <v>0.75</v>
      </c>
      <c r="M141" s="42"/>
    </row>
    <row r="142">
      <c r="A142" s="43">
        <f>IFERROR(__xludf.DUMMYFUNCTION("""COMPUTED_VALUE"""),44041.618614618055)</f>
        <v>44041.61861</v>
      </c>
      <c r="B142" s="42" t="str">
        <f>IFERROR(__xludf.DUMMYFUNCTION("""COMPUTED_VALUE"""),"Tri Fajar Pangestu")</f>
        <v>Tri Fajar Pangestu</v>
      </c>
      <c r="C142" s="42" t="str">
        <f>IFERROR(__xludf.DUMMYFUNCTION("""COMPUTED_VALUE"""),"Online")</f>
        <v>Online</v>
      </c>
      <c r="D142" s="42" t="str">
        <f>IFERROR(__xludf.DUMMYFUNCTION("""COMPUTED_VALUE"""),"Fullstack Mobile Developer")</f>
        <v>Fullstack Mobile Developer</v>
      </c>
      <c r="E142" s="42">
        <f>IFERROR(__xludf.DUMMYFUNCTION("""COMPUTED_VALUE"""),16.0)</f>
        <v>16</v>
      </c>
      <c r="F142" s="42">
        <f>IFERROR(__xludf.DUMMYFUNCTION("""COMPUTED_VALUE"""),3.0)</f>
        <v>3</v>
      </c>
      <c r="G142" s="42" t="str">
        <f>IFERROR(__xludf.DUMMYFUNCTION("""COMPUTED_VALUE"""),"ARKWH6")</f>
        <v>ARKWH6</v>
      </c>
      <c r="H142" s="42" t="str">
        <f>IFERROR(__xludf.DUMMYFUNCTION("""COMPUTED_VALUE"""),"JavaScript")</f>
        <v>JavaScript</v>
      </c>
      <c r="I142" s="46" t="str">
        <f>IFERROR(__xludf.DUMMYFUNCTION("""COMPUTED_VALUE"""),"https://repl.it/@fajarpng/arkademy-quis-w6#index.js")</f>
        <v>https://repl.it/@fajarpng/arkademy-quis-w6#index.js</v>
      </c>
      <c r="J142" s="42"/>
      <c r="K142" s="42"/>
      <c r="L142" s="42">
        <f>IFERROR(__xludf.DUMMYFUNCTION("""COMPUTED_VALUE"""),0.25)</f>
        <v>0.25</v>
      </c>
      <c r="M142" s="42"/>
    </row>
    <row r="143">
      <c r="A143" s="43">
        <f>IFERROR(__xludf.DUMMYFUNCTION("""COMPUTED_VALUE"""),44041.61918635417)</f>
        <v>44041.61919</v>
      </c>
      <c r="B143" s="42" t="str">
        <f>IFERROR(__xludf.DUMMYFUNCTION("""COMPUTED_VALUE"""),"Muhammad Rizky Ramadhan")</f>
        <v>Muhammad Rizky Ramadhan</v>
      </c>
      <c r="C143" s="42" t="str">
        <f>IFERROR(__xludf.DUMMYFUNCTION("""COMPUTED_VALUE"""),"Online")</f>
        <v>Online</v>
      </c>
      <c r="D143" s="42" t="str">
        <f>IFERROR(__xludf.DUMMYFUNCTION("""COMPUTED_VALUE"""),"Fullstack Mobile Developer")</f>
        <v>Fullstack Mobile Developer</v>
      </c>
      <c r="E143" s="42">
        <f>IFERROR(__xludf.DUMMYFUNCTION("""COMPUTED_VALUE"""),16.0)</f>
        <v>16</v>
      </c>
      <c r="F143" s="42">
        <f>IFERROR(__xludf.DUMMYFUNCTION("""COMPUTED_VALUE"""),3.0)</f>
        <v>3</v>
      </c>
      <c r="G143" s="42" t="str">
        <f>IFERROR(__xludf.DUMMYFUNCTION("""COMPUTED_VALUE"""),"ARKWH6")</f>
        <v>ARKWH6</v>
      </c>
      <c r="H143" s="42" t="str">
        <f>IFERROR(__xludf.DUMMYFUNCTION("""COMPUTED_VALUE"""),"JavaScript")</f>
        <v>JavaScript</v>
      </c>
      <c r="I143" s="46" t="str">
        <f>IFERROR(__xludf.DUMMYFUNCTION("""COMPUTED_VALUE"""),"https://playcode.io/643285/")</f>
        <v>https://playcode.io/643285/</v>
      </c>
      <c r="J143" s="42"/>
      <c r="K143" s="42"/>
      <c r="L143" s="42">
        <f>IFERROR(__xludf.DUMMYFUNCTION("""COMPUTED_VALUE"""),0.0)</f>
        <v>0</v>
      </c>
      <c r="M143" s="42"/>
    </row>
    <row r="144">
      <c r="A144" s="43">
        <f>IFERROR(__xludf.DUMMYFUNCTION("""COMPUTED_VALUE"""),44041.63835716435)</f>
        <v>44041.63836</v>
      </c>
      <c r="B144" s="42" t="str">
        <f>IFERROR(__xludf.DUMMYFUNCTION("""COMPUTED_VALUE"""),"Nawirudin")</f>
        <v>Nawirudin</v>
      </c>
      <c r="C144" s="42" t="str">
        <f>IFERROR(__xludf.DUMMYFUNCTION("""COMPUTED_VALUE"""),"Online")</f>
        <v>Online</v>
      </c>
      <c r="D144" s="42" t="str">
        <f>IFERROR(__xludf.DUMMYFUNCTION("""COMPUTED_VALUE"""),"Fullstack Mobile Developer")</f>
        <v>Fullstack Mobile Developer</v>
      </c>
      <c r="E144" s="42">
        <f>IFERROR(__xludf.DUMMYFUNCTION("""COMPUTED_VALUE"""),17.0)</f>
        <v>17</v>
      </c>
      <c r="F144" s="42">
        <f>IFERROR(__xludf.DUMMYFUNCTION("""COMPUTED_VALUE"""),1.0)</f>
        <v>1</v>
      </c>
      <c r="G144" s="42" t="str">
        <f>IFERROR(__xludf.DUMMYFUNCTION("""COMPUTED_VALUE"""),"ARKWH6")</f>
        <v>ARKWH6</v>
      </c>
      <c r="H144" s="42" t="str">
        <f>IFERROR(__xludf.DUMMYFUNCTION("""COMPUTED_VALUE"""),"JavaScript")</f>
        <v>JavaScript</v>
      </c>
      <c r="I144" s="46" t="str">
        <f>IFERROR(__xludf.DUMMYFUNCTION("""COMPUTED_VALUE"""),"https://playcode.io/643268/")</f>
        <v>https://playcode.io/643268/</v>
      </c>
      <c r="J144" s="42"/>
      <c r="K144" s="42"/>
      <c r="L144" s="42">
        <f>IFERROR(__xludf.DUMMYFUNCTION("""COMPUTED_VALUE"""),0.75)</f>
        <v>0.75</v>
      </c>
      <c r="M144" s="42"/>
    </row>
    <row r="145">
      <c r="A145" s="43">
        <f>IFERROR(__xludf.DUMMYFUNCTION("""COMPUTED_VALUE"""),44056.57426861111)</f>
        <v>44056.57427</v>
      </c>
      <c r="B145" s="42" t="str">
        <f>IFERROR(__xludf.DUMMYFUNCTION("""COMPUTED_VALUE"""),"Muhamad Adam")</f>
        <v>Muhamad Adam</v>
      </c>
      <c r="C145" s="42" t="str">
        <f>IFERROR(__xludf.DUMMYFUNCTION("""COMPUTED_VALUE"""),"Online")</f>
        <v>Online</v>
      </c>
      <c r="D145" s="42" t="str">
        <f>IFERROR(__xludf.DUMMYFUNCTION("""COMPUTED_VALUE"""),"Fullstack Mobile Developer")</f>
        <v>Fullstack Mobile Developer</v>
      </c>
      <c r="E145" s="42">
        <f>IFERROR(__xludf.DUMMYFUNCTION("""COMPUTED_VALUE"""),16.0)</f>
        <v>16</v>
      </c>
      <c r="F145" s="42">
        <f>IFERROR(__xludf.DUMMYFUNCTION("""COMPUTED_VALUE"""),2.0)</f>
        <v>2</v>
      </c>
      <c r="G145" s="42" t="str">
        <f>IFERROR(__xludf.DUMMYFUNCTION("""COMPUTED_VALUE"""),"ARKWH7")</f>
        <v>ARKWH7</v>
      </c>
      <c r="H145" s="42" t="str">
        <f>IFERROR(__xludf.DUMMYFUNCTION("""COMPUTED_VALUE"""),"Logic")</f>
        <v>Logic</v>
      </c>
      <c r="I145" s="46" t="str">
        <f>IFERROR(__xludf.DUMMYFUNCTION("""COMPUTED_VALUE"""),"https://repl.it/@MuhamadAdam/profit")</f>
        <v>https://repl.it/@MuhamadAdam/profit</v>
      </c>
      <c r="J145" s="46" t="str">
        <f>IFERROR(__xludf.DUMMYFUNCTION("""COMPUTED_VALUE"""),"https://repl.it/@MuhamadAdam/profit")</f>
        <v>https://repl.it/@MuhamadAdam/profit</v>
      </c>
      <c r="K145" s="42"/>
      <c r="L145" s="42">
        <f>IFERROR(__xludf.DUMMYFUNCTION("""COMPUTED_VALUE"""),1.75)</f>
        <v>1.75</v>
      </c>
      <c r="M145" s="42"/>
    </row>
    <row r="146">
      <c r="A146" s="43">
        <f>IFERROR(__xludf.DUMMYFUNCTION("""COMPUTED_VALUE"""),44056.59041527778)</f>
        <v>44056.59042</v>
      </c>
      <c r="B146" s="42" t="str">
        <f>IFERROR(__xludf.DUMMYFUNCTION("""COMPUTED_VALUE"""),"Dezza Rizqi")</f>
        <v>Dezza Rizqi</v>
      </c>
      <c r="C146" s="42" t="str">
        <f>IFERROR(__xludf.DUMMYFUNCTION("""COMPUTED_VALUE"""),"Online")</f>
        <v>Online</v>
      </c>
      <c r="D146" s="42" t="str">
        <f>IFERROR(__xludf.DUMMYFUNCTION("""COMPUTED_VALUE"""),"Fullstack Mobile Developer")</f>
        <v>Fullstack Mobile Developer</v>
      </c>
      <c r="E146" s="42">
        <f>IFERROR(__xludf.DUMMYFUNCTION("""COMPUTED_VALUE"""),16.0)</f>
        <v>16</v>
      </c>
      <c r="F146" s="42">
        <f>IFERROR(__xludf.DUMMYFUNCTION("""COMPUTED_VALUE"""),2.0)</f>
        <v>2</v>
      </c>
      <c r="G146" s="42" t="str">
        <f>IFERROR(__xludf.DUMMYFUNCTION("""COMPUTED_VALUE"""),"ARKWH7")</f>
        <v>ARKWH7</v>
      </c>
      <c r="H146" s="42" t="str">
        <f>IFERROR(__xludf.DUMMYFUNCTION("""COMPUTED_VALUE"""),"Logic")</f>
        <v>Logic</v>
      </c>
      <c r="I146" s="46" t="str">
        <f>IFERROR(__xludf.DUMMYFUNCTION("""COMPUTED_VALUE"""),"https://repl.it/@ParkD/Week-7")</f>
        <v>https://repl.it/@ParkD/Week-7</v>
      </c>
      <c r="J146" s="42"/>
      <c r="K146" s="42"/>
      <c r="L146" s="42">
        <f>IFERROR(__xludf.DUMMYFUNCTION("""COMPUTED_VALUE"""),1.5)</f>
        <v>1.5</v>
      </c>
      <c r="M146" s="42"/>
    </row>
    <row r="147">
      <c r="A147" s="43">
        <f>IFERROR(__xludf.DUMMYFUNCTION("""COMPUTED_VALUE"""),44056.59983744213)</f>
        <v>44056.59984</v>
      </c>
      <c r="B147" s="42" t="str">
        <f>IFERROR(__xludf.DUMMYFUNCTION("""COMPUTED_VALUE"""),"Guntur Budi Kurniawan")</f>
        <v>Guntur Budi Kurniawan</v>
      </c>
      <c r="C147" s="42" t="str">
        <f>IFERROR(__xludf.DUMMYFUNCTION("""COMPUTED_VALUE"""),"Jogja")</f>
        <v>Jogja</v>
      </c>
      <c r="D147" s="42" t="str">
        <f>IFERROR(__xludf.DUMMYFUNCTION("""COMPUTED_VALUE"""),"Fullstack Mobile Developer")</f>
        <v>Fullstack Mobile Developer</v>
      </c>
      <c r="E147" s="42">
        <f>IFERROR(__xludf.DUMMYFUNCTION("""COMPUTED_VALUE"""),15.0)</f>
        <v>15</v>
      </c>
      <c r="F147" s="42">
        <f>IFERROR(__xludf.DUMMYFUNCTION("""COMPUTED_VALUE"""),1.0)</f>
        <v>1</v>
      </c>
      <c r="G147" s="42" t="str">
        <f>IFERROR(__xludf.DUMMYFUNCTION("""COMPUTED_VALUE"""),"ARKWH7")</f>
        <v>ARKWH7</v>
      </c>
      <c r="H147" s="42" t="str">
        <f>IFERROR(__xludf.DUMMYFUNCTION("""COMPUTED_VALUE"""),"Logic")</f>
        <v>Logic</v>
      </c>
      <c r="I147" s="46" t="str">
        <f>IFERROR(__xludf.DUMMYFUNCTION("""COMPUTED_VALUE"""),"https://repl.it/@gunturbudi16/ThankfulLightgrayPagerecognition#index.js")</f>
        <v>https://repl.it/@gunturbudi16/ThankfulLightgrayPagerecognition#index.js</v>
      </c>
      <c r="J147" s="42"/>
      <c r="K147" s="42"/>
      <c r="L147" s="42">
        <f>IFERROR(__xludf.DUMMYFUNCTION("""COMPUTED_VALUE"""),1.75)</f>
        <v>1.75</v>
      </c>
      <c r="M147" s="42"/>
    </row>
    <row r="148">
      <c r="A148" s="43">
        <f>IFERROR(__xludf.DUMMYFUNCTION("""COMPUTED_VALUE"""),44056.60050274305)</f>
        <v>44056.6005</v>
      </c>
      <c r="B148" s="42" t="str">
        <f>IFERROR(__xludf.DUMMYFUNCTION("""COMPUTED_VALUE"""),"Arfifa Rahman")</f>
        <v>Arfifa Rahman</v>
      </c>
      <c r="C148" s="42" t="str">
        <f>IFERROR(__xludf.DUMMYFUNCTION("""COMPUTED_VALUE"""),"Bogor")</f>
        <v>Bogor</v>
      </c>
      <c r="D148" s="42" t="str">
        <f>IFERROR(__xludf.DUMMYFUNCTION("""COMPUTED_VALUE"""),"Fullstack Mobile Developer")</f>
        <v>Fullstack Mobile Developer</v>
      </c>
      <c r="E148" s="42">
        <f>IFERROR(__xludf.DUMMYFUNCTION("""COMPUTED_VALUE"""),13.0)</f>
        <v>13</v>
      </c>
      <c r="F148" s="42">
        <f>IFERROR(__xludf.DUMMYFUNCTION("""COMPUTED_VALUE"""),1.0)</f>
        <v>1</v>
      </c>
      <c r="G148" s="42" t="str">
        <f>IFERROR(__xludf.DUMMYFUNCTION("""COMPUTED_VALUE"""),"ARKWH7")</f>
        <v>ARKWH7</v>
      </c>
      <c r="H148" s="42" t="str">
        <f>IFERROR(__xludf.DUMMYFUNCTION("""COMPUTED_VALUE"""),"Logic")</f>
        <v>Logic</v>
      </c>
      <c r="I148" s="46" t="str">
        <f>IFERROR(__xludf.DUMMYFUNCTION("""COMPUTED_VALUE"""),"https://playcode.io/483065/")</f>
        <v>https://playcode.io/483065/</v>
      </c>
      <c r="J148" s="42"/>
      <c r="K148" s="42"/>
      <c r="L148" s="42">
        <f>IFERROR(__xludf.DUMMYFUNCTION("""COMPUTED_VALUE"""),1.5)</f>
        <v>1.5</v>
      </c>
      <c r="M148" s="42"/>
    </row>
    <row r="149">
      <c r="A149" s="43">
        <f>IFERROR(__xludf.DUMMYFUNCTION("""COMPUTED_VALUE"""),44056.60065021991)</f>
        <v>44056.60065</v>
      </c>
      <c r="B149" s="42" t="str">
        <f>IFERROR(__xludf.DUMMYFUNCTION("""COMPUTED_VALUE"""),"Dwiky Satria Hutomo")</f>
        <v>Dwiky Satria Hutomo</v>
      </c>
      <c r="C149" s="42" t="str">
        <f>IFERROR(__xludf.DUMMYFUNCTION("""COMPUTED_VALUE"""),"Online")</f>
        <v>Online</v>
      </c>
      <c r="D149" s="42" t="str">
        <f>IFERROR(__xludf.DUMMYFUNCTION("""COMPUTED_VALUE"""),"Fullstack Mobile Developer")</f>
        <v>Fullstack Mobile Developer</v>
      </c>
      <c r="E149" s="42">
        <f>IFERROR(__xludf.DUMMYFUNCTION("""COMPUTED_VALUE"""),16.0)</f>
        <v>16</v>
      </c>
      <c r="F149" s="42">
        <f>IFERROR(__xludf.DUMMYFUNCTION("""COMPUTED_VALUE"""),1.0)</f>
        <v>1</v>
      </c>
      <c r="G149" s="42" t="str">
        <f>IFERROR(__xludf.DUMMYFUNCTION("""COMPUTED_VALUE"""),"ARKWH7")</f>
        <v>ARKWH7</v>
      </c>
      <c r="H149" s="42" t="str">
        <f>IFERROR(__xludf.DUMMYFUNCTION("""COMPUTED_VALUE"""),"Logic")</f>
        <v>Logic</v>
      </c>
      <c r="I149" s="46" t="str">
        <f>IFERROR(__xludf.DUMMYFUNCTION("""COMPUTED_VALUE"""),"https://playcode.io/651050/")</f>
        <v>https://playcode.io/651050/</v>
      </c>
      <c r="J149" s="42" t="str">
        <f>IFERROR(__xludf.DUMMYFUNCTION("""COMPUTED_VALUE"""),"-")</f>
        <v>-</v>
      </c>
      <c r="K149" s="42"/>
      <c r="L149" s="42">
        <f>IFERROR(__xludf.DUMMYFUNCTION("""COMPUTED_VALUE"""),1.75)</f>
        <v>1.75</v>
      </c>
      <c r="M149" s="42"/>
    </row>
    <row r="150">
      <c r="A150" s="43">
        <f>IFERROR(__xludf.DUMMYFUNCTION("""COMPUTED_VALUE"""),44056.60234190972)</f>
        <v>44056.60234</v>
      </c>
      <c r="B150" s="42" t="str">
        <f>IFERROR(__xludf.DUMMYFUNCTION("""COMPUTED_VALUE"""),"Sulfikardi")</f>
        <v>Sulfikardi</v>
      </c>
      <c r="C150" s="42" t="str">
        <f>IFERROR(__xludf.DUMMYFUNCTION("""COMPUTED_VALUE"""),"Depok")</f>
        <v>Depok</v>
      </c>
      <c r="D150" s="42" t="str">
        <f>IFERROR(__xludf.DUMMYFUNCTION("""COMPUTED_VALUE"""),"Fullstack Web Developer")</f>
        <v>Fullstack Web Developer</v>
      </c>
      <c r="E150" s="42">
        <f>IFERROR(__xludf.DUMMYFUNCTION("""COMPUTED_VALUE"""),15.0)</f>
        <v>15</v>
      </c>
      <c r="F150" s="42">
        <f>IFERROR(__xludf.DUMMYFUNCTION("""COMPUTED_VALUE"""),1.0)</f>
        <v>1</v>
      </c>
      <c r="G150" s="42" t="str">
        <f>IFERROR(__xludf.DUMMYFUNCTION("""COMPUTED_VALUE"""),"ARKWH7")</f>
        <v>ARKWH7</v>
      </c>
      <c r="H150" s="42" t="str">
        <f>IFERROR(__xludf.DUMMYFUNCTION("""COMPUTED_VALUE"""),"Logic")</f>
        <v>Logic</v>
      </c>
      <c r="I150" s="46" t="str">
        <f>IFERROR(__xludf.DUMMYFUNCTION("""COMPUTED_VALUE"""),"https://playcode.io/651028/")</f>
        <v>https://playcode.io/651028/</v>
      </c>
      <c r="J150" s="42"/>
      <c r="K150" s="42"/>
      <c r="L150" s="42">
        <f>IFERROR(__xludf.DUMMYFUNCTION("""COMPUTED_VALUE"""),0.25)</f>
        <v>0.25</v>
      </c>
      <c r="M150" s="42"/>
    </row>
    <row r="151">
      <c r="A151" s="43">
        <f>IFERROR(__xludf.DUMMYFUNCTION("""COMPUTED_VALUE"""),44062.4964174537)</f>
        <v>44062.49642</v>
      </c>
      <c r="B151" s="42" t="str">
        <f>IFERROR(__xludf.DUMMYFUNCTION("""COMPUTED_VALUE"""),"M Ismoyo Setyonowidagdo")</f>
        <v>M Ismoyo Setyonowidagdo</v>
      </c>
      <c r="C151" s="42" t="str">
        <f>IFERROR(__xludf.DUMMYFUNCTION("""COMPUTED_VALUE"""),"Online")</f>
        <v>Online</v>
      </c>
      <c r="D151" s="42" t="str">
        <f>IFERROR(__xludf.DUMMYFUNCTION("""COMPUTED_VALUE"""),"Fullstack Mobile Developer")</f>
        <v>Fullstack Mobile Developer</v>
      </c>
      <c r="E151" s="42">
        <f>IFERROR(__xludf.DUMMYFUNCTION("""COMPUTED_VALUE"""),16.0)</f>
        <v>16</v>
      </c>
      <c r="F151" s="42">
        <f>IFERROR(__xludf.DUMMYFUNCTION("""COMPUTED_VALUE"""),3.0)</f>
        <v>3</v>
      </c>
      <c r="G151" s="42" t="str">
        <f>IFERROR(__xludf.DUMMYFUNCTION("""COMPUTED_VALUE"""),"ARKWH8")</f>
        <v>ARKWH8</v>
      </c>
      <c r="H151" s="42" t="str">
        <f>IFERROR(__xludf.DUMMYFUNCTION("""COMPUTED_VALUE"""),"Logic")</f>
        <v>Logic</v>
      </c>
      <c r="I151" s="46" t="str">
        <f>IFERROR(__xludf.DUMMYFUNCTION("""COMPUTED_VALUE"""),"https://playcode.io/654200/")</f>
        <v>https://playcode.io/654200/</v>
      </c>
      <c r="J151" s="42"/>
      <c r="K151" s="42"/>
      <c r="L151" s="42">
        <f>IFERROR(__xludf.DUMMYFUNCTION("""COMPUTED_VALUE"""),0.25)</f>
        <v>0.25</v>
      </c>
      <c r="M151" s="42" t="str">
        <f>IFERROR(__xludf.DUMMYFUNCTION("""COMPUTED_VALUE"""),"hasilnya tidak tepat, pembagian permen dan orang tidak sesuai")</f>
        <v>hasilnya tidak tepat, pembagian permen dan orang tidak sesuai</v>
      </c>
    </row>
    <row r="152">
      <c r="A152" s="43">
        <f>IFERROR(__xludf.DUMMYFUNCTION("""COMPUTED_VALUE"""),44062.50354099537)</f>
        <v>44062.50354</v>
      </c>
      <c r="B152" s="42" t="str">
        <f>IFERROR(__xludf.DUMMYFUNCTION("""COMPUTED_VALUE"""),"Dezza Rizqi")</f>
        <v>Dezza Rizqi</v>
      </c>
      <c r="C152" s="42" t="str">
        <f>IFERROR(__xludf.DUMMYFUNCTION("""COMPUTED_VALUE"""),"Online")</f>
        <v>Online</v>
      </c>
      <c r="D152" s="42" t="str">
        <f>IFERROR(__xludf.DUMMYFUNCTION("""COMPUTED_VALUE"""),"Fullstack Mobile Developer")</f>
        <v>Fullstack Mobile Developer</v>
      </c>
      <c r="E152" s="42">
        <f>IFERROR(__xludf.DUMMYFUNCTION("""COMPUTED_VALUE"""),16.0)</f>
        <v>16</v>
      </c>
      <c r="F152" s="42">
        <f>IFERROR(__xludf.DUMMYFUNCTION("""COMPUTED_VALUE"""),2.0)</f>
        <v>2</v>
      </c>
      <c r="G152" s="42" t="str">
        <f>IFERROR(__xludf.DUMMYFUNCTION("""COMPUTED_VALUE"""),"ARKWH8")</f>
        <v>ARKWH8</v>
      </c>
      <c r="H152" s="42" t="str">
        <f>IFERROR(__xludf.DUMMYFUNCTION("""COMPUTED_VALUE"""),"Logic")</f>
        <v>Logic</v>
      </c>
      <c r="I152" s="46" t="str">
        <f>IFERROR(__xludf.DUMMYFUNCTION("""COMPUTED_VALUE"""),"https://repl.it/@ParkD/Week-8#index.js")</f>
        <v>https://repl.it/@ParkD/Week-8#index.js</v>
      </c>
      <c r="J152" s="42"/>
      <c r="K152" s="42"/>
      <c r="L152" s="42">
        <f>IFERROR(__xludf.DUMMYFUNCTION("""COMPUTED_VALUE"""),1.0)</f>
        <v>1</v>
      </c>
      <c r="M152" s="42" t="str">
        <f>IFERROR(__xludf.DUMMYFUNCTION("""COMPUTED_VALUE"""),"kekeliruan ketika urutannya mengulang belum merata ke semua orang")</f>
        <v>kekeliruan ketika urutannya mengulang belum merata ke semua orang</v>
      </c>
    </row>
    <row r="153">
      <c r="A153" s="43">
        <f>IFERROR(__xludf.DUMMYFUNCTION("""COMPUTED_VALUE"""),44062.509845740744)</f>
        <v>44062.50985</v>
      </c>
      <c r="B153" s="42" t="str">
        <f>IFERROR(__xludf.DUMMYFUNCTION("""COMPUTED_VALUE"""),"Muhamad Abiyasa Sastra Wardana")</f>
        <v>Muhamad Abiyasa Sastra Wardana</v>
      </c>
      <c r="C153" s="42" t="str">
        <f>IFERROR(__xludf.DUMMYFUNCTION("""COMPUTED_VALUE"""),"Online")</f>
        <v>Online</v>
      </c>
      <c r="D153" s="42" t="str">
        <f>IFERROR(__xludf.DUMMYFUNCTION("""COMPUTED_VALUE"""),"Fullstack Mobile Developer")</f>
        <v>Fullstack Mobile Developer</v>
      </c>
      <c r="E153" s="42">
        <f>IFERROR(__xludf.DUMMYFUNCTION("""COMPUTED_VALUE"""),16.0)</f>
        <v>16</v>
      </c>
      <c r="F153" s="42">
        <f>IFERROR(__xludf.DUMMYFUNCTION("""COMPUTED_VALUE"""),3.0)</f>
        <v>3</v>
      </c>
      <c r="G153" s="42" t="str">
        <f>IFERROR(__xludf.DUMMYFUNCTION("""COMPUTED_VALUE"""),"ARKWH8")</f>
        <v>ARKWH8</v>
      </c>
      <c r="H153" s="42" t="str">
        <f>IFERROR(__xludf.DUMMYFUNCTION("""COMPUTED_VALUE"""),"Logic")</f>
        <v>Logic</v>
      </c>
      <c r="I153" s="46" t="str">
        <f>IFERROR(__xludf.DUMMYFUNCTION("""COMPUTED_VALUE"""),"https://repl.it/@byasaa/Weekly-Quiz-8-Arkademy#index.js")</f>
        <v>https://repl.it/@byasaa/Weekly-Quiz-8-Arkademy#index.js</v>
      </c>
      <c r="J153" s="42"/>
      <c r="K153" s="42"/>
      <c r="L153" s="42">
        <f>IFERROR(__xludf.DUMMYFUNCTION("""COMPUTED_VALUE"""),1.5)</f>
        <v>1.5</v>
      </c>
      <c r="M153" s="42" t="str">
        <f>IFERROR(__xludf.DUMMYFUNCTION("""COMPUTED_VALUE"""),"kekeliruan ketika urutannya mengulang namun di akhir menambahkan sesuai urutan, bukan sesuai sisa permen")</f>
        <v>kekeliruan ketika urutannya mengulang namun di akhir menambahkan sesuai urutan, bukan sesuai sisa permen</v>
      </c>
    </row>
    <row r="154">
      <c r="A154" s="43">
        <f>IFERROR(__xludf.DUMMYFUNCTION("""COMPUTED_VALUE"""),44062.52974939815)</f>
        <v>44062.52975</v>
      </c>
      <c r="B154" s="42" t="str">
        <f>IFERROR(__xludf.DUMMYFUNCTION("""COMPUTED_VALUE"""),"Ahmad Zaky")</f>
        <v>Ahmad Zaky</v>
      </c>
      <c r="C154" s="42" t="str">
        <f>IFERROR(__xludf.DUMMYFUNCTION("""COMPUTED_VALUE"""),"Online")</f>
        <v>Online</v>
      </c>
      <c r="D154" s="42" t="str">
        <f>IFERROR(__xludf.DUMMYFUNCTION("""COMPUTED_VALUE"""),"Fullstack Mobile Developer")</f>
        <v>Fullstack Mobile Developer</v>
      </c>
      <c r="E154" s="42">
        <f>IFERROR(__xludf.DUMMYFUNCTION("""COMPUTED_VALUE"""),17.0)</f>
        <v>17</v>
      </c>
      <c r="F154" s="42">
        <f>IFERROR(__xludf.DUMMYFUNCTION("""COMPUTED_VALUE"""),1.0)</f>
        <v>1</v>
      </c>
      <c r="G154" s="42" t="str">
        <f>IFERROR(__xludf.DUMMYFUNCTION("""COMPUTED_VALUE"""),"ARKWH8")</f>
        <v>ARKWH8</v>
      </c>
      <c r="H154" s="42" t="str">
        <f>IFERROR(__xludf.DUMMYFUNCTION("""COMPUTED_VALUE"""),"Logic")</f>
        <v>Logic</v>
      </c>
      <c r="I154" s="46" t="str">
        <f>IFERROR(__xludf.DUMMYFUNCTION("""COMPUTED_VALUE"""),"http://playcode.io/654221/")</f>
        <v>http://playcode.io/654221/</v>
      </c>
      <c r="J154" s="42"/>
      <c r="K154" s="42"/>
      <c r="L154" s="42">
        <f>IFERROR(__xludf.DUMMYFUNCTION("""COMPUTED_VALUE"""),0.25)</f>
        <v>0.25</v>
      </c>
      <c r="M154" s="42" t="str">
        <f>IFERROR(__xludf.DUMMYFUNCTION("""COMPUTED_VALUE"""),"hasilnya tidak tepat, pembagian permen dan orang tidak sesuai")</f>
        <v>hasilnya tidak tepat, pembagian permen dan orang tidak sesuai</v>
      </c>
    </row>
    <row r="155">
      <c r="A155" s="43">
        <f>IFERROR(__xludf.DUMMYFUNCTION("""COMPUTED_VALUE"""),44062.53306152778)</f>
        <v>44062.53306</v>
      </c>
      <c r="B155" s="42" t="str">
        <f>IFERROR(__xludf.DUMMYFUNCTION("""COMPUTED_VALUE"""),"Adnin Rifandi Sutanto Putra")</f>
        <v>Adnin Rifandi Sutanto Putra</v>
      </c>
      <c r="C155" s="42" t="str">
        <f>IFERROR(__xludf.DUMMYFUNCTION("""COMPUTED_VALUE"""),"Online")</f>
        <v>Online</v>
      </c>
      <c r="D155" s="42" t="str">
        <f>IFERROR(__xludf.DUMMYFUNCTION("""COMPUTED_VALUE"""),"Fullstack Mobile Developer")</f>
        <v>Fullstack Mobile Developer</v>
      </c>
      <c r="E155" s="42">
        <f>IFERROR(__xludf.DUMMYFUNCTION("""COMPUTED_VALUE"""),16.0)</f>
        <v>16</v>
      </c>
      <c r="F155" s="42">
        <f>IFERROR(__xludf.DUMMYFUNCTION("""COMPUTED_VALUE"""),3.0)</f>
        <v>3</v>
      </c>
      <c r="G155" s="42" t="str">
        <f>IFERROR(__xludf.DUMMYFUNCTION("""COMPUTED_VALUE"""),"ARKWH8")</f>
        <v>ARKWH8</v>
      </c>
      <c r="H155" s="42" t="str">
        <f>IFERROR(__xludf.DUMMYFUNCTION("""COMPUTED_VALUE"""),"Logic")</f>
        <v>Logic</v>
      </c>
      <c r="I155" s="46" t="str">
        <f>IFERROR(__xludf.DUMMYFUNCTION("""COMPUTED_VALUE"""),"https://repl.it/@AdninRifandioff/Weekly-Quiz-Week-8#index.js")</f>
        <v>https://repl.it/@AdninRifandioff/Weekly-Quiz-Week-8#index.js</v>
      </c>
      <c r="J155" s="42"/>
      <c r="K155" s="42"/>
      <c r="L155" s="42">
        <f>IFERROR(__xludf.DUMMYFUNCTION("""COMPUTED_VALUE"""),0.5)</f>
        <v>0.5</v>
      </c>
      <c r="M155" s="42"/>
    </row>
    <row r="156">
      <c r="A156" s="43">
        <f>IFERROR(__xludf.DUMMYFUNCTION("""COMPUTED_VALUE"""),44062.53435805556)</f>
        <v>44062.53436</v>
      </c>
      <c r="B156" s="42" t="str">
        <f>IFERROR(__xludf.DUMMYFUNCTION("""COMPUTED_VALUE"""),"Yusup Junaedi")</f>
        <v>Yusup Junaedi</v>
      </c>
      <c r="C156" s="42" t="str">
        <f>IFERROR(__xludf.DUMMYFUNCTION("""COMPUTED_VALUE"""),"Online")</f>
        <v>Online</v>
      </c>
      <c r="D156" s="42" t="str">
        <f>IFERROR(__xludf.DUMMYFUNCTION("""COMPUTED_VALUE"""),"Fullstack Mobile Developer")</f>
        <v>Fullstack Mobile Developer</v>
      </c>
      <c r="E156" s="42">
        <f>IFERROR(__xludf.DUMMYFUNCTION("""COMPUTED_VALUE"""),17.0)</f>
        <v>17</v>
      </c>
      <c r="F156" s="42">
        <f>IFERROR(__xludf.DUMMYFUNCTION("""COMPUTED_VALUE"""),1.0)</f>
        <v>1</v>
      </c>
      <c r="G156" s="42" t="str">
        <f>IFERROR(__xludf.DUMMYFUNCTION("""COMPUTED_VALUE"""),"ARKWH8")</f>
        <v>ARKWH8</v>
      </c>
      <c r="H156" s="42" t="str">
        <f>IFERROR(__xludf.DUMMYFUNCTION("""COMPUTED_VALUE"""),"Logic")</f>
        <v>Logic</v>
      </c>
      <c r="I156" s="46" t="str">
        <f>IFERROR(__xludf.DUMMYFUNCTION("""COMPUTED_VALUE"""),"https://repl.it/join/zjnajeyw-yusupjunaedi")</f>
        <v>https://repl.it/join/zjnajeyw-yusupjunaedi</v>
      </c>
      <c r="J156" s="42"/>
      <c r="K156" s="42"/>
      <c r="L156" s="42">
        <f>IFERROR(__xludf.DUMMYFUNCTION("""COMPUTED_VALUE"""),0.25)</f>
        <v>0.25</v>
      </c>
      <c r="M156" s="42" t="str">
        <f>IFERROR(__xludf.DUMMYFUNCTION("""COMPUTED_VALUE"""),"hasilnya tidak tepat, pembagian permen dan orang tidak sesuai")</f>
        <v>hasilnya tidak tepat, pembagian permen dan orang tidak sesuai</v>
      </c>
    </row>
    <row r="157">
      <c r="A157" s="43">
        <f>IFERROR(__xludf.DUMMYFUNCTION("""COMPUTED_VALUE"""),44062.53530912037)</f>
        <v>44062.53531</v>
      </c>
      <c r="B157" s="42" t="str">
        <f>IFERROR(__xludf.DUMMYFUNCTION("""COMPUTED_VALUE"""),"Faiz")</f>
        <v>Faiz</v>
      </c>
      <c r="C157" s="42" t="str">
        <f>IFERROR(__xludf.DUMMYFUNCTION("""COMPUTED_VALUE"""),"Online")</f>
        <v>Online</v>
      </c>
      <c r="D157" s="42" t="str">
        <f>IFERROR(__xludf.DUMMYFUNCTION("""COMPUTED_VALUE"""),"Fullstack Mobile Developer")</f>
        <v>Fullstack Mobile Developer</v>
      </c>
      <c r="E157" s="42">
        <f>IFERROR(__xludf.DUMMYFUNCTION("""COMPUTED_VALUE"""),17.0)</f>
        <v>17</v>
      </c>
      <c r="F157" s="42">
        <f>IFERROR(__xludf.DUMMYFUNCTION("""COMPUTED_VALUE"""),1.0)</f>
        <v>1</v>
      </c>
      <c r="G157" s="42" t="str">
        <f>IFERROR(__xludf.DUMMYFUNCTION("""COMPUTED_VALUE"""),"ARKWH8")</f>
        <v>ARKWH8</v>
      </c>
      <c r="H157" s="42" t="str">
        <f>IFERROR(__xludf.DUMMYFUNCTION("""COMPUTED_VALUE"""),"Logic")</f>
        <v>Logic</v>
      </c>
      <c r="I157" s="46" t="str">
        <f>IFERROR(__xludf.DUMMYFUNCTION("""COMPUTED_VALUE"""),"https://playcode.io/654222/")</f>
        <v>https://playcode.io/654222/</v>
      </c>
      <c r="J157" s="42"/>
      <c r="K157" s="42"/>
      <c r="L157" s="42">
        <f>IFERROR(__xludf.DUMMYFUNCTION("""COMPUTED_VALUE"""),0.25)</f>
        <v>0.25</v>
      </c>
      <c r="M157" s="42" t="str">
        <f>IFERROR(__xludf.DUMMYFUNCTION("""COMPUTED_VALUE"""),"hasilnya tidak tepat, pembagian permen dan orang tidak sesuai")</f>
        <v>hasilnya tidak tepat, pembagian permen dan orang tidak sesuai</v>
      </c>
    </row>
    <row r="158">
      <c r="A158" s="43">
        <f>IFERROR(__xludf.DUMMYFUNCTION("""COMPUTED_VALUE"""),44062.5367781713)</f>
        <v>44062.53678</v>
      </c>
      <c r="B158" s="42" t="str">
        <f>IFERROR(__xludf.DUMMYFUNCTION("""COMPUTED_VALUE"""),"Taufiq Widi N")</f>
        <v>Taufiq Widi N</v>
      </c>
      <c r="C158" s="42" t="str">
        <f>IFERROR(__xludf.DUMMYFUNCTION("""COMPUTED_VALUE"""),"Online")</f>
        <v>Online</v>
      </c>
      <c r="D158" s="42" t="str">
        <f>IFERROR(__xludf.DUMMYFUNCTION("""COMPUTED_VALUE"""),"Fullstack Mobile Developer")</f>
        <v>Fullstack Mobile Developer</v>
      </c>
      <c r="E158" s="42">
        <f>IFERROR(__xludf.DUMMYFUNCTION("""COMPUTED_VALUE"""),17.0)</f>
        <v>17</v>
      </c>
      <c r="F158" s="42">
        <f>IFERROR(__xludf.DUMMYFUNCTION("""COMPUTED_VALUE"""),1.0)</f>
        <v>1</v>
      </c>
      <c r="G158" s="42" t="str">
        <f>IFERROR(__xludf.DUMMYFUNCTION("""COMPUTED_VALUE"""),"ARKWH8")</f>
        <v>ARKWH8</v>
      </c>
      <c r="H158" s="42" t="str">
        <f>IFERROR(__xludf.DUMMYFUNCTION("""COMPUTED_VALUE"""),"Logic")</f>
        <v>Logic</v>
      </c>
      <c r="I158" s="46" t="str">
        <f>IFERROR(__xludf.DUMMYFUNCTION("""COMPUTED_VALUE"""),"http://playcode.io/654229/")</f>
        <v>http://playcode.io/654229/</v>
      </c>
      <c r="J158" s="42"/>
      <c r="K158" s="42"/>
      <c r="L158" s="42">
        <f>IFERROR(__xludf.DUMMYFUNCTION("""COMPUTED_VALUE"""),0.25)</f>
        <v>0.25</v>
      </c>
      <c r="M158" s="42" t="str">
        <f>IFERROR(__xludf.DUMMYFUNCTION("""COMPUTED_VALUE"""),"hasilnya tidak tepat, pembagian permen dan orang tidak sesuai")</f>
        <v>hasilnya tidak tepat, pembagian permen dan orang tidak sesuai</v>
      </c>
    </row>
    <row r="159">
      <c r="A159" s="43">
        <f>IFERROR(__xludf.DUMMYFUNCTION("""COMPUTED_VALUE"""),44062.538874502316)</f>
        <v>44062.53887</v>
      </c>
      <c r="B159" s="42" t="str">
        <f>IFERROR(__xludf.DUMMYFUNCTION("""COMPUTED_VALUE"""),"Prio Arief Gunawan")</f>
        <v>Prio Arief Gunawan</v>
      </c>
      <c r="C159" s="42" t="str">
        <f>IFERROR(__xludf.DUMMYFUNCTION("""COMPUTED_VALUE"""),"Online")</f>
        <v>Online</v>
      </c>
      <c r="D159" s="42" t="str">
        <f>IFERROR(__xludf.DUMMYFUNCTION("""COMPUTED_VALUE"""),"Fullstack Mobile Developer")</f>
        <v>Fullstack Mobile Developer</v>
      </c>
      <c r="E159" s="42">
        <f>IFERROR(__xludf.DUMMYFUNCTION("""COMPUTED_VALUE"""),16.0)</f>
        <v>16</v>
      </c>
      <c r="F159" s="42">
        <f>IFERROR(__xludf.DUMMYFUNCTION("""COMPUTED_VALUE"""),3.0)</f>
        <v>3</v>
      </c>
      <c r="G159" s="42" t="str">
        <f>IFERROR(__xludf.DUMMYFUNCTION("""COMPUTED_VALUE"""),"ARKWH8")</f>
        <v>ARKWH8</v>
      </c>
      <c r="H159" s="42" t="str">
        <f>IFERROR(__xludf.DUMMYFUNCTION("""COMPUTED_VALUE"""),"Logic")</f>
        <v>Logic</v>
      </c>
      <c r="I159" s="46" t="str">
        <f>IFERROR(__xludf.DUMMYFUNCTION("""COMPUTED_VALUE"""),"https://repl.it/@prioarief/ARKWH8")</f>
        <v>https://repl.it/@prioarief/ARKWH8</v>
      </c>
      <c r="J159" s="42"/>
      <c r="K159" s="42"/>
      <c r="L159" s="42">
        <f>IFERROR(__xludf.DUMMYFUNCTION("""COMPUTED_VALUE"""),1.0)</f>
        <v>1</v>
      </c>
      <c r="M159" s="42" t="str">
        <f>IFERROR(__xludf.DUMMYFUNCTION("""COMPUTED_VALUE"""),"n tidak terdefinisikan, kodingan error, padahal jika n adalah candy, nilai = 2")</f>
        <v>n tidak terdefinisikan, kodingan error, padahal jika n adalah candy, nilai = 2</v>
      </c>
    </row>
    <row r="160">
      <c r="A160" s="43">
        <f>IFERROR(__xludf.DUMMYFUNCTION("""COMPUTED_VALUE"""),44062.54074082176)</f>
        <v>44062.54074</v>
      </c>
      <c r="B160" s="42" t="str">
        <f>IFERROR(__xludf.DUMMYFUNCTION("""COMPUTED_VALUE"""),"Ghana Widya Afani")</f>
        <v>Ghana Widya Afani</v>
      </c>
      <c r="C160" s="42" t="str">
        <f>IFERROR(__xludf.DUMMYFUNCTION("""COMPUTED_VALUE"""),"Online")</f>
        <v>Online</v>
      </c>
      <c r="D160" s="42" t="str">
        <f>IFERROR(__xludf.DUMMYFUNCTION("""COMPUTED_VALUE"""),"Fullstack Mobile Developer")</f>
        <v>Fullstack Mobile Developer</v>
      </c>
      <c r="E160" s="42">
        <f>IFERROR(__xludf.DUMMYFUNCTION("""COMPUTED_VALUE"""),17.0)</f>
        <v>17</v>
      </c>
      <c r="F160" s="42">
        <f>IFERROR(__xludf.DUMMYFUNCTION("""COMPUTED_VALUE"""),1.0)</f>
        <v>1</v>
      </c>
      <c r="G160" s="42" t="str">
        <f>IFERROR(__xludf.DUMMYFUNCTION("""COMPUTED_VALUE"""),"ARKWH8")</f>
        <v>ARKWH8</v>
      </c>
      <c r="H160" s="42" t="str">
        <f>IFERROR(__xludf.DUMMYFUNCTION("""COMPUTED_VALUE"""),"Logic")</f>
        <v>Logic</v>
      </c>
      <c r="I160" s="46" t="str">
        <f>IFERROR(__xludf.DUMMYFUNCTION("""COMPUTED_VALUE"""),"https://playcode.io/654220/")</f>
        <v>https://playcode.io/654220/</v>
      </c>
      <c r="J160" s="42"/>
      <c r="K160" s="42"/>
      <c r="L160" s="42">
        <f>IFERROR(__xludf.DUMMYFUNCTION("""COMPUTED_VALUE"""),2.0)</f>
        <v>2</v>
      </c>
      <c r="M160" s="42"/>
    </row>
    <row r="161">
      <c r="A161" s="43">
        <f>IFERROR(__xludf.DUMMYFUNCTION("""COMPUTED_VALUE"""),44062.54124796296)</f>
        <v>44062.54125</v>
      </c>
      <c r="B161" s="42" t="str">
        <f>IFERROR(__xludf.DUMMYFUNCTION("""COMPUTED_VALUE"""),"Dimas Wahyu Juhair Mokodompit")</f>
        <v>Dimas Wahyu Juhair Mokodompit</v>
      </c>
      <c r="C161" s="42" t="str">
        <f>IFERROR(__xludf.DUMMYFUNCTION("""COMPUTED_VALUE"""),"Online")</f>
        <v>Online</v>
      </c>
      <c r="D161" s="42" t="str">
        <f>IFERROR(__xludf.DUMMYFUNCTION("""COMPUTED_VALUE"""),"Fullstack Mobile Developer")</f>
        <v>Fullstack Mobile Developer</v>
      </c>
      <c r="E161" s="42">
        <f>IFERROR(__xludf.DUMMYFUNCTION("""COMPUTED_VALUE"""),16.0)</f>
        <v>16</v>
      </c>
      <c r="F161" s="42">
        <f>IFERROR(__xludf.DUMMYFUNCTION("""COMPUTED_VALUE"""),3.0)</f>
        <v>3</v>
      </c>
      <c r="G161" s="42" t="str">
        <f>IFERROR(__xludf.DUMMYFUNCTION("""COMPUTED_VALUE"""),"ARKWH8")</f>
        <v>ARKWH8</v>
      </c>
      <c r="H161" s="42" t="str">
        <f>IFERROR(__xludf.DUMMYFUNCTION("""COMPUTED_VALUE"""),"Logic")</f>
        <v>Logic</v>
      </c>
      <c r="I161" s="46" t="str">
        <f>IFERROR(__xludf.DUMMYFUNCTION("""COMPUTED_VALUE"""),"https://repl.it/join/ilpyszvk-dimasmokodompit")</f>
        <v>https://repl.it/join/ilpyszvk-dimasmokodompit</v>
      </c>
      <c r="J161" s="42"/>
      <c r="K161" s="42"/>
      <c r="L161" s="42">
        <f>IFERROR(__xludf.DUMMYFUNCTION("""COMPUTED_VALUE"""),0.5)</f>
        <v>0.5</v>
      </c>
      <c r="M161" s="42"/>
    </row>
    <row r="162">
      <c r="A162" s="43">
        <f>IFERROR(__xludf.DUMMYFUNCTION("""COMPUTED_VALUE"""),44062.542241400464)</f>
        <v>44062.54224</v>
      </c>
      <c r="B162" s="42" t="str">
        <f>IFERROR(__xludf.DUMMYFUNCTION("""COMPUTED_VALUE"""),"Nawirudin")</f>
        <v>Nawirudin</v>
      </c>
      <c r="C162" s="42" t="str">
        <f>IFERROR(__xludf.DUMMYFUNCTION("""COMPUTED_VALUE"""),"Online")</f>
        <v>Online</v>
      </c>
      <c r="D162" s="42" t="str">
        <f>IFERROR(__xludf.DUMMYFUNCTION("""COMPUTED_VALUE"""),"Fullstack Mobile Developer")</f>
        <v>Fullstack Mobile Developer</v>
      </c>
      <c r="E162" s="42">
        <f>IFERROR(__xludf.DUMMYFUNCTION("""COMPUTED_VALUE"""),17.0)</f>
        <v>17</v>
      </c>
      <c r="F162" s="42">
        <f>IFERROR(__xludf.DUMMYFUNCTION("""COMPUTED_VALUE"""),1.0)</f>
        <v>1</v>
      </c>
      <c r="G162" s="42" t="str">
        <f>IFERROR(__xludf.DUMMYFUNCTION("""COMPUTED_VALUE"""),"ARKWH8")</f>
        <v>ARKWH8</v>
      </c>
      <c r="H162" s="42" t="str">
        <f>IFERROR(__xludf.DUMMYFUNCTION("""COMPUTED_VALUE"""),"Logic")</f>
        <v>Logic</v>
      </c>
      <c r="I162" s="46" t="str">
        <f>IFERROR(__xludf.DUMMYFUNCTION("""COMPUTED_VALUE"""),"https://playcode.io/654186")</f>
        <v>https://playcode.io/654186</v>
      </c>
      <c r="J162" s="42"/>
      <c r="K162" s="42"/>
      <c r="L162" s="42">
        <f>IFERROR(__xludf.DUMMYFUNCTION("""COMPUTED_VALUE"""),0.25)</f>
        <v>0.25</v>
      </c>
      <c r="M162" s="42" t="str">
        <f>IFERROR(__xludf.DUMMYFUNCTION("""COMPUTED_VALUE"""),"hasilnya tidak tepat, pembagian permen dan orang tidak sesuai")</f>
        <v>hasilnya tidak tepat, pembagian permen dan orang tidak sesuai</v>
      </c>
    </row>
    <row r="163">
      <c r="A163" s="43">
        <f>IFERROR(__xludf.DUMMYFUNCTION("""COMPUTED_VALUE"""),44062.54316195602)</f>
        <v>44062.54316</v>
      </c>
      <c r="B163" s="42" t="str">
        <f>IFERROR(__xludf.DUMMYFUNCTION("""COMPUTED_VALUE"""),"wildan dhya ulhaq hidayat")</f>
        <v>wildan dhya ulhaq hidayat</v>
      </c>
      <c r="C163" s="42" t="str">
        <f>IFERROR(__xludf.DUMMYFUNCTION("""COMPUTED_VALUE"""),"Online")</f>
        <v>Online</v>
      </c>
      <c r="D163" s="42" t="str">
        <f>IFERROR(__xludf.DUMMYFUNCTION("""COMPUTED_VALUE"""),"Fullstack Mobile Developer")</f>
        <v>Fullstack Mobile Developer</v>
      </c>
      <c r="E163" s="42">
        <f>IFERROR(__xludf.DUMMYFUNCTION("""COMPUTED_VALUE"""),17.0)</f>
        <v>17</v>
      </c>
      <c r="F163" s="42">
        <f>IFERROR(__xludf.DUMMYFUNCTION("""COMPUTED_VALUE"""),1.0)</f>
        <v>1</v>
      </c>
      <c r="G163" s="42" t="str">
        <f>IFERROR(__xludf.DUMMYFUNCTION("""COMPUTED_VALUE"""),"ARKWH8")</f>
        <v>ARKWH8</v>
      </c>
      <c r="H163" s="42" t="str">
        <f>IFERROR(__xludf.DUMMYFUNCTION("""COMPUTED_VALUE"""),"Logic")</f>
        <v>Logic</v>
      </c>
      <c r="I163" s="46" t="str">
        <f>IFERROR(__xludf.DUMMYFUNCTION("""COMPUTED_VALUE"""),"https://playcode.io/654235")</f>
        <v>https://playcode.io/654235</v>
      </c>
      <c r="J163" s="42"/>
      <c r="K163" s="42"/>
      <c r="L163" s="42">
        <f>IFERROR(__xludf.DUMMYFUNCTION("""COMPUTED_VALUE"""),0.25)</f>
        <v>0.25</v>
      </c>
      <c r="M163" s="42" t="str">
        <f>IFERROR(__xludf.DUMMYFUNCTION("""COMPUTED_VALUE"""),"hasilnya tidak tepat, pembagian permen dan orang tidak sesuai")</f>
        <v>hasilnya tidak tepat, pembagian permen dan orang tidak sesuai</v>
      </c>
    </row>
    <row r="164">
      <c r="A164" s="43">
        <f>IFERROR(__xludf.DUMMYFUNCTION("""COMPUTED_VALUE"""),44069.58635547454)</f>
        <v>44069.58636</v>
      </c>
      <c r="B164" s="42" t="str">
        <f>IFERROR(__xludf.DUMMYFUNCTION("""COMPUTED_VALUE"""),"Muhamad Adam")</f>
        <v>Muhamad Adam</v>
      </c>
      <c r="C164" s="42" t="str">
        <f>IFERROR(__xludf.DUMMYFUNCTION("""COMPUTED_VALUE"""),"Online")</f>
        <v>Online</v>
      </c>
      <c r="D164" s="42" t="str">
        <f>IFERROR(__xludf.DUMMYFUNCTION("""COMPUTED_VALUE"""),"Fullstack Mobile Developer")</f>
        <v>Fullstack Mobile Developer</v>
      </c>
      <c r="E164" s="42">
        <f>IFERROR(__xludf.DUMMYFUNCTION("""COMPUTED_VALUE"""),16.0)</f>
        <v>16</v>
      </c>
      <c r="F164" s="42">
        <f>IFERROR(__xludf.DUMMYFUNCTION("""COMPUTED_VALUE"""),3.0)</f>
        <v>3</v>
      </c>
      <c r="G164" s="42" t="str">
        <f>IFERROR(__xludf.DUMMYFUNCTION("""COMPUTED_VALUE"""),"ARKWH9")</f>
        <v>ARKWH9</v>
      </c>
      <c r="H164" s="42" t="str">
        <f>IFERROR(__xludf.DUMMYFUNCTION("""COMPUTED_VALUE"""),"Logic")</f>
        <v>Logic</v>
      </c>
      <c r="I164" s="46" t="str">
        <f>IFERROR(__xludf.DUMMYFUNCTION("""COMPUTED_VALUE"""),"https://repl.it/@MuhamadAdam/ARKWH9")</f>
        <v>https://repl.it/@MuhamadAdam/ARKWH9</v>
      </c>
      <c r="J164" s="42"/>
      <c r="K164" s="42"/>
      <c r="L164" s="42">
        <f>IFERROR(__xludf.DUMMYFUNCTION("""COMPUTED_VALUE"""),1.5)</f>
        <v>1.5</v>
      </c>
      <c r="M164" s="42" t="str">
        <f>IFERROR(__xludf.DUMMYFUNCTION("""COMPUTED_VALUE"""),"hampir benar, hanya saja salah di kurang memperhatikan ketentuan soal")</f>
        <v>hampir benar, hanya saja salah di kurang memperhatikan ketentuan soal</v>
      </c>
    </row>
    <row r="165">
      <c r="A165" s="43">
        <f>IFERROR(__xludf.DUMMYFUNCTION("""COMPUTED_VALUE"""),44069.59157909722)</f>
        <v>44069.59158</v>
      </c>
      <c r="B165" s="42" t="str">
        <f>IFERROR(__xludf.DUMMYFUNCTION("""COMPUTED_VALUE"""),"Adnin Rifandi Sutanto Putra")</f>
        <v>Adnin Rifandi Sutanto Putra</v>
      </c>
      <c r="C165" s="42" t="str">
        <f>IFERROR(__xludf.DUMMYFUNCTION("""COMPUTED_VALUE"""),"Online")</f>
        <v>Online</v>
      </c>
      <c r="D165" s="42" t="str">
        <f>IFERROR(__xludf.DUMMYFUNCTION("""COMPUTED_VALUE"""),"Fullstack Mobile Developer")</f>
        <v>Fullstack Mobile Developer</v>
      </c>
      <c r="E165" s="42">
        <f>IFERROR(__xludf.DUMMYFUNCTION("""COMPUTED_VALUE"""),16.0)</f>
        <v>16</v>
      </c>
      <c r="F165" s="42">
        <f>IFERROR(__xludf.DUMMYFUNCTION("""COMPUTED_VALUE"""),3.0)</f>
        <v>3</v>
      </c>
      <c r="G165" s="42" t="str">
        <f>IFERROR(__xludf.DUMMYFUNCTION("""COMPUTED_VALUE"""),"ARKWH9")</f>
        <v>ARKWH9</v>
      </c>
      <c r="H165" s="42" t="str">
        <f>IFERROR(__xludf.DUMMYFUNCTION("""COMPUTED_VALUE"""),"Logic")</f>
        <v>Logic</v>
      </c>
      <c r="I165" s="46" t="str">
        <f>IFERROR(__xludf.DUMMYFUNCTION("""COMPUTED_VALUE"""),"https://repl.it/@AdninRifandioff/Weekly-Quiz-Week-9#index.js")</f>
        <v>https://repl.it/@AdninRifandioff/Weekly-Quiz-Week-9#index.js</v>
      </c>
      <c r="J165" s="42"/>
      <c r="K165" s="42"/>
      <c r="L165" s="42">
        <f>IFERROR(__xludf.DUMMYFUNCTION("""COMPUTED_VALUE"""),1.5)</f>
        <v>1.5</v>
      </c>
      <c r="M165" s="42" t="str">
        <f>IFERROR(__xludf.DUMMYFUNCTION("""COMPUTED_VALUE"""),"hampir benar, hanya saja salah di kurang memperhatikan ketentuan soal")</f>
        <v>hampir benar, hanya saja salah di kurang memperhatikan ketentuan soal</v>
      </c>
    </row>
    <row r="166">
      <c r="A166" s="43">
        <f>IFERROR(__xludf.DUMMYFUNCTION("""COMPUTED_VALUE"""),44069.607599317125)</f>
        <v>44069.6076</v>
      </c>
      <c r="B166" s="42" t="str">
        <f>IFERROR(__xludf.DUMMYFUNCTION("""COMPUTED_VALUE"""),"Dicky Julian Pratama")</f>
        <v>Dicky Julian Pratama</v>
      </c>
      <c r="C166" s="42" t="str">
        <f>IFERROR(__xludf.DUMMYFUNCTION("""COMPUTED_VALUE"""),"Online")</f>
        <v>Online</v>
      </c>
      <c r="D166" s="42" t="str">
        <f>IFERROR(__xludf.DUMMYFUNCTION("""COMPUTED_VALUE"""),"Fullstack Mobile Developer")</f>
        <v>Fullstack Mobile Developer</v>
      </c>
      <c r="E166" s="42">
        <f>IFERROR(__xludf.DUMMYFUNCTION("""COMPUTED_VALUE"""),16.0)</f>
        <v>16</v>
      </c>
      <c r="F166" s="42">
        <f>IFERROR(__xludf.DUMMYFUNCTION("""COMPUTED_VALUE"""),3.0)</f>
        <v>3</v>
      </c>
      <c r="G166" s="42" t="str">
        <f>IFERROR(__xludf.DUMMYFUNCTION("""COMPUTED_VALUE"""),"ARKWH9")</f>
        <v>ARKWH9</v>
      </c>
      <c r="H166" s="42" t="str">
        <f>IFERROR(__xludf.DUMMYFUNCTION("""COMPUTED_VALUE"""),"Logic")</f>
        <v>Logic</v>
      </c>
      <c r="I166" s="46" t="str">
        <f>IFERROR(__xludf.DUMMYFUNCTION("""COMPUTED_VALUE"""),"https://repl.it/@dickyjulian/Mo-Language#index.js")</f>
        <v>https://repl.it/@dickyjulian/Mo-Language#index.js</v>
      </c>
      <c r="J166" s="42"/>
      <c r="K166" s="42"/>
      <c r="L166" s="42">
        <f>IFERROR(__xludf.DUMMYFUNCTION("""COMPUTED_VALUE"""),2.0)</f>
        <v>2</v>
      </c>
      <c r="M166" s="42"/>
    </row>
    <row r="167">
      <c r="A167" s="43">
        <f>IFERROR(__xludf.DUMMYFUNCTION("""COMPUTED_VALUE"""),44069.62380104167)</f>
        <v>44069.6238</v>
      </c>
      <c r="B167" s="42" t="str">
        <f>IFERROR(__xludf.DUMMYFUNCTION("""COMPUTED_VALUE"""),"Muhamad Abiyasa Sastra Wardana")</f>
        <v>Muhamad Abiyasa Sastra Wardana</v>
      </c>
      <c r="C167" s="42" t="str">
        <f>IFERROR(__xludf.DUMMYFUNCTION("""COMPUTED_VALUE"""),"Online")</f>
        <v>Online</v>
      </c>
      <c r="D167" s="42" t="str">
        <f>IFERROR(__xludf.DUMMYFUNCTION("""COMPUTED_VALUE"""),"Fullstack Mobile Developer")</f>
        <v>Fullstack Mobile Developer</v>
      </c>
      <c r="E167" s="42">
        <f>IFERROR(__xludf.DUMMYFUNCTION("""COMPUTED_VALUE"""),16.0)</f>
        <v>16</v>
      </c>
      <c r="F167" s="42">
        <f>IFERROR(__xludf.DUMMYFUNCTION("""COMPUTED_VALUE"""),3.0)</f>
        <v>3</v>
      </c>
      <c r="G167" s="42" t="str">
        <f>IFERROR(__xludf.DUMMYFUNCTION("""COMPUTED_VALUE"""),"ARKWH9")</f>
        <v>ARKWH9</v>
      </c>
      <c r="H167" s="42" t="str">
        <f>IFERROR(__xludf.DUMMYFUNCTION("""COMPUTED_VALUE"""),"Logic")</f>
        <v>Logic</v>
      </c>
      <c r="I167" s="46" t="str">
        <f>IFERROR(__xludf.DUMMYFUNCTION("""COMPUTED_VALUE"""),"https://repl.it/@byasaa/Arkademy-Weekly-Quiz-9#index.js")</f>
        <v>https://repl.it/@byasaa/Arkademy-Weekly-Quiz-9#index.js</v>
      </c>
      <c r="J167" s="42"/>
      <c r="K167" s="42"/>
      <c r="L167" s="42">
        <f>IFERROR(__xludf.DUMMYFUNCTION("""COMPUTED_VALUE"""),2.0)</f>
        <v>2</v>
      </c>
      <c r="M167" s="42"/>
    </row>
    <row r="168">
      <c r="A168" s="43">
        <f>IFERROR(__xludf.DUMMYFUNCTION("""COMPUTED_VALUE"""),44073.4215565162)</f>
        <v>44073.42156</v>
      </c>
      <c r="B168" s="42" t="str">
        <f>IFERROR(__xludf.DUMMYFUNCTION("""COMPUTED_VALUE"""),"Fadlan Fajar Ramdani")</f>
        <v>Fadlan Fajar Ramdani</v>
      </c>
      <c r="C168" s="42" t="str">
        <f>IFERROR(__xludf.DUMMYFUNCTION("""COMPUTED_VALUE"""),"Jogja")</f>
        <v>Jogja</v>
      </c>
      <c r="D168" s="42" t="str">
        <f>IFERROR(__xludf.DUMMYFUNCTION("""COMPUTED_VALUE"""),"Fullstack Mobile Developer")</f>
        <v>Fullstack Mobile Developer</v>
      </c>
      <c r="E168" s="42">
        <f>IFERROR(__xludf.DUMMYFUNCTION("""COMPUTED_VALUE"""),10.0)</f>
        <v>10</v>
      </c>
      <c r="F168" s="42" t="str">
        <f>IFERROR(__xludf.DUMMYFUNCTION("""COMPUTED_VALUE"""),"-")</f>
        <v>-</v>
      </c>
      <c r="G168" s="42" t="str">
        <f>IFERROR(__xludf.DUMMYFUNCTION("""COMPUTED_VALUE"""),"ARKWH9")</f>
        <v>ARKWH9</v>
      </c>
      <c r="H168" s="42" t="str">
        <f>IFERROR(__xludf.DUMMYFUNCTION("""COMPUTED_VALUE"""),"Logic")</f>
        <v>Logic</v>
      </c>
      <c r="I168" s="46" t="str">
        <f>IFERROR(__xludf.DUMMYFUNCTION("""COMPUTED_VALUE"""),"https://play.golang.org/p/3heRmIDdHy-")</f>
        <v>https://play.golang.org/p/3heRmIDdHy-</v>
      </c>
      <c r="J168" s="42"/>
      <c r="K168" s="42"/>
      <c r="L168" s="42">
        <f>IFERROR(__xludf.DUMMYFUNCTION("""COMPUTED_VALUE"""),2.0)</f>
        <v>2</v>
      </c>
      <c r="M168" s="42" t="str">
        <f>IFERROR(__xludf.DUMMYFUNCTION("""COMPUTED_VALUE"""),"pakai golang")</f>
        <v>pakai golang</v>
      </c>
    </row>
    <row r="169">
      <c r="A169" s="43">
        <f>IFERROR(__xludf.DUMMYFUNCTION("""COMPUTED_VALUE"""),44077.46989636574)</f>
        <v>44077.4699</v>
      </c>
      <c r="B169" s="42" t="str">
        <f>IFERROR(__xludf.DUMMYFUNCTION("""COMPUTED_VALUE"""),"Ervin Nurhadiyanto")</f>
        <v>Ervin Nurhadiyanto</v>
      </c>
      <c r="C169" s="42" t="str">
        <f>IFERROR(__xludf.DUMMYFUNCTION("""COMPUTED_VALUE"""),"Online")</f>
        <v>Online</v>
      </c>
      <c r="D169" s="42" t="str">
        <f>IFERROR(__xludf.DUMMYFUNCTION("""COMPUTED_VALUE"""),"Fullstack Web Developer")</f>
        <v>Fullstack Web Developer</v>
      </c>
      <c r="E169" s="42">
        <f>IFERROR(__xludf.DUMMYFUNCTION("""COMPUTED_VALUE"""),2.0)</f>
        <v>2</v>
      </c>
      <c r="F169" s="42">
        <f>IFERROR(__xludf.DUMMYFUNCTION("""COMPUTED_VALUE"""),1.0)</f>
        <v>1</v>
      </c>
      <c r="G169" s="42" t="str">
        <f>IFERROR(__xludf.DUMMYFUNCTION("""COMPUTED_VALUE"""),"ARKWH1")</f>
        <v>ARKWH1</v>
      </c>
      <c r="H169" s="42"/>
      <c r="I169" s="46" t="str">
        <f>IFERROR(__xludf.DUMMYFUNCTION("""COMPUTED_VALUE"""),"https://repl.it/join/kwsfsriu-coffeebreak")</f>
        <v>https://repl.it/join/kwsfsriu-coffeebreak</v>
      </c>
      <c r="J169" s="46" t="str">
        <f>IFERROR(__xludf.DUMMYFUNCTION("""COMPUTED_VALUE"""),"https://drive.google.com/file/d/1Lyb-AqcJNUWERAEw6FrqDVBzrpL5zKen/view?usp=sharing")</f>
        <v>https://drive.google.com/file/d/1Lyb-AqcJNUWERAEw6FrqDVBzrpL5zKen/view?usp=sharing</v>
      </c>
      <c r="K169" s="46" t="str">
        <f>IFERROR(__xludf.DUMMYFUNCTION("""COMPUTED_VALUE"""),"https://drive.google.com/open?id=1c3xneneSdJfMqfE8oKSoHVGwHVc0rtTM")</f>
        <v>https://drive.google.com/open?id=1c3xneneSdJfMqfE8oKSoHVGwHVc0rtTM</v>
      </c>
      <c r="L169" s="42">
        <f>IFERROR(__xludf.DUMMYFUNCTION("""COMPUTED_VALUE"""),1.0)</f>
        <v>1</v>
      </c>
      <c r="M169" s="42" t="str">
        <f>IFERROR(__xludf.DUMMYFUNCTION("""COMPUTED_VALUE"""),"untuk codingan ada yg salah pada ""price &gt;= 60000"" yang benar totalSub&gt;= 60000")</f>
        <v>untuk codingan ada yg salah pada "price &gt;= 60000" yang benar totalSub&gt;= 60000</v>
      </c>
    </row>
    <row r="170">
      <c r="A170" s="43">
        <f>IFERROR(__xludf.DUMMYFUNCTION("""COMPUTED_VALUE"""),44077.470099791666)</f>
        <v>44077.4701</v>
      </c>
      <c r="B170" s="42" t="str">
        <f>IFERROR(__xludf.DUMMYFUNCTION("""COMPUTED_VALUE"""),"Cep Guna Widodo")</f>
        <v>Cep Guna Widodo</v>
      </c>
      <c r="C170" s="42" t="str">
        <f>IFERROR(__xludf.DUMMYFUNCTION("""COMPUTED_VALUE"""),"Online")</f>
        <v>Online</v>
      </c>
      <c r="D170" s="42" t="str">
        <f>IFERROR(__xludf.DUMMYFUNCTION("""COMPUTED_VALUE"""),"Fullstack Web Developer")</f>
        <v>Fullstack Web Developer</v>
      </c>
      <c r="E170" s="42">
        <f>IFERROR(__xludf.DUMMYFUNCTION("""COMPUTED_VALUE"""),2.0)</f>
        <v>2</v>
      </c>
      <c r="F170" s="42">
        <f>IFERROR(__xludf.DUMMYFUNCTION("""COMPUTED_VALUE"""),1.0)</f>
        <v>1</v>
      </c>
      <c r="G170" s="42" t="str">
        <f>IFERROR(__xludf.DUMMYFUNCTION("""COMPUTED_VALUE"""),"ARKWH1")</f>
        <v>ARKWH1</v>
      </c>
      <c r="H170" s="42"/>
      <c r="I170" s="46" t="str">
        <f>IFERROR(__xludf.DUMMYFUNCTION("""COMPUTED_VALUE"""),"https://repl.it/@joonacode/quiz1#index.js")</f>
        <v>https://repl.it/@joonacode/quiz1#index.js</v>
      </c>
      <c r="J170" s="46" t="str">
        <f>IFERROR(__xludf.DUMMYFUNCTION("""COMPUTED_VALUE"""),"https://drive.google.com/file/d/14bPxS4ECEBLP_bw5oAwhh8GRiFg_Ngg1/view?usp=sharing")</f>
        <v>https://drive.google.com/file/d/14bPxS4ECEBLP_bw5oAwhh8GRiFg_Ngg1/view?usp=sharing</v>
      </c>
      <c r="K170" s="46" t="str">
        <f>IFERROR(__xludf.DUMMYFUNCTION("""COMPUTED_VALUE"""),"https://drive.google.com/open?id=1l13EB1oe8vBavJWhHWZzpTs5qnOfNGuV")</f>
        <v>https://drive.google.com/open?id=1l13EB1oe8vBavJWhHWZzpTs5qnOfNGuV</v>
      </c>
      <c r="L170" s="42">
        <f>IFERROR(__xludf.DUMMYFUNCTION("""COMPUTED_VALUE"""),2.0)</f>
        <v>2</v>
      </c>
      <c r="M170" s="42"/>
    </row>
    <row r="171">
      <c r="A171" s="43">
        <f>IFERROR(__xludf.DUMMYFUNCTION("""COMPUTED_VALUE"""),44077.472979363425)</f>
        <v>44077.47298</v>
      </c>
      <c r="B171" s="42" t="str">
        <f>IFERROR(__xludf.DUMMYFUNCTION("""COMPUTED_VALUE"""),"Hamdan Hamdani")</f>
        <v>Hamdan Hamdani</v>
      </c>
      <c r="C171" s="42" t="str">
        <f>IFERROR(__xludf.DUMMYFUNCTION("""COMPUTED_VALUE"""),"Online")</f>
        <v>Online</v>
      </c>
      <c r="D171" s="42" t="str">
        <f>IFERROR(__xludf.DUMMYFUNCTION("""COMPUTED_VALUE"""),"Fullstack Web Developer")</f>
        <v>Fullstack Web Developer</v>
      </c>
      <c r="E171" s="42">
        <f>IFERROR(__xludf.DUMMYFUNCTION("""COMPUTED_VALUE"""),2.0)</f>
        <v>2</v>
      </c>
      <c r="F171" s="42">
        <f>IFERROR(__xludf.DUMMYFUNCTION("""COMPUTED_VALUE"""),1.0)</f>
        <v>1</v>
      </c>
      <c r="G171" s="42" t="str">
        <f>IFERROR(__xludf.DUMMYFUNCTION("""COMPUTED_VALUE"""),"ARKWH1")</f>
        <v>ARKWH1</v>
      </c>
      <c r="H171" s="42"/>
      <c r="I171" s="46" t="str">
        <f>IFERROR(__xludf.DUMMYFUNCTION("""COMPUTED_VALUE"""),"https://repl.it/repls/SubduedMediumInterchangeability")</f>
        <v>https://repl.it/repls/SubduedMediumInterchangeability</v>
      </c>
      <c r="J171" s="46" t="str">
        <f>IFERROR(__xludf.DUMMYFUNCTION("""COMPUTED_VALUE"""),"https://drive.google.com/file/d/17WMW2Ecy4dkQubJdWrgj7PUOpPXGwyJz/view?usp=sharing")</f>
        <v>https://drive.google.com/file/d/17WMW2Ecy4dkQubJdWrgj7PUOpPXGwyJz/view?usp=sharing</v>
      </c>
      <c r="K171" s="46" t="str">
        <f>IFERROR(__xludf.DUMMYFUNCTION("""COMPUTED_VALUE"""),"https://drive.google.com/open?id=1T0j3D4Ktd2QygBpXFKH3czdApRppeksO")</f>
        <v>https://drive.google.com/open?id=1T0j3D4Ktd2QygBpXFKH3czdApRppeksO</v>
      </c>
      <c r="L171" s="42">
        <f>IFERROR(__xludf.DUMMYFUNCTION("""COMPUTED_VALUE"""),2.0)</f>
        <v>2</v>
      </c>
      <c r="M171" s="42"/>
    </row>
    <row r="172">
      <c r="A172" s="43">
        <f>IFERROR(__xludf.DUMMYFUNCTION("""COMPUTED_VALUE"""),44077.473329305554)</f>
        <v>44077.47333</v>
      </c>
      <c r="B172" s="42" t="str">
        <f>IFERROR(__xludf.DUMMYFUNCTION("""COMPUTED_VALUE"""),"Anka Abdullah")</f>
        <v>Anka Abdullah</v>
      </c>
      <c r="C172" s="42" t="str">
        <f>IFERROR(__xludf.DUMMYFUNCTION("""COMPUTED_VALUE"""),"Online")</f>
        <v>Online</v>
      </c>
      <c r="D172" s="42" t="str">
        <f>IFERROR(__xludf.DUMMYFUNCTION("""COMPUTED_VALUE"""),"Fullstack Web Developer")</f>
        <v>Fullstack Web Developer</v>
      </c>
      <c r="E172" s="42">
        <f>IFERROR(__xludf.DUMMYFUNCTION("""COMPUTED_VALUE"""),2.0)</f>
        <v>2</v>
      </c>
      <c r="F172" s="42">
        <f>IFERROR(__xludf.DUMMYFUNCTION("""COMPUTED_VALUE"""),1.0)</f>
        <v>1</v>
      </c>
      <c r="G172" s="42" t="str">
        <f>IFERROR(__xludf.DUMMYFUNCTION("""COMPUTED_VALUE"""),"ARKWH1")</f>
        <v>ARKWH1</v>
      </c>
      <c r="H172" s="42"/>
      <c r="I172" s="46" t="str">
        <f>IFERROR(__xludf.DUMMYFUNCTION("""COMPUTED_VALUE"""),"https://repl.it/join/upoxuqgk-ankaabdullah")</f>
        <v>https://repl.it/join/upoxuqgk-ankaabdullah</v>
      </c>
      <c r="J172" s="46" t="str">
        <f>IFERROR(__xludf.DUMMYFUNCTION("""COMPUTED_VALUE"""),"https://drive.google.com/file/d/12MXxTHwclJu4-SY98xKUwadTtZKlsmnd/view?usp=sharing")</f>
        <v>https://drive.google.com/file/d/12MXxTHwclJu4-SY98xKUwadTtZKlsmnd/view?usp=sharing</v>
      </c>
      <c r="K172" s="46" t="str">
        <f>IFERROR(__xludf.DUMMYFUNCTION("""COMPUTED_VALUE"""),"https://drive.google.com/open?id=1kBcz8ybEbkWJA6xGYuJtbVb1Up-egXEe")</f>
        <v>https://drive.google.com/open?id=1kBcz8ybEbkWJA6xGYuJtbVb1Up-egXEe</v>
      </c>
      <c r="L172" s="42">
        <f>IFERROR(__xludf.DUMMYFUNCTION("""COMPUTED_VALUE"""),2.0)</f>
        <v>2</v>
      </c>
      <c r="M172" s="42"/>
    </row>
    <row r="173">
      <c r="A173" s="43">
        <f>IFERROR(__xludf.DUMMYFUNCTION("""COMPUTED_VALUE"""),44077.47484303241)</f>
        <v>44077.47484</v>
      </c>
      <c r="B173" s="42" t="str">
        <f>IFERROR(__xludf.DUMMYFUNCTION("""COMPUTED_VALUE"""),"Regina Putri Arinda")</f>
        <v>Regina Putri Arinda</v>
      </c>
      <c r="C173" s="42" t="str">
        <f>IFERROR(__xludf.DUMMYFUNCTION("""COMPUTED_VALUE"""),"Online")</f>
        <v>Online</v>
      </c>
      <c r="D173" s="42" t="str">
        <f>IFERROR(__xludf.DUMMYFUNCTION("""COMPUTED_VALUE"""),"Fullstack Web Developer")</f>
        <v>Fullstack Web Developer</v>
      </c>
      <c r="E173" s="42">
        <f>IFERROR(__xludf.DUMMYFUNCTION("""COMPUTED_VALUE"""),2.0)</f>
        <v>2</v>
      </c>
      <c r="F173" s="42">
        <f>IFERROR(__xludf.DUMMYFUNCTION("""COMPUTED_VALUE"""),1.0)</f>
        <v>1</v>
      </c>
      <c r="G173" s="42" t="str">
        <f>IFERROR(__xludf.DUMMYFUNCTION("""COMPUTED_VALUE"""),"ARKWH1")</f>
        <v>ARKWH1</v>
      </c>
      <c r="H173" s="42"/>
      <c r="I173" s="46" t="str">
        <f>IFERROR(__xludf.DUMMYFUNCTION("""COMPUTED_VALUE"""),"https://repl.it/@ReginaPutri/task1#index.js")</f>
        <v>https://repl.it/@ReginaPutri/task1#index.js</v>
      </c>
      <c r="J173" s="46" t="str">
        <f>IFERROR(__xludf.DUMMYFUNCTION("""COMPUTED_VALUE"""),"https://drive.google.com/drive/folders/16SYU55ROpK1mixh5AA1SJ5GBG30WENG6?usp=sharing")</f>
        <v>https://drive.google.com/drive/folders/16SYU55ROpK1mixh5AA1SJ5GBG30WENG6?usp=sharing</v>
      </c>
      <c r="K173" s="42"/>
      <c r="L173" s="42">
        <f>IFERROR(__xludf.DUMMYFUNCTION("""COMPUTED_VALUE"""),2.0)</f>
        <v>2</v>
      </c>
      <c r="M173" s="42"/>
    </row>
    <row r="174">
      <c r="A174" s="43">
        <f>IFERROR(__xludf.DUMMYFUNCTION("""COMPUTED_VALUE"""),44077.47517167824)</f>
        <v>44077.47517</v>
      </c>
      <c r="B174" s="42" t="str">
        <f>IFERROR(__xludf.DUMMYFUNCTION("""COMPUTED_VALUE"""),"Dewondo Friemorn")</f>
        <v>Dewondo Friemorn</v>
      </c>
      <c r="C174" s="42" t="str">
        <f>IFERROR(__xludf.DUMMYFUNCTION("""COMPUTED_VALUE"""),"Online")</f>
        <v>Online</v>
      </c>
      <c r="D174" s="42" t="str">
        <f>IFERROR(__xludf.DUMMYFUNCTION("""COMPUTED_VALUE"""),"Fullstack Web Developer")</f>
        <v>Fullstack Web Developer</v>
      </c>
      <c r="E174" s="42">
        <f>IFERROR(__xludf.DUMMYFUNCTION("""COMPUTED_VALUE"""),2.0)</f>
        <v>2</v>
      </c>
      <c r="F174" s="42">
        <f>IFERROR(__xludf.DUMMYFUNCTION("""COMPUTED_VALUE"""),1.0)</f>
        <v>1</v>
      </c>
      <c r="G174" s="42" t="str">
        <f>IFERROR(__xludf.DUMMYFUNCTION("""COMPUTED_VALUE"""),"ARKWH1")</f>
        <v>ARKWH1</v>
      </c>
      <c r="H174" s="42"/>
      <c r="I174" s="46" t="str">
        <f>IFERROR(__xludf.DUMMYFUNCTION("""COMPUTED_VALUE"""),"https://repl.it/@Friemorn/Frialive7")</f>
        <v>https://repl.it/@Friemorn/Frialive7</v>
      </c>
      <c r="J174" s="46" t="str">
        <f>IFERROR(__xludf.DUMMYFUNCTION("""COMPUTED_VALUE"""),"https://drive.google.com/file/d/15yjp6yKB2KuOnT9PkA6lKNXu3Mmgm31T/view?usp=sharing")</f>
        <v>https://drive.google.com/file/d/15yjp6yKB2KuOnT9PkA6lKNXu3Mmgm31T/view?usp=sharing</v>
      </c>
      <c r="K174" s="46" t="str">
        <f>IFERROR(__xludf.DUMMYFUNCTION("""COMPUTED_VALUE"""),"https://drive.google.com/open?id=1ivwrjyi_sftjEZ6FJ8-C5YhtE5JtwErC")</f>
        <v>https://drive.google.com/open?id=1ivwrjyi_sftjEZ6FJ8-C5YhtE5JtwErC</v>
      </c>
      <c r="L174" s="42">
        <f>IFERROR(__xludf.DUMMYFUNCTION("""COMPUTED_VALUE"""),2.0)</f>
        <v>2</v>
      </c>
      <c r="M174" s="42"/>
    </row>
    <row r="175">
      <c r="A175" s="43">
        <f>IFERROR(__xludf.DUMMYFUNCTION("""COMPUTED_VALUE"""),44077.47856726852)</f>
        <v>44077.47857</v>
      </c>
      <c r="B175" s="42" t="str">
        <f>IFERROR(__xludf.DUMMYFUNCTION("""COMPUTED_VALUE"""),"Erlangga Jatikusuma")</f>
        <v>Erlangga Jatikusuma</v>
      </c>
      <c r="C175" s="42" t="str">
        <f>IFERROR(__xludf.DUMMYFUNCTION("""COMPUTED_VALUE"""),"Online")</f>
        <v>Online</v>
      </c>
      <c r="D175" s="42" t="str">
        <f>IFERROR(__xludf.DUMMYFUNCTION("""COMPUTED_VALUE"""),"Fullstack Web Developer")</f>
        <v>Fullstack Web Developer</v>
      </c>
      <c r="E175" s="42">
        <f>IFERROR(__xludf.DUMMYFUNCTION("""COMPUTED_VALUE"""),2.0)</f>
        <v>2</v>
      </c>
      <c r="F175" s="42">
        <f>IFERROR(__xludf.DUMMYFUNCTION("""COMPUTED_VALUE"""),1.0)</f>
        <v>1</v>
      </c>
      <c r="G175" s="42" t="str">
        <f>IFERROR(__xludf.DUMMYFUNCTION("""COMPUTED_VALUE"""),"ARKWH1")</f>
        <v>ARKWH1</v>
      </c>
      <c r="H175" s="42"/>
      <c r="I175" s="46" t="str">
        <f>IFERROR(__xludf.DUMMYFUNCTION("""COMPUTED_VALUE"""),"https://repl.it/repls/TallDarkorangeGigabyte#index.js")</f>
        <v>https://repl.it/repls/TallDarkorangeGigabyte#index.js</v>
      </c>
      <c r="J175" s="46" t="str">
        <f>IFERROR(__xludf.DUMMYFUNCTION("""COMPUTED_VALUE"""),"https://drive.google.com/file/d/1alI7JlzDIJnM90qnaPEbnXNNPkbjGr34/view?usp=sharing")</f>
        <v>https://drive.google.com/file/d/1alI7JlzDIJnM90qnaPEbnXNNPkbjGr34/view?usp=sharing</v>
      </c>
      <c r="K175" s="42"/>
      <c r="L175" s="42">
        <f>IFERROR(__xludf.DUMMYFUNCTION("""COMPUTED_VALUE"""),1.5)</f>
        <v>1.5</v>
      </c>
      <c r="M175" s="42" t="str">
        <f>IFERROR(__xludf.DUMMYFUNCTION("""COMPUTED_VALUE"""),"flowchart belum tepat, untuk total dan Discounnya dapat dari mana ?")</f>
        <v>flowchart belum tepat, untuk total dan Discounnya dapat dari mana ?</v>
      </c>
    </row>
    <row r="176">
      <c r="A176" s="43">
        <f>IFERROR(__xludf.DUMMYFUNCTION("""COMPUTED_VALUE"""),44077.479068506946)</f>
        <v>44077.47907</v>
      </c>
      <c r="B176" s="42" t="str">
        <f>IFERROR(__xludf.DUMMYFUNCTION("""COMPUTED_VALUE"""),"Agung Wicaksono Putro")</f>
        <v>Agung Wicaksono Putro</v>
      </c>
      <c r="C176" s="42" t="str">
        <f>IFERROR(__xludf.DUMMYFUNCTION("""COMPUTED_VALUE"""),"Online")</f>
        <v>Online</v>
      </c>
      <c r="D176" s="42" t="str">
        <f>IFERROR(__xludf.DUMMYFUNCTION("""COMPUTED_VALUE"""),"Fullstack Web Developer")</f>
        <v>Fullstack Web Developer</v>
      </c>
      <c r="E176" s="42">
        <f>IFERROR(__xludf.DUMMYFUNCTION("""COMPUTED_VALUE"""),2.0)</f>
        <v>2</v>
      </c>
      <c r="F176" s="42">
        <f>IFERROR(__xludf.DUMMYFUNCTION("""COMPUTED_VALUE"""),1.0)</f>
        <v>1</v>
      </c>
      <c r="G176" s="42" t="str">
        <f>IFERROR(__xludf.DUMMYFUNCTION("""COMPUTED_VALUE"""),"ARKWH1")</f>
        <v>ARKWH1</v>
      </c>
      <c r="H176" s="42"/>
      <c r="I176" s="46" t="str">
        <f>IFERROR(__xludf.DUMMYFUNCTION("""COMPUTED_VALUE"""),"https://repl.it/join/bakmkmzj-agungwicaksonow")</f>
        <v>https://repl.it/join/bakmkmzj-agungwicaksonow</v>
      </c>
      <c r="J176" s="42"/>
      <c r="K176" s="46" t="str">
        <f>IFERROR(__xludf.DUMMYFUNCTION("""COMPUTED_VALUE"""),"https://drive.google.com/open?id=1Wce0SSzdGTik2jHTu8klLpfZzIXkjm6l")</f>
        <v>https://drive.google.com/open?id=1Wce0SSzdGTik2jHTu8klLpfZzIXkjm6l</v>
      </c>
      <c r="L176" s="42">
        <f>IFERROR(__xludf.DUMMYFUNCTION("""COMPUTED_VALUE"""),2.0)</f>
        <v>2</v>
      </c>
      <c r="M176" s="42"/>
    </row>
    <row r="177">
      <c r="A177" s="43">
        <f>IFERROR(__xludf.DUMMYFUNCTION("""COMPUTED_VALUE"""),44077.48623238426)</f>
        <v>44077.48623</v>
      </c>
      <c r="B177" s="42" t="str">
        <f>IFERROR(__xludf.DUMMYFUNCTION("""COMPUTED_VALUE"""),"Deni Irawan Nugraha")</f>
        <v>Deni Irawan Nugraha</v>
      </c>
      <c r="C177" s="42" t="str">
        <f>IFERROR(__xludf.DUMMYFUNCTION("""COMPUTED_VALUE"""),"Online")</f>
        <v>Online</v>
      </c>
      <c r="D177" s="42" t="str">
        <f>IFERROR(__xludf.DUMMYFUNCTION("""COMPUTED_VALUE"""),"Fullstack Web Developer")</f>
        <v>Fullstack Web Developer</v>
      </c>
      <c r="E177" s="42">
        <f>IFERROR(__xludf.DUMMYFUNCTION("""COMPUTED_VALUE"""),2.0)</f>
        <v>2</v>
      </c>
      <c r="F177" s="42">
        <f>IFERROR(__xludf.DUMMYFUNCTION("""COMPUTED_VALUE"""),1.0)</f>
        <v>1</v>
      </c>
      <c r="G177" s="42" t="str">
        <f>IFERROR(__xludf.DUMMYFUNCTION("""COMPUTED_VALUE"""),"ARKWH1")</f>
        <v>ARKWH1</v>
      </c>
      <c r="H177" s="42"/>
      <c r="I177" s="46" t="str">
        <f>IFERROR(__xludf.DUMMYFUNCTION("""COMPUTED_VALUE"""),"https://repl.it/join/soymmuby-denycode")</f>
        <v>https://repl.it/join/soymmuby-denycode</v>
      </c>
      <c r="J177" s="46" t="str">
        <f>IFERROR(__xludf.DUMMYFUNCTION("""COMPUTED_VALUE"""),"https://drive.google.com/drive/folders/1qxdHkIiI4ZwQBq6pjnzDTpRMCaMySzny?usp=sharing")</f>
        <v>https://drive.google.com/drive/folders/1qxdHkIiI4ZwQBq6pjnzDTpRMCaMySzny?usp=sharing</v>
      </c>
      <c r="K177" s="42"/>
      <c r="L177" s="42">
        <f>IFERROR(__xludf.DUMMYFUNCTION("""COMPUTED_VALUE"""),1.5)</f>
        <v>1.5</v>
      </c>
      <c r="M177" s="42" t="str">
        <f>IFERROR(__xludf.DUMMYFUNCTION("""COMPUTED_VALUE"""),"isi dari flowchart ada yg sama, jadi diarahkan saja degan panahnya")</f>
        <v>isi dari flowchart ada yg sama, jadi diarahkan saja degan panahnya</v>
      </c>
    </row>
    <row r="178">
      <c r="A178" s="43">
        <f>IFERROR(__xludf.DUMMYFUNCTION("""COMPUTED_VALUE"""),44077.487746412036)</f>
        <v>44077.48775</v>
      </c>
      <c r="B178" s="42" t="str">
        <f>IFERROR(__xludf.DUMMYFUNCTION("""COMPUTED_VALUE"""),"Sinta Anggun Puspita")</f>
        <v>Sinta Anggun Puspita</v>
      </c>
      <c r="C178" s="42" t="str">
        <f>IFERROR(__xludf.DUMMYFUNCTION("""COMPUTED_VALUE"""),"Depok")</f>
        <v>Depok</v>
      </c>
      <c r="D178" s="42" t="str">
        <f>IFERROR(__xludf.DUMMYFUNCTION("""COMPUTED_VALUE"""),"Fullstack Web Developer")</f>
        <v>Fullstack Web Developer</v>
      </c>
      <c r="E178" s="42">
        <f>IFERROR(__xludf.DUMMYFUNCTION("""COMPUTED_VALUE"""),2.0)</f>
        <v>2</v>
      </c>
      <c r="F178" s="42">
        <f>IFERROR(__xludf.DUMMYFUNCTION("""COMPUTED_VALUE"""),1.0)</f>
        <v>1</v>
      </c>
      <c r="G178" s="42" t="str">
        <f>IFERROR(__xludf.DUMMYFUNCTION("""COMPUTED_VALUE"""),"ARKWH1")</f>
        <v>ARKWH1</v>
      </c>
      <c r="H178" s="42"/>
      <c r="I178" s="46" t="str">
        <f>IFERROR(__xludf.DUMMYFUNCTION("""COMPUTED_VALUE"""),"https://repl.it/@SintaAnggun/RegalCompassionateWearable#index.js")</f>
        <v>https://repl.it/@SintaAnggun/RegalCompassionateWearable#index.js</v>
      </c>
      <c r="J178" s="42"/>
      <c r="K178" s="46" t="str">
        <f>IFERROR(__xludf.DUMMYFUNCTION("""COMPUTED_VALUE"""),"https://drive.google.com/open?id=1QN8tjOI8nzsAt9ydbYKnaCttO6eD_mwC")</f>
        <v>https://drive.google.com/open?id=1QN8tjOI8nzsAt9ydbYKnaCttO6eD_mwC</v>
      </c>
      <c r="L178" s="42">
        <f>IFERROR(__xludf.DUMMYFUNCTION("""COMPUTED_VALUE"""),1.5)</f>
        <v>1.5</v>
      </c>
      <c r="M178" s="42" t="str">
        <f>IFERROR(__xludf.DUMMYFUNCTION("""COMPUTED_VALUE"""),"untuk flowchart masih kurang tepat")</f>
        <v>untuk flowchart masih kurang tepat</v>
      </c>
    </row>
    <row r="179">
      <c r="A179" s="43">
        <f>IFERROR(__xludf.DUMMYFUNCTION("""COMPUTED_VALUE"""),44077.48962936342)</f>
        <v>44077.48963</v>
      </c>
      <c r="B179" s="42" t="str">
        <f>IFERROR(__xludf.DUMMYFUNCTION("""COMPUTED_VALUE"""),"Kemal Reza")</f>
        <v>Kemal Reza</v>
      </c>
      <c r="C179" s="42" t="str">
        <f>IFERROR(__xludf.DUMMYFUNCTION("""COMPUTED_VALUE"""),"Online")</f>
        <v>Online</v>
      </c>
      <c r="D179" s="42" t="str">
        <f>IFERROR(__xludf.DUMMYFUNCTION("""COMPUTED_VALUE"""),"Fullstack Web Developer")</f>
        <v>Fullstack Web Developer</v>
      </c>
      <c r="E179" s="42">
        <f>IFERROR(__xludf.DUMMYFUNCTION("""COMPUTED_VALUE"""),2.0)</f>
        <v>2</v>
      </c>
      <c r="F179" s="42">
        <f>IFERROR(__xludf.DUMMYFUNCTION("""COMPUTED_VALUE"""),1.0)</f>
        <v>1</v>
      </c>
      <c r="G179" s="42" t="str">
        <f>IFERROR(__xludf.DUMMYFUNCTION("""COMPUTED_VALUE"""),"ARKWH1")</f>
        <v>ARKWH1</v>
      </c>
      <c r="H179" s="42"/>
      <c r="I179" s="46" t="str">
        <f>IFERROR(__xludf.DUMMYFUNCTION("""COMPUTED_VALUE"""),"https://playcode.io/663526/")</f>
        <v>https://playcode.io/663526/</v>
      </c>
      <c r="J179" s="42"/>
      <c r="K179" s="46" t="str">
        <f>IFERROR(__xludf.DUMMYFUNCTION("""COMPUTED_VALUE"""),"https://drive.google.com/open?id=1cK_LYpGi7QuuxaAY1HtExf0px_pv3UIY")</f>
        <v>https://drive.google.com/open?id=1cK_LYpGi7QuuxaAY1HtExf0px_pv3UIY</v>
      </c>
      <c r="L179" s="42">
        <f>IFERROR(__xludf.DUMMYFUNCTION("""COMPUTED_VALUE"""),0.5)</f>
        <v>0.5</v>
      </c>
      <c r="M179" s="42" t="str">
        <f>IFERROR(__xludf.DUMMYFUNCTION("""COMPUTED_VALUE"""),"untuk codingannya masih salah di potongan harga, utuk flowchar juga ada salah untuk total yang kurang dari 60000")</f>
        <v>untuk codingannya masih salah di potongan harga, utuk flowchar juga ada salah untuk total yang kurang dari 60000</v>
      </c>
    </row>
    <row r="180">
      <c r="A180" s="43">
        <f>IFERROR(__xludf.DUMMYFUNCTION("""COMPUTED_VALUE"""),44077.4907478588)</f>
        <v>44077.49075</v>
      </c>
      <c r="B180" s="42" t="str">
        <f>IFERROR(__xludf.DUMMYFUNCTION("""COMPUTED_VALUE"""),"Ahmad Jundan Harish")</f>
        <v>Ahmad Jundan Harish</v>
      </c>
      <c r="C180" s="42" t="str">
        <f>IFERROR(__xludf.DUMMYFUNCTION("""COMPUTED_VALUE"""),"Online")</f>
        <v>Online</v>
      </c>
      <c r="D180" s="42" t="str">
        <f>IFERROR(__xludf.DUMMYFUNCTION("""COMPUTED_VALUE"""),"Fullstack Web Developer")</f>
        <v>Fullstack Web Developer</v>
      </c>
      <c r="E180" s="42">
        <f>IFERROR(__xludf.DUMMYFUNCTION("""COMPUTED_VALUE"""),2.0)</f>
        <v>2</v>
      </c>
      <c r="F180" s="42">
        <f>IFERROR(__xludf.DUMMYFUNCTION("""COMPUTED_VALUE"""),1.0)</f>
        <v>1</v>
      </c>
      <c r="G180" s="42" t="str">
        <f>IFERROR(__xludf.DUMMYFUNCTION("""COMPUTED_VALUE"""),"ARKWH1")</f>
        <v>ARKWH1</v>
      </c>
      <c r="H180" s="42"/>
      <c r="I180" s="46" t="str">
        <f>IFERROR(__xludf.DUMMYFUNCTION("""COMPUTED_VALUE"""),"https://repl.it/repls/GreenEnviousStructures#index.js")</f>
        <v>https://repl.it/repls/GreenEnviousStructures#index.js</v>
      </c>
      <c r="J180" s="46" t="str">
        <f>IFERROR(__xludf.DUMMYFUNCTION("""COMPUTED_VALUE"""),"https://drive.google.com/file/d/1b4tT2dlvlrmkZjSjSffKJDj2ksfwuE0_/view?usp=sharing")</f>
        <v>https://drive.google.com/file/d/1b4tT2dlvlrmkZjSjSffKJDj2ksfwuE0_/view?usp=sharing</v>
      </c>
      <c r="K180" s="46" t="str">
        <f>IFERROR(__xludf.DUMMYFUNCTION("""COMPUTED_VALUE"""),"https://drive.google.com/open?id=1t-p3baUWav4O68x9J6fnzqtKDKrpPQDj")</f>
        <v>https://drive.google.com/open?id=1t-p3baUWav4O68x9J6fnzqtKDKrpPQDj</v>
      </c>
      <c r="L180" s="42">
        <f>IFERROR(__xludf.DUMMYFUNCTION("""COMPUTED_VALUE"""),2.0)</f>
        <v>2</v>
      </c>
      <c r="M180" s="42"/>
    </row>
    <row r="181">
      <c r="A181" s="43">
        <f>IFERROR(__xludf.DUMMYFUNCTION("""COMPUTED_VALUE"""),44077.49219212963)</f>
        <v>44077.49219</v>
      </c>
      <c r="B181" s="42" t="str">
        <f>IFERROR(__xludf.DUMMYFUNCTION("""COMPUTED_VALUE"""),"Alan Ardiyanto")</f>
        <v>Alan Ardiyanto</v>
      </c>
      <c r="C181" s="42" t="str">
        <f>IFERROR(__xludf.DUMMYFUNCTION("""COMPUTED_VALUE"""),"Online")</f>
        <v>Online</v>
      </c>
      <c r="D181" s="42" t="str">
        <f>IFERROR(__xludf.DUMMYFUNCTION("""COMPUTED_VALUE"""),"Fullstack Web Developer")</f>
        <v>Fullstack Web Developer</v>
      </c>
      <c r="E181" s="42">
        <f>IFERROR(__xludf.DUMMYFUNCTION("""COMPUTED_VALUE"""),2.0)</f>
        <v>2</v>
      </c>
      <c r="F181" s="42">
        <f>IFERROR(__xludf.DUMMYFUNCTION("""COMPUTED_VALUE"""),1.0)</f>
        <v>1</v>
      </c>
      <c r="G181" s="42" t="str">
        <f>IFERROR(__xludf.DUMMYFUNCTION("""COMPUTED_VALUE"""),"ARKWH1")</f>
        <v>ARKWH1</v>
      </c>
      <c r="H181" s="42"/>
      <c r="I181" s="46" t="str">
        <f>IFERROR(__xludf.DUMMYFUNCTION("""COMPUTED_VALUE"""),"https://repl.it/@alanard/Function-discount")</f>
        <v>https://repl.it/@alanard/Function-discount</v>
      </c>
      <c r="J181" s="42"/>
      <c r="K181" s="46" t="str">
        <f>IFERROR(__xludf.DUMMYFUNCTION("""COMPUTED_VALUE"""),"https://drive.google.com/open?id=1jDNCWr1GbApjQhSMESdAg60PcxwNLBbv")</f>
        <v>https://drive.google.com/open?id=1jDNCWr1GbApjQhSMESdAg60PcxwNLBbv</v>
      </c>
      <c r="L181" s="42">
        <f>IFERROR(__xludf.DUMMYFUNCTION("""COMPUTED_VALUE"""),1.5)</f>
        <v>1.5</v>
      </c>
      <c r="M181" s="42" t="str">
        <f>IFERROR(__xludf.DUMMYFUNCTION("""COMPUTED_VALUE"""),"untuk codingan sudah benar tapi diperbaiki untuk pengulangan code yang sama seperti menampilkan outputnya, flowchartnya masih salah")</f>
        <v>untuk codingan sudah benar tapi diperbaiki untuk pengulangan code yang sama seperti menampilkan outputnya, flowchartnya masih salah</v>
      </c>
    </row>
    <row r="182">
      <c r="A182" s="43">
        <f>IFERROR(__xludf.DUMMYFUNCTION("""COMPUTED_VALUE"""),44077.495215787036)</f>
        <v>44077.49522</v>
      </c>
      <c r="B182" s="42" t="str">
        <f>IFERROR(__xludf.DUMMYFUNCTION("""COMPUTED_VALUE"""),"Andria Bakti Mahendra")</f>
        <v>Andria Bakti Mahendra</v>
      </c>
      <c r="C182" s="42" t="str">
        <f>IFERROR(__xludf.DUMMYFUNCTION("""COMPUTED_VALUE"""),"Online")</f>
        <v>Online</v>
      </c>
      <c r="D182" s="42" t="str">
        <f>IFERROR(__xludf.DUMMYFUNCTION("""COMPUTED_VALUE"""),"Fullstack Mobile Developer")</f>
        <v>Fullstack Mobile Developer</v>
      </c>
      <c r="E182" s="42">
        <f>IFERROR(__xludf.DUMMYFUNCTION("""COMPUTED_VALUE"""),2.0)</f>
        <v>2</v>
      </c>
      <c r="F182" s="42">
        <f>IFERROR(__xludf.DUMMYFUNCTION("""COMPUTED_VALUE"""),1.0)</f>
        <v>1</v>
      </c>
      <c r="G182" s="42" t="str">
        <f>IFERROR(__xludf.DUMMYFUNCTION("""COMPUTED_VALUE"""),"ARKWH1")</f>
        <v>ARKWH1</v>
      </c>
      <c r="H182" s="42"/>
      <c r="I182" s="46" t="str">
        <f>IFERROR(__xludf.DUMMYFUNCTION("""COMPUTED_VALUE"""),"https://repl.it/@Arimahen8/Quiz1#index.js")</f>
        <v>https://repl.it/@Arimahen8/Quiz1#index.js</v>
      </c>
      <c r="J182" s="46" t="str">
        <f>IFERROR(__xludf.DUMMYFUNCTION("""COMPUTED_VALUE"""),"https://drive.google.com/file/d/1NdIGKqgthB1J_CSN4V10lJ5_KINfAdH_/view?usp=sharing")</f>
        <v>https://drive.google.com/file/d/1NdIGKqgthB1J_CSN4V10lJ5_KINfAdH_/view?usp=sharing</v>
      </c>
      <c r="K182" s="46" t="str">
        <f>IFERROR(__xludf.DUMMYFUNCTION("""COMPUTED_VALUE"""),"https://drive.google.com/open?id=15xwo-ZN-9kgvx2T_lYPJKTj1ocfmGDo8")</f>
        <v>https://drive.google.com/open?id=15xwo-ZN-9kgvx2T_lYPJKTj1ocfmGDo8</v>
      </c>
      <c r="L182" s="42">
        <f>IFERROR(__xludf.DUMMYFUNCTION("""COMPUTED_VALUE"""),1.0)</f>
        <v>1</v>
      </c>
      <c r="M182" s="42" t="str">
        <f>IFERROR(__xludf.DUMMYFUNCTION("""COMPUTED_VALUE"""),"pontongan harga belum sesuai, di flowchart pada kodisi percabangan (IF)  mengahasil true dan false bukan 2 true")</f>
        <v>pontongan harga belum sesuai, di flowchart pada kodisi percabangan (IF)  mengahasil true dan false bukan 2 true</v>
      </c>
    </row>
    <row r="183">
      <c r="A183" s="43">
        <f>IFERROR(__xludf.DUMMYFUNCTION("""COMPUTED_VALUE"""),44084.45632712963)</f>
        <v>44084.45633</v>
      </c>
      <c r="B183" s="42" t="str">
        <f>IFERROR(__xludf.DUMMYFUNCTION("""COMPUTED_VALUE"""),"Regina Putri Arinda")</f>
        <v>Regina Putri Arinda</v>
      </c>
      <c r="C183" s="42" t="str">
        <f>IFERROR(__xludf.DUMMYFUNCTION("""COMPUTED_VALUE"""),"Online")</f>
        <v>Online</v>
      </c>
      <c r="D183" s="42" t="str">
        <f>IFERROR(__xludf.DUMMYFUNCTION("""COMPUTED_VALUE"""),"Fullstack Web Developer")</f>
        <v>Fullstack Web Developer</v>
      </c>
      <c r="E183" s="42">
        <f>IFERROR(__xludf.DUMMYFUNCTION("""COMPUTED_VALUE"""),2.0)</f>
        <v>2</v>
      </c>
      <c r="F183" s="42">
        <f>IFERROR(__xludf.DUMMYFUNCTION("""COMPUTED_VALUE"""),1.0)</f>
        <v>1</v>
      </c>
      <c r="G183" s="42" t="str">
        <f>IFERROR(__xludf.DUMMYFUNCTION("""COMPUTED_VALUE"""),"ARKWH5")</f>
        <v>ARKWH5</v>
      </c>
      <c r="H183" s="42"/>
      <c r="I183" s="46" t="str">
        <f>IFERROR(__xludf.DUMMYFUNCTION("""COMPUTED_VALUE"""),"https://repl.it/@ReginaPutri/task3#index.js")</f>
        <v>https://repl.it/@ReginaPutri/task3#index.js</v>
      </c>
      <c r="J183" s="42"/>
      <c r="K183" s="42"/>
      <c r="L183" s="42">
        <f>IFERROR(__xludf.DUMMYFUNCTION("""COMPUTED_VALUE"""),1.0)</f>
        <v>1</v>
      </c>
      <c r="M183" s="42"/>
    </row>
    <row r="184">
      <c r="A184" s="43">
        <f>IFERROR(__xludf.DUMMYFUNCTION("""COMPUTED_VALUE"""),44084.45726225694)</f>
        <v>44084.45726</v>
      </c>
      <c r="B184" s="42" t="str">
        <f>IFERROR(__xludf.DUMMYFUNCTION("""COMPUTED_VALUE"""),"Andria Bakti Mahendra")</f>
        <v>Andria Bakti Mahendra</v>
      </c>
      <c r="C184" s="42" t="str">
        <f>IFERROR(__xludf.DUMMYFUNCTION("""COMPUTED_VALUE"""),"Online")</f>
        <v>Online</v>
      </c>
      <c r="D184" s="42" t="str">
        <f>IFERROR(__xludf.DUMMYFUNCTION("""COMPUTED_VALUE"""),"Fullstack Web Developer")</f>
        <v>Fullstack Web Developer</v>
      </c>
      <c r="E184" s="42">
        <f>IFERROR(__xludf.DUMMYFUNCTION("""COMPUTED_VALUE"""),2.0)</f>
        <v>2</v>
      </c>
      <c r="F184" s="42">
        <f>IFERROR(__xludf.DUMMYFUNCTION("""COMPUTED_VALUE"""),1.0)</f>
        <v>1</v>
      </c>
      <c r="G184" s="42" t="str">
        <f>IFERROR(__xludf.DUMMYFUNCTION("""COMPUTED_VALUE"""),"ARKWH5")</f>
        <v>ARKWH5</v>
      </c>
      <c r="H184" s="42"/>
      <c r="I184" s="46" t="str">
        <f>IFERROR(__xludf.DUMMYFUNCTION("""COMPUTED_VALUE"""),"https://repl.it/@Arimahen8/Quiz3#index.js")</f>
        <v>https://repl.it/@Arimahen8/Quiz3#index.js</v>
      </c>
      <c r="J184" s="42"/>
      <c r="K184" s="42"/>
      <c r="L184" s="42">
        <f>IFERROR(__xludf.DUMMYFUNCTION("""COMPUTED_VALUE"""),0.75)</f>
        <v>0.75</v>
      </c>
      <c r="M184" s="42" t="str">
        <f>IFERROR(__xludf.DUMMYFUNCTION("""COMPUTED_VALUE"""),"outpunya masih belum sesuai")</f>
        <v>outpunya masih belum sesuai</v>
      </c>
    </row>
    <row r="185">
      <c r="A185" s="43">
        <f>IFERROR(__xludf.DUMMYFUNCTION("""COMPUTED_VALUE"""),44084.45938385416)</f>
        <v>44084.45938</v>
      </c>
      <c r="B185" s="42" t="str">
        <f>IFERROR(__xludf.DUMMYFUNCTION("""COMPUTED_VALUE"""),"Ervin Nurhediyanto")</f>
        <v>Ervin Nurhediyanto</v>
      </c>
      <c r="C185" s="42" t="str">
        <f>IFERROR(__xludf.DUMMYFUNCTION("""COMPUTED_VALUE"""),"Online")</f>
        <v>Online</v>
      </c>
      <c r="D185" s="42" t="str">
        <f>IFERROR(__xludf.DUMMYFUNCTION("""COMPUTED_VALUE"""),"Fullstack Web Developer")</f>
        <v>Fullstack Web Developer</v>
      </c>
      <c r="E185" s="42">
        <f>IFERROR(__xludf.DUMMYFUNCTION("""COMPUTED_VALUE"""),2.0)</f>
        <v>2</v>
      </c>
      <c r="F185" s="42">
        <f>IFERROR(__xludf.DUMMYFUNCTION("""COMPUTED_VALUE"""),1.0)</f>
        <v>1</v>
      </c>
      <c r="G185" s="42" t="str">
        <f>IFERROR(__xludf.DUMMYFUNCTION("""COMPUTED_VALUE"""),"ARKWH5")</f>
        <v>ARKWH5</v>
      </c>
      <c r="H185" s="42"/>
      <c r="I185" s="46" t="str">
        <f>IFERROR(__xludf.DUMMYFUNCTION("""COMPUTED_VALUE"""),"https://repl.it/join/owjqmbdo-coffeebreak")</f>
        <v>https://repl.it/join/owjqmbdo-coffeebreak</v>
      </c>
      <c r="J185" s="42"/>
      <c r="K185" s="42"/>
      <c r="L185" s="42">
        <f>IFERROR(__xludf.DUMMYFUNCTION("""COMPUTED_VALUE"""),0.5)</f>
        <v>0.5</v>
      </c>
      <c r="M185" s="42" t="str">
        <f>IFERROR(__xludf.DUMMYFUNCTION("""COMPUTED_VALUE"""),"outputnya masih salah")</f>
        <v>outputnya masih salah</v>
      </c>
    </row>
    <row r="186">
      <c r="A186" s="43">
        <f>IFERROR(__xludf.DUMMYFUNCTION("""COMPUTED_VALUE"""),44084.46120118056)</f>
        <v>44084.4612</v>
      </c>
      <c r="B186" s="42" t="str">
        <f>IFERROR(__xludf.DUMMYFUNCTION("""COMPUTED_VALUE"""),"Agung Wicaksono Putro")</f>
        <v>Agung Wicaksono Putro</v>
      </c>
      <c r="C186" s="42" t="str">
        <f>IFERROR(__xludf.DUMMYFUNCTION("""COMPUTED_VALUE"""),"Online")</f>
        <v>Online</v>
      </c>
      <c r="D186" s="42" t="str">
        <f>IFERROR(__xludf.DUMMYFUNCTION("""COMPUTED_VALUE"""),"Fullstack Web Developer")</f>
        <v>Fullstack Web Developer</v>
      </c>
      <c r="E186" s="42">
        <f>IFERROR(__xludf.DUMMYFUNCTION("""COMPUTED_VALUE"""),2.0)</f>
        <v>2</v>
      </c>
      <c r="F186" s="42">
        <f>IFERROR(__xludf.DUMMYFUNCTION("""COMPUTED_VALUE"""),1.0)</f>
        <v>1</v>
      </c>
      <c r="G186" s="42" t="str">
        <f>IFERROR(__xludf.DUMMYFUNCTION("""COMPUTED_VALUE"""),"ARKWH5")</f>
        <v>ARKWH5</v>
      </c>
      <c r="H186" s="42"/>
      <c r="I186" s="46" t="str">
        <f>IFERROR(__xludf.DUMMYFUNCTION("""COMPUTED_VALUE"""),"https://repl.it/@WiputroSNC/Anagram")</f>
        <v>https://repl.it/@WiputroSNC/Anagram</v>
      </c>
      <c r="J186" s="42"/>
      <c r="K186" s="42"/>
      <c r="L186" s="42">
        <f>IFERROR(__xludf.DUMMYFUNCTION("""COMPUTED_VALUE"""),1.0)</f>
        <v>1</v>
      </c>
      <c r="M186" s="42"/>
    </row>
    <row r="187">
      <c r="A187" s="43">
        <f>IFERROR(__xludf.DUMMYFUNCTION("""COMPUTED_VALUE"""),44084.46377702546)</f>
        <v>44084.46378</v>
      </c>
      <c r="B187" s="42" t="str">
        <f>IFERROR(__xludf.DUMMYFUNCTION("""COMPUTED_VALUE"""),"Alan Ardiyanto")</f>
        <v>Alan Ardiyanto</v>
      </c>
      <c r="C187" s="42" t="str">
        <f>IFERROR(__xludf.DUMMYFUNCTION("""COMPUTED_VALUE"""),"Online")</f>
        <v>Online</v>
      </c>
      <c r="D187" s="42" t="str">
        <f>IFERROR(__xludf.DUMMYFUNCTION("""COMPUTED_VALUE"""),"Fullstack Web Developer")</f>
        <v>Fullstack Web Developer</v>
      </c>
      <c r="E187" s="42">
        <f>IFERROR(__xludf.DUMMYFUNCTION("""COMPUTED_VALUE"""),2.0)</f>
        <v>2</v>
      </c>
      <c r="F187" s="42">
        <f>IFERROR(__xludf.DUMMYFUNCTION("""COMPUTED_VALUE"""),1.0)</f>
        <v>1</v>
      </c>
      <c r="G187" s="42" t="str">
        <f>IFERROR(__xludf.DUMMYFUNCTION("""COMPUTED_VALUE"""),"ARKWH5")</f>
        <v>ARKWH5</v>
      </c>
      <c r="H187" s="42"/>
      <c r="I187" s="46" t="str">
        <f>IFERROR(__xludf.DUMMYFUNCTION("""COMPUTED_VALUE"""),"https://repl.it/@alanard/Anagramscheckjs")</f>
        <v>https://repl.it/@alanard/Anagramscheckjs</v>
      </c>
      <c r="J187" s="42"/>
      <c r="K187" s="42"/>
      <c r="L187" s="42">
        <f>IFERROR(__xludf.DUMMYFUNCTION("""COMPUTED_VALUE"""),0.5)</f>
        <v>0.5</v>
      </c>
      <c r="M187" s="42" t="str">
        <f>IFERROR(__xludf.DUMMYFUNCTION("""COMPUTED_VALUE"""),"outputnya masih salah")</f>
        <v>outputnya masih salah</v>
      </c>
    </row>
    <row r="188">
      <c r="A188" s="43">
        <f>IFERROR(__xludf.DUMMYFUNCTION("""COMPUTED_VALUE"""),44084.46382863426)</f>
        <v>44084.46383</v>
      </c>
      <c r="B188" s="42" t="str">
        <f>IFERROR(__xludf.DUMMYFUNCTION("""COMPUTED_VALUE"""),"Cep Guna Widodo")</f>
        <v>Cep Guna Widodo</v>
      </c>
      <c r="C188" s="42" t="str">
        <f>IFERROR(__xludf.DUMMYFUNCTION("""COMPUTED_VALUE"""),"Online")</f>
        <v>Online</v>
      </c>
      <c r="D188" s="42" t="str">
        <f>IFERROR(__xludf.DUMMYFUNCTION("""COMPUTED_VALUE"""),"Fullstack Web Developer")</f>
        <v>Fullstack Web Developer</v>
      </c>
      <c r="E188" s="42">
        <f>IFERROR(__xludf.DUMMYFUNCTION("""COMPUTED_VALUE"""),2.0)</f>
        <v>2</v>
      </c>
      <c r="F188" s="42">
        <f>IFERROR(__xludf.DUMMYFUNCTION("""COMPUTED_VALUE"""),1.0)</f>
        <v>1</v>
      </c>
      <c r="G188" s="42" t="str">
        <f>IFERROR(__xludf.DUMMYFUNCTION("""COMPUTED_VALUE"""),"ARKWH3")</f>
        <v>ARKWH3</v>
      </c>
      <c r="H188" s="42"/>
      <c r="I188" s="46" t="str">
        <f>IFERROR(__xludf.DUMMYFUNCTION("""COMPUTED_VALUE"""),"https://repl.it/@cepguna/tugas1")</f>
        <v>https://repl.it/@cepguna/tugas1</v>
      </c>
      <c r="J188" s="46" t="str">
        <f>IFERROR(__xludf.DUMMYFUNCTION("""COMPUTED_VALUE"""),"https://drive.google.com/file/d/1JZUO43unvBd2HRKs3RA2Lbl3RS567UeQ/view")</f>
        <v>https://drive.google.com/file/d/1JZUO43unvBd2HRKs3RA2Lbl3RS567UeQ/view</v>
      </c>
      <c r="K188" s="42"/>
      <c r="L188" s="42">
        <f>IFERROR(__xludf.DUMMYFUNCTION("""COMPUTED_VALUE"""),1.0)</f>
        <v>1</v>
      </c>
      <c r="M188" s="42"/>
    </row>
    <row r="189">
      <c r="A189" s="43">
        <f>IFERROR(__xludf.DUMMYFUNCTION("""COMPUTED_VALUE"""),44084.473056006944)</f>
        <v>44084.47306</v>
      </c>
      <c r="B189" s="42" t="str">
        <f>IFERROR(__xludf.DUMMYFUNCTION("""COMPUTED_VALUE"""),"Erlangga Jatikusuma")</f>
        <v>Erlangga Jatikusuma</v>
      </c>
      <c r="C189" s="42" t="str">
        <f>IFERROR(__xludf.DUMMYFUNCTION("""COMPUTED_VALUE"""),"Online")</f>
        <v>Online</v>
      </c>
      <c r="D189" s="42" t="str">
        <f>IFERROR(__xludf.DUMMYFUNCTION("""COMPUTED_VALUE"""),"Fullstack Web Developer")</f>
        <v>Fullstack Web Developer</v>
      </c>
      <c r="E189" s="42">
        <f>IFERROR(__xludf.DUMMYFUNCTION("""COMPUTED_VALUE"""),2.0)</f>
        <v>2</v>
      </c>
      <c r="F189" s="42">
        <f>IFERROR(__xludf.DUMMYFUNCTION("""COMPUTED_VALUE"""),1.0)</f>
        <v>1</v>
      </c>
      <c r="G189" s="42" t="str">
        <f>IFERROR(__xludf.DUMMYFUNCTION("""COMPUTED_VALUE"""),"ARKWH5")</f>
        <v>ARKWH5</v>
      </c>
      <c r="H189" s="42"/>
      <c r="I189" s="46" t="str">
        <f>IFERROR(__xludf.DUMMYFUNCTION("""COMPUTED_VALUE"""),"https://repl.it/repls/SnoopyTriangularTabs#index.js")</f>
        <v>https://repl.it/repls/SnoopyTriangularTabs#index.js</v>
      </c>
      <c r="J189" s="42"/>
      <c r="K189" s="42"/>
      <c r="L189" s="42">
        <f>IFERROR(__xludf.DUMMYFUNCTION("""COMPUTED_VALUE"""),1.0)</f>
        <v>1</v>
      </c>
      <c r="M189" s="42" t="str">
        <f>IFERROR(__xludf.DUMMYFUNCTION("""COMPUTED_VALUE"""),"jawabannya sama")</f>
        <v>jawabannya sama</v>
      </c>
    </row>
    <row r="190">
      <c r="A190" s="43">
        <f>IFERROR(__xludf.DUMMYFUNCTION("""COMPUTED_VALUE"""),44084.47729905092)</f>
        <v>44084.4773</v>
      </c>
      <c r="B190" s="42" t="str">
        <f>IFERROR(__xludf.DUMMYFUNCTION("""COMPUTED_VALUE"""),"Anka Abdullah")</f>
        <v>Anka Abdullah</v>
      </c>
      <c r="C190" s="42" t="str">
        <f>IFERROR(__xludf.DUMMYFUNCTION("""COMPUTED_VALUE"""),"Online")</f>
        <v>Online</v>
      </c>
      <c r="D190" s="42" t="str">
        <f>IFERROR(__xludf.DUMMYFUNCTION("""COMPUTED_VALUE"""),"Fullstack Web Developer")</f>
        <v>Fullstack Web Developer</v>
      </c>
      <c r="E190" s="42">
        <f>IFERROR(__xludf.DUMMYFUNCTION("""COMPUTED_VALUE"""),2.0)</f>
        <v>2</v>
      </c>
      <c r="F190" s="42">
        <f>IFERROR(__xludf.DUMMYFUNCTION("""COMPUTED_VALUE"""),1.0)</f>
        <v>1</v>
      </c>
      <c r="G190" s="42" t="str">
        <f>IFERROR(__xludf.DUMMYFUNCTION("""COMPUTED_VALUE"""),"ARKWH3")</f>
        <v>ARKWH3</v>
      </c>
      <c r="H190" s="42"/>
      <c r="I190" s="46" t="str">
        <f>IFERROR(__xludf.DUMMYFUNCTION("""COMPUTED_VALUE"""),"https://repl.it/@AnkaAbdullah/arkwh3")</f>
        <v>https://repl.it/@AnkaAbdullah/arkwh3</v>
      </c>
      <c r="J190" s="42"/>
      <c r="K190" s="42"/>
      <c r="L190" s="42">
        <f>IFERROR(__xludf.DUMMYFUNCTION("""COMPUTED_VALUE"""),1.0)</f>
        <v>1</v>
      </c>
      <c r="M190" s="42" t="str">
        <f>IFERROR(__xludf.DUMMYFUNCTION("""COMPUTED_VALUE"""),"jawabannya sama")</f>
        <v>jawabannya sama</v>
      </c>
    </row>
    <row r="191">
      <c r="A191" s="43">
        <f>IFERROR(__xludf.DUMMYFUNCTION("""COMPUTED_VALUE"""),44084.48091377315)</f>
        <v>44084.48091</v>
      </c>
      <c r="B191" s="42" t="str">
        <f>IFERROR(__xludf.DUMMYFUNCTION("""COMPUTED_VALUE"""),"Sinta Anggun Puspita")</f>
        <v>Sinta Anggun Puspita</v>
      </c>
      <c r="C191" s="42" t="str">
        <f>IFERROR(__xludf.DUMMYFUNCTION("""COMPUTED_VALUE"""),"Depok")</f>
        <v>Depok</v>
      </c>
      <c r="D191" s="42" t="str">
        <f>IFERROR(__xludf.DUMMYFUNCTION("""COMPUTED_VALUE"""),"Fullstack Web Developer")</f>
        <v>Fullstack Web Developer</v>
      </c>
      <c r="E191" s="42">
        <f>IFERROR(__xludf.DUMMYFUNCTION("""COMPUTED_VALUE"""),2.0)</f>
        <v>2</v>
      </c>
      <c r="F191" s="42">
        <f>IFERROR(__xludf.DUMMYFUNCTION("""COMPUTED_VALUE"""),1.0)</f>
        <v>1</v>
      </c>
      <c r="G191" s="42" t="str">
        <f>IFERROR(__xludf.DUMMYFUNCTION("""COMPUTED_VALUE"""),"ARKWH5")</f>
        <v>ARKWH5</v>
      </c>
      <c r="H191" s="42"/>
      <c r="I191" s="46" t="str">
        <f>IFERROR(__xludf.DUMMYFUNCTION("""COMPUTED_VALUE"""),"https://repl.it/@SintaAnggun/SomberGrandRelationaldatabase#index.js")</f>
        <v>https://repl.it/@SintaAnggun/SomberGrandRelationaldatabase#index.js</v>
      </c>
      <c r="J191" s="42"/>
      <c r="K191" s="42"/>
      <c r="L191" s="42">
        <f>IFERROR(__xludf.DUMMYFUNCTION("""COMPUTED_VALUE"""),1.0)</f>
        <v>1</v>
      </c>
      <c r="M191" s="42" t="str">
        <f>IFERROR(__xludf.DUMMYFUNCTION("""COMPUTED_VALUE"""),"jawabannya sama")</f>
        <v>jawabannya sama</v>
      </c>
    </row>
    <row r="192">
      <c r="A192" s="43">
        <f>IFERROR(__xludf.DUMMYFUNCTION("""COMPUTED_VALUE"""),44084.49779703704)</f>
        <v>44084.4978</v>
      </c>
      <c r="B192" s="42" t="str">
        <f>IFERROR(__xludf.DUMMYFUNCTION("""COMPUTED_VALUE"""),"Dewondo Friemorn")</f>
        <v>Dewondo Friemorn</v>
      </c>
      <c r="C192" s="42" t="str">
        <f>IFERROR(__xludf.DUMMYFUNCTION("""COMPUTED_VALUE"""),"Online")</f>
        <v>Online</v>
      </c>
      <c r="D192" s="42" t="str">
        <f>IFERROR(__xludf.DUMMYFUNCTION("""COMPUTED_VALUE"""),"Fullstack Web Developer")</f>
        <v>Fullstack Web Developer</v>
      </c>
      <c r="E192" s="42">
        <f>IFERROR(__xludf.DUMMYFUNCTION("""COMPUTED_VALUE"""),2.0)</f>
        <v>2</v>
      </c>
      <c r="F192" s="42">
        <f>IFERROR(__xludf.DUMMYFUNCTION("""COMPUTED_VALUE"""),1.0)</f>
        <v>1</v>
      </c>
      <c r="G192" s="42" t="str">
        <f>IFERROR(__xludf.DUMMYFUNCTION("""COMPUTED_VALUE"""),"ARKWH5")</f>
        <v>ARKWH5</v>
      </c>
      <c r="H192" s="42"/>
      <c r="I192" s="46" t="str">
        <f>IFERROR(__xludf.DUMMYFUNCTION("""COMPUTED_VALUE"""),"https://repl.it/@Friemorn/anagram#index.js")</f>
        <v>https://repl.it/@Friemorn/anagram#index.js</v>
      </c>
      <c r="J192" s="42"/>
      <c r="K192" s="42"/>
      <c r="L192" s="42">
        <f>IFERROR(__xludf.DUMMYFUNCTION("""COMPUTED_VALUE"""),0.75)</f>
        <v>0.75</v>
      </c>
      <c r="M192" s="42" t="str">
        <f>IFERROR(__xludf.DUMMYFUNCTION("""COMPUTED_VALUE"""),"outputnya belum sesuai")</f>
        <v>outputnya belum sesuai</v>
      </c>
    </row>
    <row r="193">
      <c r="A193" s="43">
        <f>IFERROR(__xludf.DUMMYFUNCTION("""COMPUTED_VALUE"""),44084.49993443287)</f>
        <v>44084.49993</v>
      </c>
      <c r="B193" s="42" t="str">
        <f>IFERROR(__xludf.DUMMYFUNCTION("""COMPUTED_VALUE"""),"Kemal reza")</f>
        <v>Kemal reza</v>
      </c>
      <c r="C193" s="42" t="str">
        <f>IFERROR(__xludf.DUMMYFUNCTION("""COMPUTED_VALUE"""),"Online")</f>
        <v>Online</v>
      </c>
      <c r="D193" s="42" t="str">
        <f>IFERROR(__xludf.DUMMYFUNCTION("""COMPUTED_VALUE"""),"Fullstack Web Developer")</f>
        <v>Fullstack Web Developer</v>
      </c>
      <c r="E193" s="42">
        <f>IFERROR(__xludf.DUMMYFUNCTION("""COMPUTED_VALUE"""),2.0)</f>
        <v>2</v>
      </c>
      <c r="F193" s="42">
        <f>IFERROR(__xludf.DUMMYFUNCTION("""COMPUTED_VALUE"""),1.0)</f>
        <v>1</v>
      </c>
      <c r="G193" s="42" t="str">
        <f>IFERROR(__xludf.DUMMYFUNCTION("""COMPUTED_VALUE"""),"ARKWH5")</f>
        <v>ARKWH5</v>
      </c>
      <c r="H193" s="42"/>
      <c r="I193" s="46" t="str">
        <f>IFERROR(__xludf.DUMMYFUNCTION("""COMPUTED_VALUE"""),"https://repl.it/@kemalreza/anagram#index.js")</f>
        <v>https://repl.it/@kemalreza/anagram#index.js</v>
      </c>
      <c r="J193" s="42"/>
      <c r="K193" s="42"/>
      <c r="L193" s="42">
        <f>IFERROR(__xludf.DUMMYFUNCTION("""COMPUTED_VALUE"""),0.5)</f>
        <v>0.5</v>
      </c>
      <c r="M193" s="42" t="str">
        <f>IFERROR(__xludf.DUMMYFUNCTION("""COMPUTED_VALUE"""),"logic masih salah")</f>
        <v>logic masih salah</v>
      </c>
    </row>
    <row r="194">
      <c r="A194" s="43">
        <f>IFERROR(__xludf.DUMMYFUNCTION("""COMPUTED_VALUE"""),44084.514713055556)</f>
        <v>44084.51471</v>
      </c>
      <c r="B194" s="42" t="str">
        <f>IFERROR(__xludf.DUMMYFUNCTION("""COMPUTED_VALUE"""),"Deni Irawan Nugraha")</f>
        <v>Deni Irawan Nugraha</v>
      </c>
      <c r="C194" s="42" t="str">
        <f>IFERROR(__xludf.DUMMYFUNCTION("""COMPUTED_VALUE"""),"Online")</f>
        <v>Online</v>
      </c>
      <c r="D194" s="42" t="str">
        <f>IFERROR(__xludf.DUMMYFUNCTION("""COMPUTED_VALUE"""),"Fullstack Web Developer")</f>
        <v>Fullstack Web Developer</v>
      </c>
      <c r="E194" s="42">
        <f>IFERROR(__xludf.DUMMYFUNCTION("""COMPUTED_VALUE"""),1.0)</f>
        <v>1</v>
      </c>
      <c r="F194" s="42">
        <f>IFERROR(__xludf.DUMMYFUNCTION("""COMPUTED_VALUE"""),1.0)</f>
        <v>1</v>
      </c>
      <c r="G194" s="42" t="str">
        <f>IFERROR(__xludf.DUMMYFUNCTION("""COMPUTED_VALUE"""),"ARKWH5")</f>
        <v>ARKWH5</v>
      </c>
      <c r="H194" s="42"/>
      <c r="I194" s="46" t="str">
        <f>IFERROR(__xludf.DUMMYFUNCTION("""COMPUTED_VALUE"""),"https://repl.it/join/ensikkiw-denycode")</f>
        <v>https://repl.it/join/ensikkiw-denycode</v>
      </c>
      <c r="J194" s="42"/>
      <c r="K194" s="42"/>
      <c r="L194" s="42">
        <f>IFERROR(__xludf.DUMMYFUNCTION("""COMPUTED_VALUE"""),0.5)</f>
        <v>0.5</v>
      </c>
      <c r="M194" s="42" t="str">
        <f>IFERROR(__xludf.DUMMYFUNCTION("""COMPUTED_VALUE"""),"maslih salah")</f>
        <v>maslih salah</v>
      </c>
    </row>
    <row r="195">
      <c r="A195" s="43">
        <f>IFERROR(__xludf.DUMMYFUNCTION("""COMPUTED_VALUE"""),44084.62076060185)</f>
        <v>44084.62076</v>
      </c>
      <c r="B195" s="42" t="str">
        <f>IFERROR(__xludf.DUMMYFUNCTION("""COMPUTED_VALUE"""),"Adnin Rifandi Sutanto Putra")</f>
        <v>Adnin Rifandi Sutanto Putra</v>
      </c>
      <c r="C195" s="42" t="str">
        <f>IFERROR(__xludf.DUMMYFUNCTION("""COMPUTED_VALUE"""),"Online")</f>
        <v>Online</v>
      </c>
      <c r="D195" s="42" t="str">
        <f>IFERROR(__xludf.DUMMYFUNCTION("""COMPUTED_VALUE"""),"Fullstack Mobile Developer")</f>
        <v>Fullstack Mobile Developer</v>
      </c>
      <c r="E195" s="42">
        <f>IFERROR(__xludf.DUMMYFUNCTION("""COMPUTED_VALUE"""),16.0)</f>
        <v>16</v>
      </c>
      <c r="F195" s="42">
        <f>IFERROR(__xludf.DUMMYFUNCTION("""COMPUTED_VALUE"""),3.0)</f>
        <v>3</v>
      </c>
      <c r="G195" s="42" t="str">
        <f>IFERROR(__xludf.DUMMYFUNCTION("""COMPUTED_VALUE"""),"ARKWH10")</f>
        <v>ARKWH10</v>
      </c>
      <c r="H195" s="42" t="str">
        <f>IFERROR(__xludf.DUMMYFUNCTION("""COMPUTED_VALUE"""),"Logic")</f>
        <v>Logic</v>
      </c>
      <c r="I195" s="46" t="str">
        <f>IFERROR(__xludf.DUMMYFUNCTION("""COMPUTED_VALUE"""),"https://repl.it/@AdninRifandioff/Weekly-Quiz-Week-10#index.js")</f>
        <v>https://repl.it/@AdninRifandioff/Weekly-Quiz-Week-10#index.js</v>
      </c>
      <c r="J195" s="42"/>
      <c r="K195" s="42"/>
      <c r="L195" s="42">
        <f>IFERROR(__xludf.DUMMYFUNCTION("""COMPUTED_VALUE"""),2.0)</f>
        <v>2</v>
      </c>
      <c r="M195" s="42"/>
    </row>
    <row r="196">
      <c r="A196" s="43">
        <f>IFERROR(__xludf.DUMMYFUNCTION("""COMPUTED_VALUE"""),44084.62403954861)</f>
        <v>44084.62404</v>
      </c>
      <c r="B196" s="42" t="str">
        <f>IFERROR(__xludf.DUMMYFUNCTION("""COMPUTED_VALUE"""),"Guntur Budi")</f>
        <v>Guntur Budi</v>
      </c>
      <c r="C196" s="42" t="str">
        <f>IFERROR(__xludf.DUMMYFUNCTION("""COMPUTED_VALUE"""),"Online")</f>
        <v>Online</v>
      </c>
      <c r="D196" s="42" t="str">
        <f>IFERROR(__xludf.DUMMYFUNCTION("""COMPUTED_VALUE"""),"Fullstack Mobile Developer")</f>
        <v>Fullstack Mobile Developer</v>
      </c>
      <c r="E196" s="42">
        <f>IFERROR(__xludf.DUMMYFUNCTION("""COMPUTED_VALUE"""),15.0)</f>
        <v>15</v>
      </c>
      <c r="F196" s="42">
        <f>IFERROR(__xludf.DUMMYFUNCTION("""COMPUTED_VALUE"""),3.0)</f>
        <v>3</v>
      </c>
      <c r="G196" s="42" t="str">
        <f>IFERROR(__xludf.DUMMYFUNCTION("""COMPUTED_VALUE"""),"ARKWH10")</f>
        <v>ARKWH10</v>
      </c>
      <c r="H196" s="42" t="str">
        <f>IFERROR(__xludf.DUMMYFUNCTION("""COMPUTED_VALUE"""),"Logic")</f>
        <v>Logic</v>
      </c>
      <c r="I196" s="46" t="str">
        <f>IFERROR(__xludf.DUMMYFUNCTION("""COMPUTED_VALUE"""),"https://repl.it/@gunturkurniawan/Tugas#index.js")</f>
        <v>https://repl.it/@gunturkurniawan/Tugas#index.js</v>
      </c>
      <c r="J196" s="42"/>
      <c r="K196" s="42"/>
      <c r="L196" s="42">
        <f>IFERROR(__xludf.DUMMYFUNCTION("""COMPUTED_VALUE"""),1.0)</f>
        <v>1</v>
      </c>
      <c r="M196" s="42" t="str">
        <f>IFERROR(__xludf.DUMMYFUNCTION("""COMPUTED_VALUE"""),"simbol tidak sesuai")</f>
        <v>simbol tidak sesuai</v>
      </c>
    </row>
    <row r="197">
      <c r="A197" s="43">
        <f>IFERROR(__xludf.DUMMYFUNCTION("""COMPUTED_VALUE"""),44084.625275162034)</f>
        <v>44084.62528</v>
      </c>
      <c r="B197" s="42" t="str">
        <f>IFERROR(__xludf.DUMMYFUNCTION("""COMPUTED_VALUE"""),"Dimas Wahyu Juhair Mokodompit")</f>
        <v>Dimas Wahyu Juhair Mokodompit</v>
      </c>
      <c r="C197" s="42" t="str">
        <f>IFERROR(__xludf.DUMMYFUNCTION("""COMPUTED_VALUE"""),"Online")</f>
        <v>Online</v>
      </c>
      <c r="D197" s="42" t="str">
        <f>IFERROR(__xludf.DUMMYFUNCTION("""COMPUTED_VALUE"""),"Fullstack Mobile Developer")</f>
        <v>Fullstack Mobile Developer</v>
      </c>
      <c r="E197" s="42">
        <f>IFERROR(__xludf.DUMMYFUNCTION("""COMPUTED_VALUE"""),16.0)</f>
        <v>16</v>
      </c>
      <c r="F197" s="42">
        <f>IFERROR(__xludf.DUMMYFUNCTION("""COMPUTED_VALUE"""),3.0)</f>
        <v>3</v>
      </c>
      <c r="G197" s="42" t="str">
        <f>IFERROR(__xludf.DUMMYFUNCTION("""COMPUTED_VALUE"""),"ARKWH10")</f>
        <v>ARKWH10</v>
      </c>
      <c r="H197" s="42" t="str">
        <f>IFERROR(__xludf.DUMMYFUNCTION("""COMPUTED_VALUE"""),"Logic")</f>
        <v>Logic</v>
      </c>
      <c r="I197" s="46" t="str">
        <f>IFERROR(__xludf.DUMMYFUNCTION("""COMPUTED_VALUE"""),"https://repl.it/join/oieyrnoi-dimasmokodompit")</f>
        <v>https://repl.it/join/oieyrnoi-dimasmokodompit</v>
      </c>
      <c r="J197" s="42"/>
      <c r="K197" s="42"/>
      <c r="L197" s="42">
        <f>IFERROR(__xludf.DUMMYFUNCTION("""COMPUTED_VALUE"""),2.0)</f>
        <v>2</v>
      </c>
      <c r="M197" s="42"/>
    </row>
    <row r="198">
      <c r="A198" s="43">
        <f>IFERROR(__xludf.DUMMYFUNCTION("""COMPUTED_VALUE"""),44090.41906284722)</f>
        <v>44090.41906</v>
      </c>
      <c r="B198" s="42" t="str">
        <f>IFERROR(__xludf.DUMMYFUNCTION("""COMPUTED_VALUE"""),"Hasbi A.K")</f>
        <v>Hasbi A.K</v>
      </c>
      <c r="C198" s="42" t="str">
        <f>IFERROR(__xludf.DUMMYFUNCTION("""COMPUTED_VALUE"""),"Online")</f>
        <v>Online</v>
      </c>
      <c r="D198" s="42" t="str">
        <f>IFERROR(__xludf.DUMMYFUNCTION("""COMPUTED_VALUE"""),"Fullstack Web Developer")</f>
        <v>Fullstack Web Developer</v>
      </c>
      <c r="E198" s="42">
        <f>IFERROR(__xludf.DUMMYFUNCTION("""COMPUTED_VALUE"""),3.0)</f>
        <v>3</v>
      </c>
      <c r="F198" s="42">
        <f>IFERROR(__xludf.DUMMYFUNCTION("""COMPUTED_VALUE"""),1.0)</f>
        <v>1</v>
      </c>
      <c r="G198" s="42" t="str">
        <f>IFERROR(__xludf.DUMMYFUNCTION("""COMPUTED_VALUE"""),"ARKWH6")</f>
        <v>ARKWH6</v>
      </c>
      <c r="H198" s="42"/>
      <c r="I198" s="46" t="str">
        <f>IFERROR(__xludf.DUMMYFUNCTION("""COMPUTED_VALUE"""),"https://repl.it/join/aeaicmhk-hasbiak")</f>
        <v>https://repl.it/join/aeaicmhk-hasbiak</v>
      </c>
      <c r="J198" s="42"/>
      <c r="K198" s="42"/>
      <c r="L198" s="42">
        <f>IFERROR(__xludf.DUMMYFUNCTION("""COMPUTED_VALUE"""),0.5)</f>
        <v>0.5</v>
      </c>
      <c r="M198" s="42"/>
    </row>
    <row r="199">
      <c r="A199" s="43">
        <f>IFERROR(__xludf.DUMMYFUNCTION("""COMPUTED_VALUE"""),44090.41911361111)</f>
        <v>44090.41911</v>
      </c>
      <c r="B199" s="42" t="str">
        <f>IFERROR(__xludf.DUMMYFUNCTION("""COMPUTED_VALUE"""),"Arizal")</f>
        <v>Arizal</v>
      </c>
      <c r="C199" s="42" t="str">
        <f>IFERROR(__xludf.DUMMYFUNCTION("""COMPUTED_VALUE"""),"Online")</f>
        <v>Online</v>
      </c>
      <c r="D199" s="42" t="str">
        <f>IFERROR(__xludf.DUMMYFUNCTION("""COMPUTED_VALUE"""),"Fullstack Web Developer")</f>
        <v>Fullstack Web Developer</v>
      </c>
      <c r="E199" s="42">
        <f>IFERROR(__xludf.DUMMYFUNCTION("""COMPUTED_VALUE"""),3.0)</f>
        <v>3</v>
      </c>
      <c r="F199" s="42">
        <f>IFERROR(__xludf.DUMMYFUNCTION("""COMPUTED_VALUE"""),1.0)</f>
        <v>1</v>
      </c>
      <c r="G199" s="42" t="str">
        <f>IFERROR(__xludf.DUMMYFUNCTION("""COMPUTED_VALUE"""),"ARKWH6")</f>
        <v>ARKWH6</v>
      </c>
      <c r="H199" s="42"/>
      <c r="I199" s="46" t="str">
        <f>IFERROR(__xludf.DUMMYFUNCTION("""COMPUTED_VALUE"""),"https://repl.it/repls/LinedBestEmulation#index.js")</f>
        <v>https://repl.it/repls/LinedBestEmulation#index.js</v>
      </c>
      <c r="J199" s="42"/>
      <c r="K199" s="42"/>
      <c r="L199" s="42">
        <f>IFERROR(__xludf.DUMMYFUNCTION("""COMPUTED_VALUE"""),2.0)</f>
        <v>2</v>
      </c>
      <c r="M199" s="42" t="str">
        <f>IFERROR(__xludf.DUMMYFUNCTION("""COMPUTED_VALUE"""),"good")</f>
        <v>good</v>
      </c>
    </row>
    <row r="200">
      <c r="A200" s="43">
        <f>IFERROR(__xludf.DUMMYFUNCTION("""COMPUTED_VALUE"""),44090.41931146991)</f>
        <v>44090.41931</v>
      </c>
      <c r="B200" s="42" t="str">
        <f>IFERROR(__xludf.DUMMYFUNCTION("""COMPUTED_VALUE"""),"Muhammad Rinaldi")</f>
        <v>Muhammad Rinaldi</v>
      </c>
      <c r="C200" s="42" t="str">
        <f>IFERROR(__xludf.DUMMYFUNCTION("""COMPUTED_VALUE"""),"Online")</f>
        <v>Online</v>
      </c>
      <c r="D200" s="42" t="str">
        <f>IFERROR(__xludf.DUMMYFUNCTION("""COMPUTED_VALUE"""),"Fullstack Web Developer")</f>
        <v>Fullstack Web Developer</v>
      </c>
      <c r="E200" s="42">
        <f>IFERROR(__xludf.DUMMYFUNCTION("""COMPUTED_VALUE"""),3.0)</f>
        <v>3</v>
      </c>
      <c r="F200" s="42">
        <f>IFERROR(__xludf.DUMMYFUNCTION("""COMPUTED_VALUE"""),1.0)</f>
        <v>1</v>
      </c>
      <c r="G200" s="42" t="str">
        <f>IFERROR(__xludf.DUMMYFUNCTION("""COMPUTED_VALUE"""),"ARKWH6")</f>
        <v>ARKWH6</v>
      </c>
      <c r="H200" s="42"/>
      <c r="I200" s="46" t="str">
        <f>IFERROR(__xludf.DUMMYFUNCTION("""COMPUTED_VALUE"""),"https://repl.it/repls/SuperbClearcutDisks#index.js")</f>
        <v>https://repl.it/repls/SuperbClearcutDisks#index.js</v>
      </c>
      <c r="J200" s="42"/>
      <c r="K200" s="42"/>
      <c r="L200" s="42">
        <f>IFERROR(__xludf.DUMMYFUNCTION("""COMPUTED_VALUE"""),1.0)</f>
        <v>1</v>
      </c>
      <c r="M200" s="42" t="str">
        <f>IFERROR(__xludf.DUMMYFUNCTION("""COMPUTED_VALUE"""),"untuk jawaban 2 dan 3 masih belum pas :D")</f>
        <v>untuk jawaban 2 dan 3 masih belum pas :D</v>
      </c>
    </row>
    <row r="201">
      <c r="A201" s="43">
        <f>IFERROR(__xludf.DUMMYFUNCTION("""COMPUTED_VALUE"""),44090.419347256946)</f>
        <v>44090.41935</v>
      </c>
      <c r="B201" s="42" t="str">
        <f>IFERROR(__xludf.DUMMYFUNCTION("""COMPUTED_VALUE"""),"Ardhika R.N")</f>
        <v>Ardhika R.N</v>
      </c>
      <c r="C201" s="42" t="str">
        <f>IFERROR(__xludf.DUMMYFUNCTION("""COMPUTED_VALUE"""),"Online")</f>
        <v>Online</v>
      </c>
      <c r="D201" s="42" t="str">
        <f>IFERROR(__xludf.DUMMYFUNCTION("""COMPUTED_VALUE"""),"Fullstack Web Developer")</f>
        <v>Fullstack Web Developer</v>
      </c>
      <c r="E201" s="42">
        <f>IFERROR(__xludf.DUMMYFUNCTION("""COMPUTED_VALUE"""),3.0)</f>
        <v>3</v>
      </c>
      <c r="F201" s="42">
        <f>IFERROR(__xludf.DUMMYFUNCTION("""COMPUTED_VALUE"""),1.0)</f>
        <v>1</v>
      </c>
      <c r="G201" s="42" t="str">
        <f>IFERROR(__xludf.DUMMYFUNCTION("""COMPUTED_VALUE"""),"ARKWH6")</f>
        <v>ARKWH6</v>
      </c>
      <c r="H201" s="42"/>
      <c r="I201" s="46" t="str">
        <f>IFERROR(__xludf.DUMMYFUNCTION("""COMPUTED_VALUE"""),"https://repl.it/@ardhikarn/Weekly-Quiz#index.html")</f>
        <v>https://repl.it/@ardhikarn/Weekly-Quiz#index.html</v>
      </c>
      <c r="J201" s="42"/>
      <c r="K201" s="42"/>
      <c r="L201" s="42">
        <f>IFERROR(__xludf.DUMMYFUNCTION("""COMPUTED_VALUE"""),0.75)</f>
        <v>0.75</v>
      </c>
      <c r="M201" s="42" t="str">
        <f>IFERROR(__xludf.DUMMYFUNCTION("""COMPUTED_VALUE"""),"untuk jawaban 2 dan 3 masih belum pas, dan untuk jawaban 4 3 poin yang betul")</f>
        <v>untuk jawaban 2 dan 3 masih belum pas, dan untuk jawaban 4 3 poin yang betul</v>
      </c>
    </row>
    <row r="202">
      <c r="A202" s="43">
        <f>IFERROR(__xludf.DUMMYFUNCTION("""COMPUTED_VALUE"""),44090.41937497685)</f>
        <v>44090.41937</v>
      </c>
      <c r="B202" s="42" t="str">
        <f>IFERROR(__xludf.DUMMYFUNCTION("""COMPUTED_VALUE"""),"Iqbal Setiawan")</f>
        <v>Iqbal Setiawan</v>
      </c>
      <c r="C202" s="42" t="str">
        <f>IFERROR(__xludf.DUMMYFUNCTION("""COMPUTED_VALUE"""),"Online")</f>
        <v>Online</v>
      </c>
      <c r="D202" s="42" t="str">
        <f>IFERROR(__xludf.DUMMYFUNCTION("""COMPUTED_VALUE"""),"Fullstack Web Developer")</f>
        <v>Fullstack Web Developer</v>
      </c>
      <c r="E202" s="42">
        <f>IFERROR(__xludf.DUMMYFUNCTION("""COMPUTED_VALUE"""),3.0)</f>
        <v>3</v>
      </c>
      <c r="F202" s="42">
        <f>IFERROR(__xludf.DUMMYFUNCTION("""COMPUTED_VALUE"""),1.0)</f>
        <v>1</v>
      </c>
      <c r="G202" s="42" t="str">
        <f>IFERROR(__xludf.DUMMYFUNCTION("""COMPUTED_VALUE"""),"ARKWH6")</f>
        <v>ARKWH6</v>
      </c>
      <c r="H202" s="42"/>
      <c r="I202" s="46" t="str">
        <f>IFERROR(__xludf.DUMMYFUNCTION("""COMPUTED_VALUE"""),"https://repl.it/@iqbalstwan/JadedBestTrigger#index.js")</f>
        <v>https://repl.it/@iqbalstwan/JadedBestTrigger#index.js</v>
      </c>
      <c r="J202" s="42"/>
      <c r="K202" s="42"/>
      <c r="L202" s="42">
        <f>IFERROR(__xludf.DUMMYFUNCTION("""COMPUTED_VALUE"""),1.5)</f>
        <v>1.5</v>
      </c>
      <c r="M202" s="42"/>
    </row>
    <row r="203">
      <c r="A203" s="43">
        <f>IFERROR(__xludf.DUMMYFUNCTION("""COMPUTED_VALUE"""),44090.41946076389)</f>
        <v>44090.41946</v>
      </c>
      <c r="B203" s="42" t="str">
        <f>IFERROR(__xludf.DUMMYFUNCTION("""COMPUTED_VALUE"""),"Muzmi Ulya")</f>
        <v>Muzmi Ulya</v>
      </c>
      <c r="C203" s="42" t="str">
        <f>IFERROR(__xludf.DUMMYFUNCTION("""COMPUTED_VALUE"""),"Online")</f>
        <v>Online</v>
      </c>
      <c r="D203" s="42" t="str">
        <f>IFERROR(__xludf.DUMMYFUNCTION("""COMPUTED_VALUE"""),"Fullstack Web Developer")</f>
        <v>Fullstack Web Developer</v>
      </c>
      <c r="E203" s="42">
        <f>IFERROR(__xludf.DUMMYFUNCTION("""COMPUTED_VALUE"""),3.0)</f>
        <v>3</v>
      </c>
      <c r="F203" s="42">
        <f>IFERROR(__xludf.DUMMYFUNCTION("""COMPUTED_VALUE"""),1.0)</f>
        <v>1</v>
      </c>
      <c r="G203" s="42" t="str">
        <f>IFERROR(__xludf.DUMMYFUNCTION("""COMPUTED_VALUE"""),"ARKWH6")</f>
        <v>ARKWH6</v>
      </c>
      <c r="H203" s="42"/>
      <c r="I203" s="46" t="str">
        <f>IFERROR(__xludf.DUMMYFUNCTION("""COMPUTED_VALUE"""),"https://repl.it/repls/AgreeableHorizontalSolidstatedrive#index.js")</f>
        <v>https://repl.it/repls/AgreeableHorizontalSolidstatedrive#index.js</v>
      </c>
      <c r="J203" s="42"/>
      <c r="K203" s="42"/>
      <c r="L203" s="42">
        <f>IFERROR(__xludf.DUMMYFUNCTION("""COMPUTED_VALUE"""),2.0)</f>
        <v>2</v>
      </c>
      <c r="M203" s="42" t="str">
        <f>IFERROR(__xludf.DUMMYFUNCTION("""COMPUTED_VALUE"""),"good")</f>
        <v>good</v>
      </c>
    </row>
    <row r="204">
      <c r="A204" s="43">
        <f>IFERROR(__xludf.DUMMYFUNCTION("""COMPUTED_VALUE"""),44090.419579814814)</f>
        <v>44090.41958</v>
      </c>
      <c r="B204" s="42" t="str">
        <f>IFERROR(__xludf.DUMMYFUNCTION("""COMPUTED_VALUE"""),"Bagas Afrizal")</f>
        <v>Bagas Afrizal</v>
      </c>
      <c r="C204" s="42" t="str">
        <f>IFERROR(__xludf.DUMMYFUNCTION("""COMPUTED_VALUE"""),"Online")</f>
        <v>Online</v>
      </c>
      <c r="D204" s="42" t="str">
        <f>IFERROR(__xludf.DUMMYFUNCTION("""COMPUTED_VALUE"""),"Fullstack Web Developer")</f>
        <v>Fullstack Web Developer</v>
      </c>
      <c r="E204" s="42">
        <f>IFERROR(__xludf.DUMMYFUNCTION("""COMPUTED_VALUE"""),3.0)</f>
        <v>3</v>
      </c>
      <c r="F204" s="42">
        <f>IFERROR(__xludf.DUMMYFUNCTION("""COMPUTED_VALUE"""),1.0)</f>
        <v>1</v>
      </c>
      <c r="G204" s="42" t="str">
        <f>IFERROR(__xludf.DUMMYFUNCTION("""COMPUTED_VALUE"""),"ARKWH6")</f>
        <v>ARKWH6</v>
      </c>
      <c r="H204" s="42"/>
      <c r="I204" s="46" t="str">
        <f>IFERROR(__xludf.DUMMYFUNCTION("""COMPUTED_VALUE"""),"https://playcode.io/638998/")</f>
        <v>https://playcode.io/638998/</v>
      </c>
      <c r="J204" s="42"/>
      <c r="K204" s="42"/>
      <c r="L204" s="42">
        <f>IFERROR(__xludf.DUMMYFUNCTION("""COMPUTED_VALUE"""),0.0)</f>
        <v>0</v>
      </c>
      <c r="M204" s="42" t="str">
        <f>IFERROR(__xludf.DUMMYFUNCTION("""COMPUTED_VALUE"""),"linknya tidak mengarahkan ke tugas")</f>
        <v>linknya tidak mengarahkan ke tugas</v>
      </c>
    </row>
    <row r="205">
      <c r="A205" s="43">
        <f>IFERROR(__xludf.DUMMYFUNCTION("""COMPUTED_VALUE"""),44090.4196290625)</f>
        <v>44090.41963</v>
      </c>
      <c r="B205" s="42" t="str">
        <f>IFERROR(__xludf.DUMMYFUNCTION("""COMPUTED_VALUE"""),"Galuh Prahadi")</f>
        <v>Galuh Prahadi</v>
      </c>
      <c r="C205" s="42" t="str">
        <f>IFERROR(__xludf.DUMMYFUNCTION("""COMPUTED_VALUE"""),"Online")</f>
        <v>Online</v>
      </c>
      <c r="D205" s="42" t="str">
        <f>IFERROR(__xludf.DUMMYFUNCTION("""COMPUTED_VALUE"""),"Fullstack Web Developer")</f>
        <v>Fullstack Web Developer</v>
      </c>
      <c r="E205" s="42">
        <f>IFERROR(__xludf.DUMMYFUNCTION("""COMPUTED_VALUE"""),3.0)</f>
        <v>3</v>
      </c>
      <c r="F205" s="42">
        <f>IFERROR(__xludf.DUMMYFUNCTION("""COMPUTED_VALUE"""),1.0)</f>
        <v>1</v>
      </c>
      <c r="G205" s="42" t="str">
        <f>IFERROR(__xludf.DUMMYFUNCTION("""COMPUTED_VALUE"""),"ARKWH6")</f>
        <v>ARKWH6</v>
      </c>
      <c r="H205" s="42"/>
      <c r="I205" s="46" t="str">
        <f>IFERROR(__xludf.DUMMYFUNCTION("""COMPUTED_VALUE"""),"https://repl.it/repls/RosybrownDrabSupercollider#index.js")</f>
        <v>https://repl.it/repls/RosybrownDrabSupercollider#index.js</v>
      </c>
      <c r="J205" s="42"/>
      <c r="K205" s="42"/>
      <c r="L205" s="42">
        <f>IFERROR(__xludf.DUMMYFUNCTION("""COMPUTED_VALUE"""),0.25)</f>
        <v>0.25</v>
      </c>
      <c r="M205" s="42"/>
    </row>
    <row r="206">
      <c r="A206" s="43">
        <f>IFERROR(__xludf.DUMMYFUNCTION("""COMPUTED_VALUE"""),44090.4197012963)</f>
        <v>44090.4197</v>
      </c>
      <c r="B206" s="42" t="str">
        <f>IFERROR(__xludf.DUMMYFUNCTION("""COMPUTED_VALUE"""),"Arqi Alfaritsi")</f>
        <v>Arqi Alfaritsi</v>
      </c>
      <c r="C206" s="42" t="str">
        <f>IFERROR(__xludf.DUMMYFUNCTION("""COMPUTED_VALUE"""),"Online")</f>
        <v>Online</v>
      </c>
      <c r="D206" s="42" t="str">
        <f>IFERROR(__xludf.DUMMYFUNCTION("""COMPUTED_VALUE"""),"Fullstack Web Developer")</f>
        <v>Fullstack Web Developer</v>
      </c>
      <c r="E206" s="42">
        <f>IFERROR(__xludf.DUMMYFUNCTION("""COMPUTED_VALUE"""),3.0)</f>
        <v>3</v>
      </c>
      <c r="F206" s="42">
        <f>IFERROR(__xludf.DUMMYFUNCTION("""COMPUTED_VALUE"""),1.0)</f>
        <v>1</v>
      </c>
      <c r="G206" s="42" t="str">
        <f>IFERROR(__xludf.DUMMYFUNCTION("""COMPUTED_VALUE"""),"ARKWH6")</f>
        <v>ARKWH6</v>
      </c>
      <c r="H206" s="42"/>
      <c r="I206" s="46" t="str">
        <f>IFERROR(__xludf.DUMMYFUNCTION("""COMPUTED_VALUE"""),"https://playcode.io/451387/")</f>
        <v>https://playcode.io/451387/</v>
      </c>
      <c r="J206" s="42"/>
      <c r="K206" s="42"/>
      <c r="L206" s="42">
        <f>IFERROR(__xludf.DUMMYFUNCTION("""COMPUTED_VALUE"""),0.0)</f>
        <v>0</v>
      </c>
      <c r="M206" s="42" t="str">
        <f>IFERROR(__xludf.DUMMYFUNCTION("""COMPUTED_VALUE"""),"linknya tidak mengarahkan ke tugas")</f>
        <v>linknya tidak mengarahkan ke tugas</v>
      </c>
    </row>
    <row r="207">
      <c r="A207" s="43">
        <f>IFERROR(__xludf.DUMMYFUNCTION("""COMPUTED_VALUE"""),44090.419984293985)</f>
        <v>44090.41998</v>
      </c>
      <c r="B207" s="42" t="str">
        <f>IFERROR(__xludf.DUMMYFUNCTION("""COMPUTED_VALUE"""),"Giri Nurfauzan")</f>
        <v>Giri Nurfauzan</v>
      </c>
      <c r="C207" s="42" t="str">
        <f>IFERROR(__xludf.DUMMYFUNCTION("""COMPUTED_VALUE"""),"Online")</f>
        <v>Online</v>
      </c>
      <c r="D207" s="42" t="str">
        <f>IFERROR(__xludf.DUMMYFUNCTION("""COMPUTED_VALUE"""),"Fullstack Web Developer")</f>
        <v>Fullstack Web Developer</v>
      </c>
      <c r="E207" s="42">
        <f>IFERROR(__xludf.DUMMYFUNCTION("""COMPUTED_VALUE"""),3.0)</f>
        <v>3</v>
      </c>
      <c r="F207" s="42">
        <f>IFERROR(__xludf.DUMMYFUNCTION("""COMPUTED_VALUE"""),1.0)</f>
        <v>1</v>
      </c>
      <c r="G207" s="42" t="str">
        <f>IFERROR(__xludf.DUMMYFUNCTION("""COMPUTED_VALUE"""),"ARKWH6")</f>
        <v>ARKWH6</v>
      </c>
      <c r="H207" s="42"/>
      <c r="I207" s="46" t="str">
        <f>IFERROR(__xludf.DUMMYFUNCTION("""COMPUTED_VALUE"""),"https://repl.it/@GiriNurfauzan/Quiz-Weekly-6")</f>
        <v>https://repl.it/@GiriNurfauzan/Quiz-Weekly-6</v>
      </c>
      <c r="J207" s="42"/>
      <c r="K207" s="42"/>
      <c r="L207" s="42">
        <f>IFERROR(__xludf.DUMMYFUNCTION("""COMPUTED_VALUE"""),1.75)</f>
        <v>1.75</v>
      </c>
      <c r="M207" s="42"/>
    </row>
    <row r="208">
      <c r="A208" s="42"/>
      <c r="B208" s="42"/>
      <c r="C208" s="42"/>
      <c r="D208" s="42"/>
      <c r="E208" s="42"/>
      <c r="F208" s="42"/>
      <c r="G208" s="42"/>
      <c r="H208" s="42"/>
      <c r="I208" s="42"/>
      <c r="J208" s="42"/>
      <c r="K208" s="42"/>
      <c r="L208" s="42"/>
      <c r="M208" s="42"/>
    </row>
    <row r="209">
      <c r="A209" s="43">
        <f>IFERROR(__xludf.DUMMYFUNCTION("""COMPUTED_VALUE"""),44090.42007717592)</f>
        <v>44090.42008</v>
      </c>
      <c r="B209" s="42" t="str">
        <f>IFERROR(__xludf.DUMMYFUNCTION("""COMPUTED_VALUE"""),"Muhammad Faishal")</f>
        <v>Muhammad Faishal</v>
      </c>
      <c r="C209" s="42" t="str">
        <f>IFERROR(__xludf.DUMMYFUNCTION("""COMPUTED_VALUE"""),"Online")</f>
        <v>Online</v>
      </c>
      <c r="D209" s="42" t="str">
        <f>IFERROR(__xludf.DUMMYFUNCTION("""COMPUTED_VALUE"""),"Fullstack Web Developer")</f>
        <v>Fullstack Web Developer</v>
      </c>
      <c r="E209" s="42">
        <f>IFERROR(__xludf.DUMMYFUNCTION("""COMPUTED_VALUE"""),3.0)</f>
        <v>3</v>
      </c>
      <c r="F209" s="42">
        <f>IFERROR(__xludf.DUMMYFUNCTION("""COMPUTED_VALUE"""),1.0)</f>
        <v>1</v>
      </c>
      <c r="G209" s="42" t="str">
        <f>IFERROR(__xludf.DUMMYFUNCTION("""COMPUTED_VALUE"""),"ARKWH6")</f>
        <v>ARKWH6</v>
      </c>
      <c r="H209" s="42"/>
      <c r="I209" s="46" t="str">
        <f>IFERROR(__xludf.DUMMYFUNCTION("""COMPUTED_VALUE"""),"https://repl.it/join/ittkxqyz-faishalrmdhn")</f>
        <v>https://repl.it/join/ittkxqyz-faishalrmdhn</v>
      </c>
      <c r="J209" s="42"/>
      <c r="K209" s="42"/>
      <c r="L209" s="42">
        <f>IFERROR(__xludf.DUMMYFUNCTION("""COMPUTED_VALUE"""),1.25)</f>
        <v>1.25</v>
      </c>
      <c r="M209" s="42"/>
    </row>
    <row r="210">
      <c r="A210" s="43">
        <f>IFERROR(__xludf.DUMMYFUNCTION("""COMPUTED_VALUE"""),44090.4217150926)</f>
        <v>44090.42172</v>
      </c>
      <c r="B210" s="42" t="str">
        <f>IFERROR(__xludf.DUMMYFUNCTION("""COMPUTED_VALUE"""),"Dhea Qonita")</f>
        <v>Dhea Qonita</v>
      </c>
      <c r="C210" s="42" t="str">
        <f>IFERROR(__xludf.DUMMYFUNCTION("""COMPUTED_VALUE"""),"Online")</f>
        <v>Online</v>
      </c>
      <c r="D210" s="42" t="str">
        <f>IFERROR(__xludf.DUMMYFUNCTION("""COMPUTED_VALUE"""),"Fullstack Web Developer")</f>
        <v>Fullstack Web Developer</v>
      </c>
      <c r="E210" s="42">
        <f>IFERROR(__xludf.DUMMYFUNCTION("""COMPUTED_VALUE"""),3.0)</f>
        <v>3</v>
      </c>
      <c r="F210" s="42">
        <f>IFERROR(__xludf.DUMMYFUNCTION("""COMPUTED_VALUE"""),1.0)</f>
        <v>1</v>
      </c>
      <c r="G210" s="42" t="str">
        <f>IFERROR(__xludf.DUMMYFUNCTION("""COMPUTED_VALUE"""),"ARKWH6")</f>
        <v>ARKWH6</v>
      </c>
      <c r="H210" s="42"/>
      <c r="I210" s="46" t="str">
        <f>IFERROR(__xludf.DUMMYFUNCTION("""COMPUTED_VALUE"""),"https://repl.it/join/irbuditk-dheaaqn")</f>
        <v>https://repl.it/join/irbuditk-dheaaqn</v>
      </c>
      <c r="J210" s="42"/>
      <c r="K210" s="42"/>
      <c r="L210" s="42">
        <f>IFERROR(__xludf.DUMMYFUNCTION("""COMPUTED_VALUE"""),1.5)</f>
        <v>1.5</v>
      </c>
      <c r="M210" s="42"/>
    </row>
    <row r="211">
      <c r="A211" s="43">
        <f>IFERROR(__xludf.DUMMYFUNCTION("""COMPUTED_VALUE"""),44090.4221894213)</f>
        <v>44090.42219</v>
      </c>
      <c r="B211" s="42" t="str">
        <f>IFERROR(__xludf.DUMMYFUNCTION("""COMPUTED_VALUE"""),"Arif Rahman")</f>
        <v>Arif Rahman</v>
      </c>
      <c r="C211" s="42" t="str">
        <f>IFERROR(__xludf.DUMMYFUNCTION("""COMPUTED_VALUE"""),"Online")</f>
        <v>Online</v>
      </c>
      <c r="D211" s="42" t="str">
        <f>IFERROR(__xludf.DUMMYFUNCTION("""COMPUTED_VALUE"""),"Fullstack Web Developer")</f>
        <v>Fullstack Web Developer</v>
      </c>
      <c r="E211" s="42">
        <f>IFERROR(__xludf.DUMMYFUNCTION("""COMPUTED_VALUE"""),3.0)</f>
        <v>3</v>
      </c>
      <c r="F211" s="42">
        <f>IFERROR(__xludf.DUMMYFUNCTION("""COMPUTED_VALUE"""),1.0)</f>
        <v>1</v>
      </c>
      <c r="G211" s="42" t="str">
        <f>IFERROR(__xludf.DUMMYFUNCTION("""COMPUTED_VALUE"""),"ARKWH6")</f>
        <v>ARKWH6</v>
      </c>
      <c r="H211" s="42"/>
      <c r="I211" s="46" t="str">
        <f>IFERROR(__xludf.DUMMYFUNCTION("""COMPUTED_VALUE"""),"https://repl.it/join/tiinndhx-arifrahman6")</f>
        <v>https://repl.it/join/tiinndhx-arifrahman6</v>
      </c>
      <c r="J211" s="42"/>
      <c r="K211" s="42"/>
      <c r="L211" s="42">
        <f>IFERROR(__xludf.DUMMYFUNCTION("""COMPUTED_VALUE"""),1.5)</f>
        <v>1.5</v>
      </c>
      <c r="M211" s="42"/>
    </row>
    <row r="212">
      <c r="A212" s="43">
        <f>IFERROR(__xludf.DUMMYFUNCTION("""COMPUTED_VALUE"""),44090.422606736116)</f>
        <v>44090.42261</v>
      </c>
      <c r="B212" s="42" t="str">
        <f>IFERROR(__xludf.DUMMYFUNCTION("""COMPUTED_VALUE"""),"Dimas Prayoga")</f>
        <v>Dimas Prayoga</v>
      </c>
      <c r="C212" s="42" t="str">
        <f>IFERROR(__xludf.DUMMYFUNCTION("""COMPUTED_VALUE"""),"Online")</f>
        <v>Online</v>
      </c>
      <c r="D212" s="42" t="str">
        <f>IFERROR(__xludf.DUMMYFUNCTION("""COMPUTED_VALUE"""),"Fullstack Web Developer")</f>
        <v>Fullstack Web Developer</v>
      </c>
      <c r="E212" s="42">
        <f>IFERROR(__xludf.DUMMYFUNCTION("""COMPUTED_VALUE"""),3.0)</f>
        <v>3</v>
      </c>
      <c r="F212" s="42">
        <f>IFERROR(__xludf.DUMMYFUNCTION("""COMPUTED_VALUE"""),1.0)</f>
        <v>1</v>
      </c>
      <c r="G212" s="42" t="str">
        <f>IFERROR(__xludf.DUMMYFUNCTION("""COMPUTED_VALUE"""),"ARKWH6")</f>
        <v>ARKWH6</v>
      </c>
      <c r="H212" s="42"/>
      <c r="I212" s="46" t="str">
        <f>IFERROR(__xludf.DUMMYFUNCTION("""COMPUTED_VALUE"""),"https://repl.it/join/elnlkcss-dimasprayoga")</f>
        <v>https://repl.it/join/elnlkcss-dimasprayoga</v>
      </c>
      <c r="J212" s="42"/>
      <c r="K212" s="42"/>
      <c r="L212" s="42">
        <f>IFERROR(__xludf.DUMMYFUNCTION("""COMPUTED_VALUE"""),1.0)</f>
        <v>1</v>
      </c>
      <c r="M212" s="42"/>
    </row>
    <row r="213">
      <c r="A213" s="43">
        <f>IFERROR(__xludf.DUMMYFUNCTION("""COMPUTED_VALUE"""),44090.42438871528)</f>
        <v>44090.42439</v>
      </c>
      <c r="B213" s="42" t="str">
        <f>IFERROR(__xludf.DUMMYFUNCTION("""COMPUTED_VALUE"""),"Muhammad Nur Hidayat")</f>
        <v>Muhammad Nur Hidayat</v>
      </c>
      <c r="C213" s="42" t="str">
        <f>IFERROR(__xludf.DUMMYFUNCTION("""COMPUTED_VALUE"""),"Online")</f>
        <v>Online</v>
      </c>
      <c r="D213" s="42" t="str">
        <f>IFERROR(__xludf.DUMMYFUNCTION("""COMPUTED_VALUE"""),"Fullstack Web Developer")</f>
        <v>Fullstack Web Developer</v>
      </c>
      <c r="E213" s="42">
        <f>IFERROR(__xludf.DUMMYFUNCTION("""COMPUTED_VALUE"""),3.0)</f>
        <v>3</v>
      </c>
      <c r="F213" s="42">
        <f>IFERROR(__xludf.DUMMYFUNCTION("""COMPUTED_VALUE"""),1.0)</f>
        <v>1</v>
      </c>
      <c r="G213" s="42" t="str">
        <f>IFERROR(__xludf.DUMMYFUNCTION("""COMPUTED_VALUE"""),"ARKWH6")</f>
        <v>ARKWH6</v>
      </c>
      <c r="H213" s="42"/>
      <c r="I213" s="46" t="str">
        <f>IFERROR(__xludf.DUMMYFUNCTION("""COMPUTED_VALUE"""),"https://repl.it/@nurhiday/FirstEnviousStructs#index.js")</f>
        <v>https://repl.it/@nurhiday/FirstEnviousStructs#index.js</v>
      </c>
      <c r="J213" s="46" t="str">
        <f>IFERROR(__xludf.DUMMYFUNCTION("""COMPUTED_VALUE"""),"https://drive.google.com/file/d/1Z-NXrbooOH8zJ63qEbswYMEmnjL7z68S/view?usp=sharing")</f>
        <v>https://drive.google.com/file/d/1Z-NXrbooOH8zJ63qEbswYMEmnjL7z68S/view?usp=sharing</v>
      </c>
      <c r="K213" s="42"/>
      <c r="L213" s="42">
        <f>IFERROR(__xludf.DUMMYFUNCTION("""COMPUTED_VALUE"""),0.5)</f>
        <v>0.5</v>
      </c>
      <c r="M213" s="42"/>
    </row>
    <row r="214">
      <c r="A214" s="43">
        <f>IFERROR(__xludf.DUMMYFUNCTION("""COMPUTED_VALUE"""),44091.610151574074)</f>
        <v>44091.61015</v>
      </c>
      <c r="B214" s="42" t="str">
        <f>IFERROR(__xludf.DUMMYFUNCTION("""COMPUTED_VALUE"""),"Regina Putri Arinda")</f>
        <v>Regina Putri Arinda</v>
      </c>
      <c r="C214" s="42" t="str">
        <f>IFERROR(__xludf.DUMMYFUNCTION("""COMPUTED_VALUE"""),"Online")</f>
        <v>Online</v>
      </c>
      <c r="D214" s="42" t="str">
        <f>IFERROR(__xludf.DUMMYFUNCTION("""COMPUTED_VALUE"""),"Fullstack Web Developer")</f>
        <v>Fullstack Web Developer</v>
      </c>
      <c r="E214" s="42">
        <f>IFERROR(__xludf.DUMMYFUNCTION("""COMPUTED_VALUE"""),2.0)</f>
        <v>2</v>
      </c>
      <c r="F214" s="42">
        <f>IFERROR(__xludf.DUMMYFUNCTION("""COMPUTED_VALUE"""),1.0)</f>
        <v>1</v>
      </c>
      <c r="G214" s="42" t="str">
        <f>IFERROR(__xludf.DUMMYFUNCTION("""COMPUTED_VALUE"""),"ARKWH7")</f>
        <v>ARKWH7</v>
      </c>
      <c r="H214" s="42"/>
      <c r="I214" s="46" t="str">
        <f>IFERROR(__xludf.DUMMYFUNCTION("""COMPUTED_VALUE"""),"https://repl.it/@ReginaPutri/arkwh7")</f>
        <v>https://repl.it/@ReginaPutri/arkwh7</v>
      </c>
      <c r="J214" s="42"/>
      <c r="K214" s="42"/>
      <c r="L214" s="42">
        <f>IFERROR(__xludf.DUMMYFUNCTION("""COMPUTED_VALUE"""),1.0)</f>
        <v>1</v>
      </c>
      <c r="M214" s="42"/>
    </row>
    <row r="215">
      <c r="A215" s="43">
        <f>IFERROR(__xludf.DUMMYFUNCTION("""COMPUTED_VALUE"""),44091.62044303241)</f>
        <v>44091.62044</v>
      </c>
      <c r="B215" s="42" t="str">
        <f>IFERROR(__xludf.DUMMYFUNCTION("""COMPUTED_VALUE"""),"Deni Irawan Nugraha")</f>
        <v>Deni Irawan Nugraha</v>
      </c>
      <c r="C215" s="42" t="str">
        <f>IFERROR(__xludf.DUMMYFUNCTION("""COMPUTED_VALUE"""),"Online")</f>
        <v>Online</v>
      </c>
      <c r="D215" s="42" t="str">
        <f>IFERROR(__xludf.DUMMYFUNCTION("""COMPUTED_VALUE"""),"Fullstack Web Developer")</f>
        <v>Fullstack Web Developer</v>
      </c>
      <c r="E215" s="42">
        <f>IFERROR(__xludf.DUMMYFUNCTION("""COMPUTED_VALUE"""),2.0)</f>
        <v>2</v>
      </c>
      <c r="F215" s="42">
        <f>IFERROR(__xludf.DUMMYFUNCTION("""COMPUTED_VALUE"""),1.0)</f>
        <v>1</v>
      </c>
      <c r="G215" s="42" t="str">
        <f>IFERROR(__xludf.DUMMYFUNCTION("""COMPUTED_VALUE"""),"ARKWH7")</f>
        <v>ARKWH7</v>
      </c>
      <c r="H215" s="42"/>
      <c r="I215" s="46" t="str">
        <f>IFERROR(__xludf.DUMMYFUNCTION("""COMPUTED_VALUE"""),"https://repl.it/join/nqazuofb-denycode")</f>
        <v>https://repl.it/join/nqazuofb-denycode</v>
      </c>
      <c r="J215" s="42"/>
      <c r="K215" s="42"/>
      <c r="L215" s="42">
        <f>IFERROR(__xludf.DUMMYFUNCTION("""COMPUTED_VALUE"""),0.25)</f>
        <v>0.25</v>
      </c>
      <c r="M215" s="42" t="str">
        <f>IFERROR(__xludf.DUMMYFUNCTION("""COMPUTED_VALUE"""),"jawabannya belum selesai ya..")</f>
        <v>jawabannya belum selesai ya..</v>
      </c>
    </row>
    <row r="216">
      <c r="A216" s="43">
        <f>IFERROR(__xludf.DUMMYFUNCTION("""COMPUTED_VALUE"""),44091.6225003125)</f>
        <v>44091.6225</v>
      </c>
      <c r="B216" s="42" t="str">
        <f>IFERROR(__xludf.DUMMYFUNCTION("""COMPUTED_VALUE"""),"Cep Guna Widodo")</f>
        <v>Cep Guna Widodo</v>
      </c>
      <c r="C216" s="42" t="str">
        <f>IFERROR(__xludf.DUMMYFUNCTION("""COMPUTED_VALUE"""),"Online")</f>
        <v>Online</v>
      </c>
      <c r="D216" s="42" t="str">
        <f>IFERROR(__xludf.DUMMYFUNCTION("""COMPUTED_VALUE"""),"Fullstack Web Developer")</f>
        <v>Fullstack Web Developer</v>
      </c>
      <c r="E216" s="42">
        <f>IFERROR(__xludf.DUMMYFUNCTION("""COMPUTED_VALUE"""),2.0)</f>
        <v>2</v>
      </c>
      <c r="F216" s="42">
        <f>IFERROR(__xludf.DUMMYFUNCTION("""COMPUTED_VALUE"""),1.0)</f>
        <v>1</v>
      </c>
      <c r="G216" s="42" t="str">
        <f>IFERROR(__xludf.DUMMYFUNCTION("""COMPUTED_VALUE"""),"ARKWH7")</f>
        <v>ARKWH7</v>
      </c>
      <c r="H216" s="42"/>
      <c r="I216" s="46" t="str">
        <f>IFERROR(__xludf.DUMMYFUNCTION("""COMPUTED_VALUE"""),"https://repl.it/@cepguna/Quiz4")</f>
        <v>https://repl.it/@cepguna/Quiz4</v>
      </c>
      <c r="J216" s="42"/>
      <c r="K216" s="42"/>
      <c r="L216" s="42">
        <f>IFERROR(__xludf.DUMMYFUNCTION("""COMPUTED_VALUE"""),1.0)</f>
        <v>1</v>
      </c>
      <c r="M216" s="42"/>
    </row>
    <row r="217">
      <c r="A217" s="43">
        <f>IFERROR(__xludf.DUMMYFUNCTION("""COMPUTED_VALUE"""),44091.627678530094)</f>
        <v>44091.62768</v>
      </c>
      <c r="B217" s="42" t="str">
        <f>IFERROR(__xludf.DUMMYFUNCTION("""COMPUTED_VALUE"""),"Anka Abdullah")</f>
        <v>Anka Abdullah</v>
      </c>
      <c r="C217" s="42" t="str">
        <f>IFERROR(__xludf.DUMMYFUNCTION("""COMPUTED_VALUE"""),"Online")</f>
        <v>Online</v>
      </c>
      <c r="D217" s="42" t="str">
        <f>IFERROR(__xludf.DUMMYFUNCTION("""COMPUTED_VALUE"""),"Fullstack Web Developer")</f>
        <v>Fullstack Web Developer</v>
      </c>
      <c r="E217" s="42">
        <f>IFERROR(__xludf.DUMMYFUNCTION("""COMPUTED_VALUE"""),2.0)</f>
        <v>2</v>
      </c>
      <c r="F217" s="42">
        <f>IFERROR(__xludf.DUMMYFUNCTION("""COMPUTED_VALUE"""),1.0)</f>
        <v>1</v>
      </c>
      <c r="G217" s="42" t="str">
        <f>IFERROR(__xludf.DUMMYFUNCTION("""COMPUTED_VALUE"""),"ARKWH7")</f>
        <v>ARKWH7</v>
      </c>
      <c r="H217" s="42"/>
      <c r="I217" s="46" t="str">
        <f>IFERROR(__xludf.DUMMYFUNCTION("""COMPUTED_VALUE"""),"https://repl.it/@AnkaAbdullah/ARKWH7")</f>
        <v>https://repl.it/@AnkaAbdullah/ARKWH7</v>
      </c>
      <c r="J217" s="42"/>
      <c r="K217" s="42"/>
      <c r="L217" s="42">
        <f>IFERROR(__xludf.DUMMYFUNCTION("""COMPUTED_VALUE"""),0.75)</f>
        <v>0.75</v>
      </c>
      <c r="M217" s="42" t="str">
        <f>IFERROR(__xludf.DUMMYFUNCTION("""COMPUTED_VALUE"""),"jawabannya masih kurang tepat")</f>
        <v>jawabannya masih kurang tepat</v>
      </c>
    </row>
    <row r="218">
      <c r="A218" s="43">
        <f>IFERROR(__xludf.DUMMYFUNCTION("""COMPUTED_VALUE"""),44091.633083113426)</f>
        <v>44091.63308</v>
      </c>
      <c r="B218" s="42" t="str">
        <f>IFERROR(__xludf.DUMMYFUNCTION("""COMPUTED_VALUE"""),"Ervin Nurhediyanto")</f>
        <v>Ervin Nurhediyanto</v>
      </c>
      <c r="C218" s="42" t="str">
        <f>IFERROR(__xludf.DUMMYFUNCTION("""COMPUTED_VALUE"""),"Online")</f>
        <v>Online</v>
      </c>
      <c r="D218" s="42" t="str">
        <f>IFERROR(__xludf.DUMMYFUNCTION("""COMPUTED_VALUE"""),"Fullstack Web Developer")</f>
        <v>Fullstack Web Developer</v>
      </c>
      <c r="E218" s="42">
        <f>IFERROR(__xludf.DUMMYFUNCTION("""COMPUTED_VALUE"""),2.0)</f>
        <v>2</v>
      </c>
      <c r="F218" s="42">
        <f>IFERROR(__xludf.DUMMYFUNCTION("""COMPUTED_VALUE"""),1.0)</f>
        <v>1</v>
      </c>
      <c r="G218" s="42" t="str">
        <f>IFERROR(__xludf.DUMMYFUNCTION("""COMPUTED_VALUE"""),"ARKWH7")</f>
        <v>ARKWH7</v>
      </c>
      <c r="H218" s="42"/>
      <c r="I218" s="46" t="str">
        <f>IFERROR(__xludf.DUMMYFUNCTION("""COMPUTED_VALUE"""),"https://repl.it/join/govejlkj-coffeebreak")</f>
        <v>https://repl.it/join/govejlkj-coffeebreak</v>
      </c>
      <c r="J218" s="42"/>
      <c r="K218" s="42"/>
      <c r="L218" s="42">
        <f>IFERROR(__xludf.DUMMYFUNCTION("""COMPUTED_VALUE"""),0.75)</f>
        <v>0.75</v>
      </c>
      <c r="M218" s="42" t="str">
        <f>IFERROR(__xludf.DUMMYFUNCTION("""COMPUTED_VALUE"""),"jawabannya masih kurang tepat")</f>
        <v>jawabannya masih kurang tepat</v>
      </c>
    </row>
    <row r="219">
      <c r="A219" s="43">
        <f>IFERROR(__xludf.DUMMYFUNCTION("""COMPUTED_VALUE"""),44091.635615520834)</f>
        <v>44091.63562</v>
      </c>
      <c r="B219" s="42" t="str">
        <f>IFERROR(__xludf.DUMMYFUNCTION("""COMPUTED_VALUE"""),"Alan Ardiyanto")</f>
        <v>Alan Ardiyanto</v>
      </c>
      <c r="C219" s="42" t="str">
        <f>IFERROR(__xludf.DUMMYFUNCTION("""COMPUTED_VALUE"""),"Online")</f>
        <v>Online</v>
      </c>
      <c r="D219" s="42" t="str">
        <f>IFERROR(__xludf.DUMMYFUNCTION("""COMPUTED_VALUE"""),"Fullstack Web Developer")</f>
        <v>Fullstack Web Developer</v>
      </c>
      <c r="E219" s="42">
        <f>IFERROR(__xludf.DUMMYFUNCTION("""COMPUTED_VALUE"""),2.0)</f>
        <v>2</v>
      </c>
      <c r="F219" s="42">
        <f>IFERROR(__xludf.DUMMYFUNCTION("""COMPUTED_VALUE"""),1.0)</f>
        <v>1</v>
      </c>
      <c r="G219" s="42" t="str">
        <f>IFERROR(__xludf.DUMMYFUNCTION("""COMPUTED_VALUE"""),"ARKWH7")</f>
        <v>ARKWH7</v>
      </c>
      <c r="H219" s="42"/>
      <c r="I219" s="46" t="str">
        <f>IFERROR(__xludf.DUMMYFUNCTION("""COMPUTED_VALUE"""),"https://repl.it/@alanard/FindHighsetProfitjs")</f>
        <v>https://repl.it/@alanard/FindHighsetProfitjs</v>
      </c>
      <c r="J219" s="42"/>
      <c r="K219" s="42"/>
      <c r="L219" s="42">
        <f>IFERROR(__xludf.DUMMYFUNCTION("""COMPUTED_VALUE"""),0.75)</f>
        <v>0.75</v>
      </c>
      <c r="M219" s="42" t="str">
        <f>IFERROR(__xludf.DUMMYFUNCTION("""COMPUTED_VALUE"""),"masih ada sedikit kesalahan")</f>
        <v>masih ada sedikit kesalahan</v>
      </c>
    </row>
    <row r="220">
      <c r="A220" s="43">
        <f>IFERROR(__xludf.DUMMYFUNCTION("""COMPUTED_VALUE"""),44091.63854594907)</f>
        <v>44091.63855</v>
      </c>
      <c r="B220" s="42" t="str">
        <f>IFERROR(__xludf.DUMMYFUNCTION("""COMPUTED_VALUE"""),"Hamdan Hamdani")</f>
        <v>Hamdan Hamdani</v>
      </c>
      <c r="C220" s="42" t="str">
        <f>IFERROR(__xludf.DUMMYFUNCTION("""COMPUTED_VALUE"""),"Online")</f>
        <v>Online</v>
      </c>
      <c r="D220" s="42" t="str">
        <f>IFERROR(__xludf.DUMMYFUNCTION("""COMPUTED_VALUE"""),"Fullstack Web Developer")</f>
        <v>Fullstack Web Developer</v>
      </c>
      <c r="E220" s="42">
        <f>IFERROR(__xludf.DUMMYFUNCTION("""COMPUTED_VALUE"""),2.0)</f>
        <v>2</v>
      </c>
      <c r="F220" s="42">
        <f>IFERROR(__xludf.DUMMYFUNCTION("""COMPUTED_VALUE"""),1.0)</f>
        <v>1</v>
      </c>
      <c r="G220" s="42" t="str">
        <f>IFERROR(__xludf.DUMMYFUNCTION("""COMPUTED_VALUE"""),"ARKWH7")</f>
        <v>ARKWH7</v>
      </c>
      <c r="H220" s="42"/>
      <c r="I220" s="46" t="str">
        <f>IFERROR(__xludf.DUMMYFUNCTION("""COMPUTED_VALUE"""),"https://repl.it/join/aqqzogpa-hamdanhamdani")</f>
        <v>https://repl.it/join/aqqzogpa-hamdanhamdani</v>
      </c>
      <c r="J220" s="42"/>
      <c r="K220" s="42"/>
      <c r="L220" s="42">
        <f>IFERROR(__xludf.DUMMYFUNCTION("""COMPUTED_VALUE"""),0.25)</f>
        <v>0.25</v>
      </c>
      <c r="M220" s="42"/>
    </row>
    <row r="221">
      <c r="A221" s="43">
        <f>IFERROR(__xludf.DUMMYFUNCTION("""COMPUTED_VALUE"""),44091.63865149306)</f>
        <v>44091.63865</v>
      </c>
      <c r="B221" s="42" t="str">
        <f>IFERROR(__xludf.DUMMYFUNCTION("""COMPUTED_VALUE"""),"Andria Bakti Mahendra")</f>
        <v>Andria Bakti Mahendra</v>
      </c>
      <c r="C221" s="42" t="str">
        <f>IFERROR(__xludf.DUMMYFUNCTION("""COMPUTED_VALUE"""),"Online")</f>
        <v>Online</v>
      </c>
      <c r="D221" s="42" t="str">
        <f>IFERROR(__xludf.DUMMYFUNCTION("""COMPUTED_VALUE"""),"Fullstack Web Developer")</f>
        <v>Fullstack Web Developer</v>
      </c>
      <c r="E221" s="42">
        <f>IFERROR(__xludf.DUMMYFUNCTION("""COMPUTED_VALUE"""),2.0)</f>
        <v>2</v>
      </c>
      <c r="F221" s="42">
        <f>IFERROR(__xludf.DUMMYFUNCTION("""COMPUTED_VALUE"""),1.0)</f>
        <v>1</v>
      </c>
      <c r="G221" s="42" t="str">
        <f>IFERROR(__xludf.DUMMYFUNCTION("""COMPUTED_VALUE"""),"ARKWH7")</f>
        <v>ARKWH7</v>
      </c>
      <c r="H221" s="42"/>
      <c r="I221" s="46" t="str">
        <f>IFERROR(__xludf.DUMMYFUNCTION("""COMPUTED_VALUE"""),"https://repl.it/@Arimahen8/Quiz4#index.js")</f>
        <v>https://repl.it/@Arimahen8/Quiz4#index.js</v>
      </c>
      <c r="J221" s="42"/>
      <c r="K221" s="42"/>
      <c r="L221" s="42">
        <f>IFERROR(__xludf.DUMMYFUNCTION("""COMPUTED_VALUE"""),0.25)</f>
        <v>0.25</v>
      </c>
      <c r="M221" s="42" t="str">
        <f>IFERROR(__xludf.DUMMYFUNCTION("""COMPUTED_VALUE"""),"quiz tidak bisa di jalankan atau masih banyak yg error")</f>
        <v>quiz tidak bisa di jalankan atau masih banyak yg error</v>
      </c>
    </row>
    <row r="222">
      <c r="A222" s="43">
        <f>IFERROR(__xludf.DUMMYFUNCTION("""COMPUTED_VALUE"""),44091.64011033565)</f>
        <v>44091.64011</v>
      </c>
      <c r="B222" s="42" t="str">
        <f>IFERROR(__xludf.DUMMYFUNCTION("""COMPUTED_VALUE"""),"Dewondo Friemorn")</f>
        <v>Dewondo Friemorn</v>
      </c>
      <c r="C222" s="42" t="str">
        <f>IFERROR(__xludf.DUMMYFUNCTION("""COMPUTED_VALUE"""),"Online")</f>
        <v>Online</v>
      </c>
      <c r="D222" s="42" t="str">
        <f>IFERROR(__xludf.DUMMYFUNCTION("""COMPUTED_VALUE"""),"Fullstack Web Developer")</f>
        <v>Fullstack Web Developer</v>
      </c>
      <c r="E222" s="42">
        <f>IFERROR(__xludf.DUMMYFUNCTION("""COMPUTED_VALUE"""),2.0)</f>
        <v>2</v>
      </c>
      <c r="F222" s="42">
        <f>IFERROR(__xludf.DUMMYFUNCTION("""COMPUTED_VALUE"""),1.0)</f>
        <v>1</v>
      </c>
      <c r="G222" s="42" t="str">
        <f>IFERROR(__xludf.DUMMYFUNCTION("""COMPUTED_VALUE"""),"ARKWH7")</f>
        <v>ARKWH7</v>
      </c>
      <c r="H222" s="42"/>
      <c r="I222" s="46" t="str">
        <f>IFERROR(__xludf.DUMMYFUNCTION("""COMPUTED_VALUE"""),"https://repl.it/@Friemorn/Profit#index.js")</f>
        <v>https://repl.it/@Friemorn/Profit#index.js</v>
      </c>
      <c r="J222" s="42"/>
      <c r="K222" s="42"/>
      <c r="L222" s="42">
        <f>IFERROR(__xludf.DUMMYFUNCTION("""COMPUTED_VALUE"""),0.75)</f>
        <v>0.75</v>
      </c>
      <c r="M222" s="42" t="str">
        <f>IFERROR(__xludf.DUMMYFUNCTION("""COMPUTED_VALUE"""),"jawabannya masih kurang tepat")</f>
        <v>jawabannya masih kurang tepat</v>
      </c>
    </row>
    <row r="223">
      <c r="A223" s="43">
        <f>IFERROR(__xludf.DUMMYFUNCTION("""COMPUTED_VALUE"""),44091.64058265046)</f>
        <v>44091.64058</v>
      </c>
      <c r="B223" s="42" t="str">
        <f>IFERROR(__xludf.DUMMYFUNCTION("""COMPUTED_VALUE"""),"Erlangga Jatikusuma")</f>
        <v>Erlangga Jatikusuma</v>
      </c>
      <c r="C223" s="42" t="str">
        <f>IFERROR(__xludf.DUMMYFUNCTION("""COMPUTED_VALUE"""),"Online")</f>
        <v>Online</v>
      </c>
      <c r="D223" s="42" t="str">
        <f>IFERROR(__xludf.DUMMYFUNCTION("""COMPUTED_VALUE"""),"Fullstack Web Developer")</f>
        <v>Fullstack Web Developer</v>
      </c>
      <c r="E223" s="42">
        <f>IFERROR(__xludf.DUMMYFUNCTION("""COMPUTED_VALUE"""),2.0)</f>
        <v>2</v>
      </c>
      <c r="F223" s="42">
        <f>IFERROR(__xludf.DUMMYFUNCTION("""COMPUTED_VALUE"""),1.0)</f>
        <v>1</v>
      </c>
      <c r="G223" s="42" t="str">
        <f>IFERROR(__xludf.DUMMYFUNCTION("""COMPUTED_VALUE"""),"ARKWH7")</f>
        <v>ARKWH7</v>
      </c>
      <c r="H223" s="42"/>
      <c r="I223" s="46" t="str">
        <f>IFERROR(__xludf.DUMMYFUNCTION("""COMPUTED_VALUE"""),"https://repl.it/repls/OriginalPaltryExecutables#index.js")</f>
        <v>https://repl.it/repls/OriginalPaltryExecutables#index.js</v>
      </c>
      <c r="J223" s="42"/>
      <c r="K223" s="42"/>
      <c r="L223" s="42">
        <f>IFERROR(__xludf.DUMMYFUNCTION("""COMPUTED_VALUE"""),0.25)</f>
        <v>0.25</v>
      </c>
      <c r="M223" s="42" t="str">
        <f>IFERROR(__xludf.DUMMYFUNCTION("""COMPUTED_VALUE"""),"jawabannya belum selesai ya..")</f>
        <v>jawabannya belum selesai ya..</v>
      </c>
    </row>
    <row r="224">
      <c r="A224" s="43">
        <f>IFERROR(__xludf.DUMMYFUNCTION("""COMPUTED_VALUE"""),44091.64838457176)</f>
        <v>44091.64838</v>
      </c>
      <c r="B224" s="42" t="str">
        <f>IFERROR(__xludf.DUMMYFUNCTION("""COMPUTED_VALUE"""),"Ahmad Jundan Harish")</f>
        <v>Ahmad Jundan Harish</v>
      </c>
      <c r="C224" s="42" t="str">
        <f>IFERROR(__xludf.DUMMYFUNCTION("""COMPUTED_VALUE"""),"Online")</f>
        <v>Online</v>
      </c>
      <c r="D224" s="42" t="str">
        <f>IFERROR(__xludf.DUMMYFUNCTION("""COMPUTED_VALUE"""),"Fullstack Web Developer")</f>
        <v>Fullstack Web Developer</v>
      </c>
      <c r="E224" s="42">
        <f>IFERROR(__xludf.DUMMYFUNCTION("""COMPUTED_VALUE"""),2.0)</f>
        <v>2</v>
      </c>
      <c r="F224" s="42">
        <f>IFERROR(__xludf.DUMMYFUNCTION("""COMPUTED_VALUE"""),16.0)</f>
        <v>16</v>
      </c>
      <c r="G224" s="42" t="str">
        <f>IFERROR(__xludf.DUMMYFUNCTION("""COMPUTED_VALUE"""),"ARKWH7")</f>
        <v>ARKWH7</v>
      </c>
      <c r="H224" s="42"/>
      <c r="I224" s="46" t="str">
        <f>IFERROR(__xludf.DUMMYFUNCTION("""COMPUTED_VALUE"""),"https://repl.it/repls/RelievedRoyalCopyrightinfringement#index.js")</f>
        <v>https://repl.it/repls/RelievedRoyalCopyrightinfringement#index.js</v>
      </c>
      <c r="J224" s="42"/>
      <c r="K224" s="42"/>
      <c r="L224" s="42">
        <f>IFERROR(__xludf.DUMMYFUNCTION("""COMPUTED_VALUE"""),0.75)</f>
        <v>0.75</v>
      </c>
      <c r="M224" s="42" t="str">
        <f>IFERROR(__xludf.DUMMYFUNCTION("""COMPUTED_VALUE"""),"jawabannya masih kurang tepat")</f>
        <v>jawabannya masih kurang tepat</v>
      </c>
    </row>
    <row r="225">
      <c r="A225" s="43">
        <f>IFERROR(__xludf.DUMMYFUNCTION("""COMPUTED_VALUE"""),44091.65044262732)</f>
        <v>44091.65044</v>
      </c>
      <c r="B225" s="42" t="str">
        <f>IFERROR(__xludf.DUMMYFUNCTION("""COMPUTED_VALUE"""),"Kemal Reza")</f>
        <v>Kemal Reza</v>
      </c>
      <c r="C225" s="42" t="str">
        <f>IFERROR(__xludf.DUMMYFUNCTION("""COMPUTED_VALUE"""),"Online")</f>
        <v>Online</v>
      </c>
      <c r="D225" s="42" t="str">
        <f>IFERROR(__xludf.DUMMYFUNCTION("""COMPUTED_VALUE"""),"Fullstack Web Developer")</f>
        <v>Fullstack Web Developer</v>
      </c>
      <c r="E225" s="42">
        <f>IFERROR(__xludf.DUMMYFUNCTION("""COMPUTED_VALUE"""),2.0)</f>
        <v>2</v>
      </c>
      <c r="F225" s="42">
        <f>IFERROR(__xludf.DUMMYFUNCTION("""COMPUTED_VALUE"""),1.0)</f>
        <v>1</v>
      </c>
      <c r="G225" s="42" t="str">
        <f>IFERROR(__xludf.DUMMYFUNCTION("""COMPUTED_VALUE"""),"ARKWH7")</f>
        <v>ARKWH7</v>
      </c>
      <c r="H225" s="42"/>
      <c r="I225" s="42"/>
      <c r="J225" s="46" t="str">
        <f>IFERROR(__xludf.DUMMYFUNCTION("""COMPUTED_VALUE"""),"https://repl.it/@kemalreza/findHighProfit#index.js")</f>
        <v>https://repl.it/@kemalreza/findHighProfit#index.js</v>
      </c>
      <c r="K225" s="42"/>
      <c r="L225" s="42">
        <f>IFERROR(__xludf.DUMMYFUNCTION("""COMPUTED_VALUE"""),0.5)</f>
        <v>0.5</v>
      </c>
      <c r="M225" s="42" t="str">
        <f>IFERROR(__xludf.DUMMYFUNCTION("""COMPUTED_VALUE"""),"jawabanya hanya baru bisa mencari nilai terbesar")</f>
        <v>jawabanya hanya baru bisa mencari nilai terbesar</v>
      </c>
    </row>
    <row r="226">
      <c r="A226" s="43">
        <f>IFERROR(__xludf.DUMMYFUNCTION("""COMPUTED_VALUE"""),44091.69796917824)</f>
        <v>44091.69797</v>
      </c>
      <c r="B226" s="42" t="str">
        <f>IFERROR(__xludf.DUMMYFUNCTION("""COMPUTED_VALUE"""),"farhan ammar dzakwan")</f>
        <v>farhan ammar dzakwan</v>
      </c>
      <c r="C226" s="42" t="str">
        <f>IFERROR(__xludf.DUMMYFUNCTION("""COMPUTED_VALUE"""),"Online")</f>
        <v>Online</v>
      </c>
      <c r="D226" s="42" t="str">
        <f>IFERROR(__xludf.DUMMYFUNCTION("""COMPUTED_VALUE"""),"Fullstack Web Developer")</f>
        <v>Fullstack Web Developer</v>
      </c>
      <c r="E226" s="42">
        <f>IFERROR(__xludf.DUMMYFUNCTION("""COMPUTED_VALUE"""),4.0)</f>
        <v>4</v>
      </c>
      <c r="F226" s="42">
        <f>IFERROR(__xludf.DUMMYFUNCTION("""COMPUTED_VALUE"""),1.0)</f>
        <v>1</v>
      </c>
      <c r="G226" s="42" t="str">
        <f>IFERROR(__xludf.DUMMYFUNCTION("""COMPUTED_VALUE"""),"ARKWH1")</f>
        <v>ARKWH1</v>
      </c>
      <c r="H226" s="42"/>
      <c r="I226" s="46" t="str">
        <f>IFERROR(__xludf.DUMMYFUNCTION("""COMPUTED_VALUE"""),"https://repl.it/join/fnldwcjk-farhandz")</f>
        <v>https://repl.it/join/fnldwcjk-farhandz</v>
      </c>
      <c r="J226" s="46" t="str">
        <f>IFERROR(__xludf.DUMMYFUNCTION("""COMPUTED_VALUE"""),"https://drive.google.com/file/d/1vIMPnhzdbdorufnBujsR9rWaEUpqZOsE/view?usp=sharing")</f>
        <v>https://drive.google.com/file/d/1vIMPnhzdbdorufnBujsR9rWaEUpqZOsE/view?usp=sharing</v>
      </c>
      <c r="K226" s="46" t="str">
        <f>IFERROR(__xludf.DUMMYFUNCTION("""COMPUTED_VALUE"""),"https://drive.google.com/open?id=1vzY2IugsfL0-jUPR65-Q4WNzTxIJ6UYA")</f>
        <v>https://drive.google.com/open?id=1vzY2IugsfL0-jUPR65-Q4WNzTxIJ6UYA</v>
      </c>
      <c r="L226" s="42">
        <f>IFERROR(__xludf.DUMMYFUNCTION("""COMPUTED_VALUE"""),0.25)</f>
        <v>0.25</v>
      </c>
      <c r="M226" s="42" t="str">
        <f>IFERROR(__xludf.DUMMYFUNCTION("""COMPUTED_VALUE"""),"Jawaban masih belum sesuai dengan soal yang diberikan")</f>
        <v>Jawaban masih belum sesuai dengan soal yang diberikan</v>
      </c>
    </row>
    <row r="227">
      <c r="A227" s="43">
        <f>IFERROR(__xludf.DUMMYFUNCTION("""COMPUTED_VALUE"""),44091.70848269676)</f>
        <v>44091.70848</v>
      </c>
      <c r="B227" s="42" t="str">
        <f>IFERROR(__xludf.DUMMYFUNCTION("""COMPUTED_VALUE"""),"Satria Adhi Nugraha")</f>
        <v>Satria Adhi Nugraha</v>
      </c>
      <c r="C227" s="42" t="str">
        <f>IFERROR(__xludf.DUMMYFUNCTION("""COMPUTED_VALUE"""),"Online")</f>
        <v>Online</v>
      </c>
      <c r="D227" s="42" t="str">
        <f>IFERROR(__xludf.DUMMYFUNCTION("""COMPUTED_VALUE"""),"Fullstack Web Developer")</f>
        <v>Fullstack Web Developer</v>
      </c>
      <c r="E227" s="42">
        <f>IFERROR(__xludf.DUMMYFUNCTION("""COMPUTED_VALUE"""),4.0)</f>
        <v>4</v>
      </c>
      <c r="F227" s="42">
        <f>IFERROR(__xludf.DUMMYFUNCTION("""COMPUTED_VALUE"""),1.0)</f>
        <v>1</v>
      </c>
      <c r="G227" s="42" t="str">
        <f>IFERROR(__xludf.DUMMYFUNCTION("""COMPUTED_VALUE"""),"ARKWH1")</f>
        <v>ARKWH1</v>
      </c>
      <c r="H227" s="42"/>
      <c r="I227" s="46" t="str">
        <f>IFERROR(__xludf.DUMMYFUNCTION("""COMPUTED_VALUE"""),"https://repl.it/@SATRIA05/Weekly-Quiz-1")</f>
        <v>https://repl.it/@SATRIA05/Weekly-Quiz-1</v>
      </c>
      <c r="J227" s="46" t="str">
        <f>IFERROR(__xludf.DUMMYFUNCTION("""COMPUTED_VALUE"""),"https://drive.google.com/file/d/1QTDLbTLwmaq-hCuLc1GPTxeTq86lKpgT/view?usp=sharing")</f>
        <v>https://drive.google.com/file/d/1QTDLbTLwmaq-hCuLc1GPTxeTq86lKpgT/view?usp=sharing</v>
      </c>
      <c r="K227" s="42"/>
      <c r="L227" s="42">
        <f>IFERROR(__xludf.DUMMYFUNCTION("""COMPUTED_VALUE"""),1.25)</f>
        <v>1.25</v>
      </c>
      <c r="M227" s="42" t="str">
        <f>IFERROR(__xludf.DUMMYFUNCTION("""COMPUTED_VALUE"""),"Code belum selesai, untuk flowchart sudah bagus, cuman kurang detail sedikit")</f>
        <v>Code belum selesai, untuk flowchart sudah bagus, cuman kurang detail sedikit</v>
      </c>
    </row>
    <row r="228">
      <c r="A228" s="43">
        <f>IFERROR(__xludf.DUMMYFUNCTION("""COMPUTED_VALUE"""),44091.7093790625)</f>
        <v>44091.70938</v>
      </c>
      <c r="B228" s="42" t="str">
        <f>IFERROR(__xludf.DUMMYFUNCTION("""COMPUTED_VALUE"""),"Riza Radia  Rivaldo")</f>
        <v>Riza Radia  Rivaldo</v>
      </c>
      <c r="C228" s="42" t="str">
        <f>IFERROR(__xludf.DUMMYFUNCTION("""COMPUTED_VALUE"""),"Online")</f>
        <v>Online</v>
      </c>
      <c r="D228" s="42" t="str">
        <f>IFERROR(__xludf.DUMMYFUNCTION("""COMPUTED_VALUE"""),"Fullstack Web Developer")</f>
        <v>Fullstack Web Developer</v>
      </c>
      <c r="E228" s="42">
        <f>IFERROR(__xludf.DUMMYFUNCTION("""COMPUTED_VALUE"""),4.0)</f>
        <v>4</v>
      </c>
      <c r="F228" s="42">
        <f>IFERROR(__xludf.DUMMYFUNCTION("""COMPUTED_VALUE"""),1.0)</f>
        <v>1</v>
      </c>
      <c r="G228" s="42" t="str">
        <f>IFERROR(__xludf.DUMMYFUNCTION("""COMPUTED_VALUE"""),"ARKWH1")</f>
        <v>ARKWH1</v>
      </c>
      <c r="H228" s="42"/>
      <c r="I228" s="46" t="str">
        <f>IFERROR(__xludf.DUMMYFUNCTION("""COMPUTED_VALUE"""),"https://drive.google.com/file/d/1mVK7dnzZtby8ELTHBRC7XJDOyf6g2tWj/view?usp=sharing")</f>
        <v>https://drive.google.com/file/d/1mVK7dnzZtby8ELTHBRC7XJDOyf6g2tWj/view?usp=sharing</v>
      </c>
      <c r="J228" s="46" t="str">
        <f>IFERROR(__xludf.DUMMYFUNCTION("""COMPUTED_VALUE"""),"https://drive.google.com/file/d/1mVK7dnzZtby8ELTHBRC7XJDOyf6g2tWj/view?usp=sharing")</f>
        <v>https://drive.google.com/file/d/1mVK7dnzZtby8ELTHBRC7XJDOyf6g2tWj/view?usp=sharing</v>
      </c>
      <c r="K228" s="42"/>
      <c r="L228" s="42">
        <f>IFERROR(__xludf.DUMMYFUNCTION("""COMPUTED_VALUE"""),0.5)</f>
        <v>0.5</v>
      </c>
      <c r="M228" s="42" t="str">
        <f>IFERROR(__xludf.DUMMYFUNCTION("""COMPUTED_VALUE"""),"Code nya tidak ada, untuk flowchart nya masih kurang")</f>
        <v>Code nya tidak ada, untuk flowchart nya masih kurang</v>
      </c>
    </row>
    <row r="229">
      <c r="A229" s="43">
        <f>IFERROR(__xludf.DUMMYFUNCTION("""COMPUTED_VALUE"""),44091.70942363426)</f>
        <v>44091.70942</v>
      </c>
      <c r="B229" s="42" t="str">
        <f>IFERROR(__xludf.DUMMYFUNCTION("""COMPUTED_VALUE"""),"Mochamad Sofyan")</f>
        <v>Mochamad Sofyan</v>
      </c>
      <c r="C229" s="42" t="str">
        <f>IFERROR(__xludf.DUMMYFUNCTION("""COMPUTED_VALUE"""),"Online")</f>
        <v>Online</v>
      </c>
      <c r="D229" s="42" t="str">
        <f>IFERROR(__xludf.DUMMYFUNCTION("""COMPUTED_VALUE"""),"Fullstack Web Developer")</f>
        <v>Fullstack Web Developer</v>
      </c>
      <c r="E229" s="42">
        <f>IFERROR(__xludf.DUMMYFUNCTION("""COMPUTED_VALUE"""),4.0)</f>
        <v>4</v>
      </c>
      <c r="F229" s="42">
        <f>IFERROR(__xludf.DUMMYFUNCTION("""COMPUTED_VALUE"""),1.0)</f>
        <v>1</v>
      </c>
      <c r="G229" s="42" t="str">
        <f>IFERROR(__xludf.DUMMYFUNCTION("""COMPUTED_VALUE"""),"ARKWH1")</f>
        <v>ARKWH1</v>
      </c>
      <c r="H229" s="42"/>
      <c r="I229" s="46" t="str">
        <f>IFERROR(__xludf.DUMMYFUNCTION("""COMPUTED_VALUE"""),"https://repl.it/@mochsofyan17/quiz#index.js")</f>
        <v>https://repl.it/@mochsofyan17/quiz#index.js</v>
      </c>
      <c r="J229" s="46" t="str">
        <f>IFERROR(__xludf.DUMMYFUNCTION("""COMPUTED_VALUE"""),"https://drive.google.com/file/d/13k1cy_9Y2kwDCjt8K_gC_wC8V2eLYqeW/view?usp=sharing")</f>
        <v>https://drive.google.com/file/d/13k1cy_9Y2kwDCjt8K_gC_wC8V2eLYqeW/view?usp=sharing</v>
      </c>
      <c r="K229" s="42"/>
      <c r="L229" s="42">
        <f>IFERROR(__xludf.DUMMYFUNCTION("""COMPUTED_VALUE"""),1.0)</f>
        <v>1</v>
      </c>
      <c r="M229" s="42" t="str">
        <f>IFERROR(__xludf.DUMMYFUNCTION("""COMPUTED_VALUE"""),"Code belum selesai, untuk flowchart masih kurang")</f>
        <v>Code belum selesai, untuk flowchart masih kurang</v>
      </c>
    </row>
    <row r="230">
      <c r="A230" s="43">
        <f>IFERROR(__xludf.DUMMYFUNCTION("""COMPUTED_VALUE"""),44091.70947997685)</f>
        <v>44091.70948</v>
      </c>
      <c r="B230" s="42" t="str">
        <f>IFERROR(__xludf.DUMMYFUNCTION("""COMPUTED_VALUE"""),"Raden Syamsa Nur Ashari Mahmud")</f>
        <v>Raden Syamsa Nur Ashari Mahmud</v>
      </c>
      <c r="C230" s="42" t="str">
        <f>IFERROR(__xludf.DUMMYFUNCTION("""COMPUTED_VALUE"""),"Online")</f>
        <v>Online</v>
      </c>
      <c r="D230" s="42" t="str">
        <f>IFERROR(__xludf.DUMMYFUNCTION("""COMPUTED_VALUE"""),"Fullstack Web Developer")</f>
        <v>Fullstack Web Developer</v>
      </c>
      <c r="E230" s="42">
        <f>IFERROR(__xludf.DUMMYFUNCTION("""COMPUTED_VALUE"""),4.0)</f>
        <v>4</v>
      </c>
      <c r="F230" s="42">
        <f>IFERROR(__xludf.DUMMYFUNCTION("""COMPUTED_VALUE"""),1.0)</f>
        <v>1</v>
      </c>
      <c r="G230" s="42" t="str">
        <f>IFERROR(__xludf.DUMMYFUNCTION("""COMPUTED_VALUE"""),"ARKWH1")</f>
        <v>ARKWH1</v>
      </c>
      <c r="H230" s="42"/>
      <c r="I230" s="46" t="str">
        <f>IFERROR(__xludf.DUMMYFUNCTION("""COMPUTED_VALUE"""),"https://repl.it/@syamsa/FlatTenseCharacterset")</f>
        <v>https://repl.it/@syamsa/FlatTenseCharacterset</v>
      </c>
      <c r="J230" s="46" t="str">
        <f>IFERROR(__xludf.DUMMYFUNCTION("""COMPUTED_VALUE"""),"https://drive.google.com/file/d/1_ysbOILO4lZKq0v7WBKuPBZE3M1AX3eu/view?usp=sharing")</f>
        <v>https://drive.google.com/file/d/1_ysbOILO4lZKq0v7WBKuPBZE3M1AX3eu/view?usp=sharing</v>
      </c>
      <c r="K230" s="42"/>
      <c r="L230" s="42">
        <f>IFERROR(__xludf.DUMMYFUNCTION("""COMPUTED_VALUE"""),1.5)</f>
        <v>1.5</v>
      </c>
      <c r="M230" s="42" t="str">
        <f>IFERROR(__xludf.DUMMYFUNCTION("""COMPUTED_VALUE"""),"Code sudah cukup baik, flowchart belum selesai")</f>
        <v>Code sudah cukup baik, flowchart belum selesai</v>
      </c>
    </row>
    <row r="231">
      <c r="A231" s="43">
        <f>IFERROR(__xludf.DUMMYFUNCTION("""COMPUTED_VALUE"""),44091.70964079861)</f>
        <v>44091.70964</v>
      </c>
      <c r="B231" s="42" t="str">
        <f>IFERROR(__xludf.DUMMYFUNCTION("""COMPUTED_VALUE"""),"Rifqy Andika Al Akbar")</f>
        <v>Rifqy Andika Al Akbar</v>
      </c>
      <c r="C231" s="42" t="str">
        <f>IFERROR(__xludf.DUMMYFUNCTION("""COMPUTED_VALUE"""),"Online")</f>
        <v>Online</v>
      </c>
      <c r="D231" s="42" t="str">
        <f>IFERROR(__xludf.DUMMYFUNCTION("""COMPUTED_VALUE"""),"Fullstack Web Developer")</f>
        <v>Fullstack Web Developer</v>
      </c>
      <c r="E231" s="42">
        <f>IFERROR(__xludf.DUMMYFUNCTION("""COMPUTED_VALUE"""),4.0)</f>
        <v>4</v>
      </c>
      <c r="F231" s="42">
        <f>IFERROR(__xludf.DUMMYFUNCTION("""COMPUTED_VALUE"""),1.0)</f>
        <v>1</v>
      </c>
      <c r="G231" s="42" t="str">
        <f>IFERROR(__xludf.DUMMYFUNCTION("""COMPUTED_VALUE"""),"ARKWH1")</f>
        <v>ARKWH1</v>
      </c>
      <c r="H231" s="42"/>
      <c r="I231" s="46" t="str">
        <f>IFERROR(__xludf.DUMMYFUNCTION("""COMPUTED_VALUE"""),"https://repl.it/@andikakiky/1")</f>
        <v>https://repl.it/@andikakiky/1</v>
      </c>
      <c r="J231" s="42"/>
      <c r="K231" s="46" t="str">
        <f>IFERROR(__xludf.DUMMYFUNCTION("""COMPUTED_VALUE"""),"https://drive.google.com/open?id=1S5wIJn7OMXZYu6kVhVWZG8j8b3RTS3lT")</f>
        <v>https://drive.google.com/open?id=1S5wIJn7OMXZYu6kVhVWZG8j8b3RTS3lT</v>
      </c>
      <c r="L231" s="42">
        <f>IFERROR(__xludf.DUMMYFUNCTION("""COMPUTED_VALUE"""),1.0)</f>
        <v>1</v>
      </c>
      <c r="M231" s="42" t="str">
        <f>IFERROR(__xludf.DUMMYFUNCTION("""COMPUTED_VALUE"""),"Code belum selesai, flowchart juga belum selesai")</f>
        <v>Code belum selesai, flowchart juga belum selesai</v>
      </c>
    </row>
    <row r="232">
      <c r="A232" s="43">
        <f>IFERROR(__xludf.DUMMYFUNCTION("""COMPUTED_VALUE"""),44091.709818738425)</f>
        <v>44091.70982</v>
      </c>
      <c r="B232" s="42" t="str">
        <f>IFERROR(__xludf.DUMMYFUNCTION("""COMPUTED_VALUE"""),"shofirakhairunnisa")</f>
        <v>shofirakhairunnisa</v>
      </c>
      <c r="C232" s="42" t="str">
        <f>IFERROR(__xludf.DUMMYFUNCTION("""COMPUTED_VALUE"""),"Online")</f>
        <v>Online</v>
      </c>
      <c r="D232" s="42" t="str">
        <f>IFERROR(__xludf.DUMMYFUNCTION("""COMPUTED_VALUE"""),"Fullstack Web Developer")</f>
        <v>Fullstack Web Developer</v>
      </c>
      <c r="E232" s="42">
        <f>IFERROR(__xludf.DUMMYFUNCTION("""COMPUTED_VALUE"""),4.0)</f>
        <v>4</v>
      </c>
      <c r="F232" s="42">
        <f>IFERROR(__xludf.DUMMYFUNCTION("""COMPUTED_VALUE"""),1.0)</f>
        <v>1</v>
      </c>
      <c r="G232" s="42" t="str">
        <f>IFERROR(__xludf.DUMMYFUNCTION("""COMPUTED_VALUE"""),"ARKWH1")</f>
        <v>ARKWH1</v>
      </c>
      <c r="H232" s="42"/>
      <c r="I232" s="46" t="str">
        <f>IFERROR(__xludf.DUMMYFUNCTION("""COMPUTED_VALUE"""),"https://repl.it/@Shofira/quizPertama#index.js")</f>
        <v>https://repl.it/@Shofira/quizPertama#index.js</v>
      </c>
      <c r="J232" s="46" t="str">
        <f>IFERROR(__xludf.DUMMYFUNCTION("""COMPUTED_VALUE"""),"https://drive.google.com/drive/folders/1E3BdoBxlDa8p5fv-N6CHpiDmisNqkMRU?usp=sharing")</f>
        <v>https://drive.google.com/drive/folders/1E3BdoBxlDa8p5fv-N6CHpiDmisNqkMRU?usp=sharing</v>
      </c>
      <c r="K232" s="42"/>
      <c r="L232" s="42">
        <f>IFERROR(__xludf.DUMMYFUNCTION("""COMPUTED_VALUE"""),0.25)</f>
        <v>0.25</v>
      </c>
      <c r="M232" s="42" t="str">
        <f>IFERROR(__xludf.DUMMYFUNCTION("""COMPUTED_VALUE"""),"jawaban belum sesuai dengan soal yg diberikan")</f>
        <v>jawaban belum sesuai dengan soal yg diberikan</v>
      </c>
    </row>
    <row r="233">
      <c r="A233" s="43">
        <f>IFERROR(__xludf.DUMMYFUNCTION("""COMPUTED_VALUE"""),44091.70985796297)</f>
        <v>44091.70986</v>
      </c>
      <c r="B233" s="42" t="str">
        <f>IFERROR(__xludf.DUMMYFUNCTION("""COMPUTED_VALUE"""),"Bagaskara Ramadhan")</f>
        <v>Bagaskara Ramadhan</v>
      </c>
      <c r="C233" s="42" t="str">
        <f>IFERROR(__xludf.DUMMYFUNCTION("""COMPUTED_VALUE"""),"Online")</f>
        <v>Online</v>
      </c>
      <c r="D233" s="42" t="str">
        <f>IFERROR(__xludf.DUMMYFUNCTION("""COMPUTED_VALUE"""),"Fullstack Web Developer")</f>
        <v>Fullstack Web Developer</v>
      </c>
      <c r="E233" s="42">
        <f>IFERROR(__xludf.DUMMYFUNCTION("""COMPUTED_VALUE"""),4.0)</f>
        <v>4</v>
      </c>
      <c r="F233" s="42">
        <f>IFERROR(__xludf.DUMMYFUNCTION("""COMPUTED_VALUE"""),1.0)</f>
        <v>1</v>
      </c>
      <c r="G233" s="42" t="str">
        <f>IFERROR(__xludf.DUMMYFUNCTION("""COMPUTED_VALUE"""),"ARKWH1")</f>
        <v>ARKWH1</v>
      </c>
      <c r="H233" s="42"/>
      <c r="I233" s="46" t="str">
        <f>IFERROR(__xludf.DUMMYFUNCTION("""COMPUTED_VALUE"""),"https://repl.it/@bagaskaramadhan/ARKWH1B4")</f>
        <v>https://repl.it/@bagaskaramadhan/ARKWH1B4</v>
      </c>
      <c r="J233" s="42"/>
      <c r="K233" s="42"/>
      <c r="L233" s="42">
        <f>IFERROR(__xludf.DUMMYFUNCTION("""COMPUTED_VALUE"""),0.75)</f>
        <v>0.75</v>
      </c>
      <c r="M233" s="42" t="str">
        <f>IFERROR(__xludf.DUMMYFUNCTION("""COMPUTED_VALUE"""),"soal no 1 belum selesai, flowchart tidak ada")</f>
        <v>soal no 1 belum selesai, flowchart tidak ada</v>
      </c>
    </row>
    <row r="234">
      <c r="A234" s="43">
        <f>IFERROR(__xludf.DUMMYFUNCTION("""COMPUTED_VALUE"""),44091.71140678241)</f>
        <v>44091.71141</v>
      </c>
      <c r="B234" s="42" t="str">
        <f>IFERROR(__xludf.DUMMYFUNCTION("""COMPUTED_VALUE"""),"Rido Maulana Solihin")</f>
        <v>Rido Maulana Solihin</v>
      </c>
      <c r="C234" s="42" t="str">
        <f>IFERROR(__xludf.DUMMYFUNCTION("""COMPUTED_VALUE"""),"Online")</f>
        <v>Online</v>
      </c>
      <c r="D234" s="42" t="str">
        <f>IFERROR(__xludf.DUMMYFUNCTION("""COMPUTED_VALUE"""),"Fullstack Web Developer")</f>
        <v>Fullstack Web Developer</v>
      </c>
      <c r="E234" s="42">
        <f>IFERROR(__xludf.DUMMYFUNCTION("""COMPUTED_VALUE"""),4.0)</f>
        <v>4</v>
      </c>
      <c r="F234" s="42">
        <f>IFERROR(__xludf.DUMMYFUNCTION("""COMPUTED_VALUE"""),1.0)</f>
        <v>1</v>
      </c>
      <c r="G234" s="42" t="str">
        <f>IFERROR(__xludf.DUMMYFUNCTION("""COMPUTED_VALUE"""),"ARKWH1")</f>
        <v>ARKWH1</v>
      </c>
      <c r="H234" s="42"/>
      <c r="I234" s="46" t="str">
        <f>IFERROR(__xludf.DUMMYFUNCTION("""COMPUTED_VALUE"""),"https://repl.it/@ridoNev1/Arka-Kuis")</f>
        <v>https://repl.it/@ridoNev1/Arka-Kuis</v>
      </c>
      <c r="J234" s="46" t="str">
        <f>IFERROR(__xludf.DUMMYFUNCTION("""COMPUTED_VALUE"""),"https://drive.google.com/file/d/1FWbsT-khKm8bYG4G-72AZLSHS2y4u-wW/view?usp=sharing")</f>
        <v>https://drive.google.com/file/d/1FWbsT-khKm8bYG4G-72AZLSHS2y4u-wW/view?usp=sharing</v>
      </c>
      <c r="K234" s="42"/>
      <c r="L234" s="42">
        <f>IFERROR(__xludf.DUMMYFUNCTION("""COMPUTED_VALUE"""),1.75)</f>
        <v>1.75</v>
      </c>
      <c r="M234" s="42" t="str">
        <f>IFERROR(__xludf.DUMMYFUNCTION("""COMPUTED_VALUE"""),"flowchart masih kurang detail")</f>
        <v>flowchart masih kurang detail</v>
      </c>
    </row>
    <row r="235">
      <c r="A235" s="43">
        <f>IFERROR(__xludf.DUMMYFUNCTION("""COMPUTED_VALUE"""),44091.71141282408)</f>
        <v>44091.71141</v>
      </c>
      <c r="B235" s="42" t="str">
        <f>IFERROR(__xludf.DUMMYFUNCTION("""COMPUTED_VALUE"""),"Muhamad Riko Arafi")</f>
        <v>Muhamad Riko Arafi</v>
      </c>
      <c r="C235" s="42" t="str">
        <f>IFERROR(__xludf.DUMMYFUNCTION("""COMPUTED_VALUE"""),"Online")</f>
        <v>Online</v>
      </c>
      <c r="D235" s="42" t="str">
        <f>IFERROR(__xludf.DUMMYFUNCTION("""COMPUTED_VALUE"""),"Fullstack Web Developer")</f>
        <v>Fullstack Web Developer</v>
      </c>
      <c r="E235" s="42">
        <f>IFERROR(__xludf.DUMMYFUNCTION("""COMPUTED_VALUE"""),4.0)</f>
        <v>4</v>
      </c>
      <c r="F235" s="42">
        <f>IFERROR(__xludf.DUMMYFUNCTION("""COMPUTED_VALUE"""),1.0)</f>
        <v>1</v>
      </c>
      <c r="G235" s="42" t="str">
        <f>IFERROR(__xludf.DUMMYFUNCTION("""COMPUTED_VALUE"""),"ARKWH1")</f>
        <v>ARKWH1</v>
      </c>
      <c r="H235" s="42"/>
      <c r="I235" s="46" t="str">
        <f>IFERROR(__xludf.DUMMYFUNCTION("""COMPUTED_VALUE"""),"https://repl.it/join/deumdfpx-mrikoarafi")</f>
        <v>https://repl.it/join/deumdfpx-mrikoarafi</v>
      </c>
      <c r="J235" s="46" t="str">
        <f>IFERROR(__xludf.DUMMYFUNCTION("""COMPUTED_VALUE"""),"https://drive.google.com/drive/folders/1hjwD377zHYYoeDVuWMCNenSnh0vqJn-D?usp=sharing")</f>
        <v>https://drive.google.com/drive/folders/1hjwD377zHYYoeDVuWMCNenSnh0vqJn-D?usp=sharing</v>
      </c>
      <c r="K235" s="42"/>
      <c r="L235" s="42">
        <f>IFERROR(__xludf.DUMMYFUNCTION("""COMPUTED_VALUE"""),0.5)</f>
        <v>0.5</v>
      </c>
      <c r="M235" s="42" t="str">
        <f>IFERROR(__xludf.DUMMYFUNCTION("""COMPUTED_VALUE"""),"soal no 1 belum selesai, flowchart tidak bisa dibuka")</f>
        <v>soal no 1 belum selesai, flowchart tidak bisa dibuka</v>
      </c>
    </row>
    <row r="236">
      <c r="A236" s="43">
        <f>IFERROR(__xludf.DUMMYFUNCTION("""COMPUTED_VALUE"""),44091.712458587965)</f>
        <v>44091.71246</v>
      </c>
      <c r="B236" s="42" t="str">
        <f>IFERROR(__xludf.DUMMYFUNCTION("""COMPUTED_VALUE"""),"Wisnu Giri")</f>
        <v>Wisnu Giri</v>
      </c>
      <c r="C236" s="42" t="str">
        <f>IFERROR(__xludf.DUMMYFUNCTION("""COMPUTED_VALUE"""),"Online")</f>
        <v>Online</v>
      </c>
      <c r="D236" s="42" t="str">
        <f>IFERROR(__xludf.DUMMYFUNCTION("""COMPUTED_VALUE"""),"Fullstack Web Developer")</f>
        <v>Fullstack Web Developer</v>
      </c>
      <c r="E236" s="42">
        <f>IFERROR(__xludf.DUMMYFUNCTION("""COMPUTED_VALUE"""),4.0)</f>
        <v>4</v>
      </c>
      <c r="F236" s="42">
        <f>IFERROR(__xludf.DUMMYFUNCTION("""COMPUTED_VALUE"""),1.0)</f>
        <v>1</v>
      </c>
      <c r="G236" s="42" t="str">
        <f>IFERROR(__xludf.DUMMYFUNCTION("""COMPUTED_VALUE"""),"ARKWH1")</f>
        <v>ARKWH1</v>
      </c>
      <c r="H236" s="42"/>
      <c r="I236" s="46" t="str">
        <f>IFERROR(__xludf.DUMMYFUNCTION("""COMPUTED_VALUE"""),"https://repl.it/@Wsngr/WorthwhileCanineMacrolanguage")</f>
        <v>https://repl.it/@Wsngr/WorthwhileCanineMacrolanguage</v>
      </c>
      <c r="J236" s="42"/>
      <c r="K236" s="46" t="str">
        <f>IFERROR(__xludf.DUMMYFUNCTION("""COMPUTED_VALUE"""),"https://drive.google.com/open?id=1BZbquFB_peUpaddYOHkcmCLFoyeqeSj9")</f>
        <v>https://drive.google.com/open?id=1BZbquFB_peUpaddYOHkcmCLFoyeqeSj9</v>
      </c>
      <c r="L236" s="42">
        <f>IFERROR(__xludf.DUMMYFUNCTION("""COMPUTED_VALUE"""),1.25)</f>
        <v>1.25</v>
      </c>
      <c r="M236" s="42" t="str">
        <f>IFERROR(__xludf.DUMMYFUNCTION("""COMPUTED_VALUE"""),"flowchart masih kurang detail")</f>
        <v>flowchart masih kurang detail</v>
      </c>
    </row>
    <row r="237">
      <c r="A237" s="43">
        <f>IFERROR(__xludf.DUMMYFUNCTION("""COMPUTED_VALUE"""),44091.71292571759)</f>
        <v>44091.71293</v>
      </c>
      <c r="B237" s="42" t="str">
        <f>IFERROR(__xludf.DUMMYFUNCTION("""COMPUTED_VALUE"""),"Panji Kusumarizki")</f>
        <v>Panji Kusumarizki</v>
      </c>
      <c r="C237" s="42" t="str">
        <f>IFERROR(__xludf.DUMMYFUNCTION("""COMPUTED_VALUE"""),"Online")</f>
        <v>Online</v>
      </c>
      <c r="D237" s="42" t="str">
        <f>IFERROR(__xludf.DUMMYFUNCTION("""COMPUTED_VALUE"""),"Fullstack Web Developer")</f>
        <v>Fullstack Web Developer</v>
      </c>
      <c r="E237" s="42">
        <f>IFERROR(__xludf.DUMMYFUNCTION("""COMPUTED_VALUE"""),4.0)</f>
        <v>4</v>
      </c>
      <c r="F237" s="42">
        <f>IFERROR(__xludf.DUMMYFUNCTION("""COMPUTED_VALUE"""),1.0)</f>
        <v>1</v>
      </c>
      <c r="G237" s="42" t="str">
        <f>IFERROR(__xludf.DUMMYFUNCTION("""COMPUTED_VALUE"""),"ARKWH1")</f>
        <v>ARKWH1</v>
      </c>
      <c r="H237" s="42"/>
      <c r="I237" s="46" t="str">
        <f>IFERROR(__xludf.DUMMYFUNCTION("""COMPUTED_VALUE"""),"https://repl.it/@PanjiKusuma/Kuis#index.js")</f>
        <v>https://repl.it/@PanjiKusuma/Kuis#index.js</v>
      </c>
      <c r="J237" s="46" t="str">
        <f>IFERROR(__xludf.DUMMYFUNCTION("""COMPUTED_VALUE"""),"https://drive.google.com/file/d/1v7lKze9TumIsOuUbbMCdv5uWSYvvZeWE/view")</f>
        <v>https://drive.google.com/file/d/1v7lKze9TumIsOuUbbMCdv5uWSYvvZeWE/view</v>
      </c>
      <c r="K237" s="46" t="str">
        <f>IFERROR(__xludf.DUMMYFUNCTION("""COMPUTED_VALUE"""),"https://drive.google.com/open?id=1B_6YO4xXAdnlbZSr6Ebwlhp8mMQOvrCx")</f>
        <v>https://drive.google.com/open?id=1B_6YO4xXAdnlbZSr6Ebwlhp8mMQOvrCx</v>
      </c>
      <c r="L237" s="42">
        <f>IFERROR(__xludf.DUMMYFUNCTION("""COMPUTED_VALUE"""),1.0)</f>
        <v>1</v>
      </c>
      <c r="M237" s="42" t="str">
        <f>IFERROR(__xludf.DUMMYFUNCTION("""COMPUTED_VALUE"""),"mesih belum selesai")</f>
        <v>mesih belum selesai</v>
      </c>
    </row>
    <row r="238">
      <c r="A238" s="43">
        <f>IFERROR(__xludf.DUMMYFUNCTION("""COMPUTED_VALUE"""),44091.714970127316)</f>
        <v>44091.71497</v>
      </c>
      <c r="B238" s="42" t="str">
        <f>IFERROR(__xludf.DUMMYFUNCTION("""COMPUTED_VALUE"""),"Reynaldi Putra Hertiansa")</f>
        <v>Reynaldi Putra Hertiansa</v>
      </c>
      <c r="C238" s="42" t="str">
        <f>IFERROR(__xludf.DUMMYFUNCTION("""COMPUTED_VALUE"""),"Online")</f>
        <v>Online</v>
      </c>
      <c r="D238" s="42" t="str">
        <f>IFERROR(__xludf.DUMMYFUNCTION("""COMPUTED_VALUE"""),"Fullstack Web Developer")</f>
        <v>Fullstack Web Developer</v>
      </c>
      <c r="E238" s="42">
        <f>IFERROR(__xludf.DUMMYFUNCTION("""COMPUTED_VALUE"""),4.0)</f>
        <v>4</v>
      </c>
      <c r="F238" s="42">
        <f>IFERROR(__xludf.DUMMYFUNCTION("""COMPUTED_VALUE"""),1.0)</f>
        <v>1</v>
      </c>
      <c r="G238" s="42" t="str">
        <f>IFERROR(__xludf.DUMMYFUNCTION("""COMPUTED_VALUE"""),"ARKWH1")</f>
        <v>ARKWH1</v>
      </c>
      <c r="H238" s="42"/>
      <c r="I238" s="46" t="str">
        <f>IFERROR(__xludf.DUMMYFUNCTION("""COMPUTED_VALUE"""),"https://repl.it/@rphertiansa/arkafood")</f>
        <v>https://repl.it/@rphertiansa/arkafood</v>
      </c>
      <c r="J238" s="46" t="str">
        <f>IFERROR(__xludf.DUMMYFUNCTION("""COMPUTED_VALUE"""),"https://drive.google.com/file/d/1HoDndc3sYoDahl9ItxAGPt1DVQV_XtJf/view?usp=sharing")</f>
        <v>https://drive.google.com/file/d/1HoDndc3sYoDahl9ItxAGPt1DVQV_XtJf/view?usp=sharing</v>
      </c>
      <c r="K238" s="46" t="str">
        <f>IFERROR(__xludf.DUMMYFUNCTION("""COMPUTED_VALUE"""),"https://drive.google.com/open?id=1LBVR84j8p8-T9d4EfouqIMCAxpV8o5wv")</f>
        <v>https://drive.google.com/open?id=1LBVR84j8p8-T9d4EfouqIMCAxpV8o5wv</v>
      </c>
      <c r="L238" s="42">
        <f>IFERROR(__xludf.DUMMYFUNCTION("""COMPUTED_VALUE"""),2.0)</f>
        <v>2</v>
      </c>
      <c r="M238" s="42"/>
    </row>
    <row r="239">
      <c r="A239" s="43">
        <f>IFERROR(__xludf.DUMMYFUNCTION("""COMPUTED_VALUE"""),44091.715030520834)</f>
        <v>44091.71503</v>
      </c>
      <c r="B239" s="42" t="str">
        <f>IFERROR(__xludf.DUMMYFUNCTION("""COMPUTED_VALUE"""),"Dicky Firmansyah")</f>
        <v>Dicky Firmansyah</v>
      </c>
      <c r="C239" s="42" t="str">
        <f>IFERROR(__xludf.DUMMYFUNCTION("""COMPUTED_VALUE"""),"Online")</f>
        <v>Online</v>
      </c>
      <c r="D239" s="42" t="str">
        <f>IFERROR(__xludf.DUMMYFUNCTION("""COMPUTED_VALUE"""),"Fullstack Web Developer")</f>
        <v>Fullstack Web Developer</v>
      </c>
      <c r="E239" s="42">
        <f>IFERROR(__xludf.DUMMYFUNCTION("""COMPUTED_VALUE"""),4.0)</f>
        <v>4</v>
      </c>
      <c r="F239" s="42">
        <f>IFERROR(__xludf.DUMMYFUNCTION("""COMPUTED_VALUE"""),1.0)</f>
        <v>1</v>
      </c>
      <c r="G239" s="42" t="str">
        <f>IFERROR(__xludf.DUMMYFUNCTION("""COMPUTED_VALUE"""),"ARKWH1")</f>
        <v>ARKWH1</v>
      </c>
      <c r="H239" s="42"/>
      <c r="I239" s="42" t="str">
        <f>IFERROR(__xludf.DUMMYFUNCTION("""COMPUTED_VALUE"""),"HarmfulUnacceptablePredictions#index.js")</f>
        <v>HarmfulUnacceptablePredictions#index.js</v>
      </c>
      <c r="J239" s="46" t="str">
        <f>IFERROR(__xludf.DUMMYFUNCTION("""COMPUTED_VALUE"""),"https://drive.google.com/file/d/1wx3PoZFBgYdG8lUo91RpTGl_65TdnjP2/view?usp=sharing")</f>
        <v>https://drive.google.com/file/d/1wx3PoZFBgYdG8lUo91RpTGl_65TdnjP2/view?usp=sharing</v>
      </c>
      <c r="K239" s="42"/>
      <c r="L239" s="42">
        <f>IFERROR(__xludf.DUMMYFUNCTION("""COMPUTED_VALUE"""),1.0)</f>
        <v>1</v>
      </c>
      <c r="M239" s="42" t="str">
        <f>IFERROR(__xludf.DUMMYFUNCTION("""COMPUTED_VALUE"""),"code tidak bisa di lihat")</f>
        <v>code tidak bisa di lihat</v>
      </c>
    </row>
    <row r="240">
      <c r="A240" s="43">
        <f>IFERROR(__xludf.DUMMYFUNCTION("""COMPUTED_VALUE"""),44091.72037043981)</f>
        <v>44091.72037</v>
      </c>
      <c r="B240" s="42" t="str">
        <f>IFERROR(__xludf.DUMMYFUNCTION("""COMPUTED_VALUE"""),"Miftakh Ali Said")</f>
        <v>Miftakh Ali Said</v>
      </c>
      <c r="C240" s="42" t="str">
        <f>IFERROR(__xludf.DUMMYFUNCTION("""COMPUTED_VALUE"""),"Online")</f>
        <v>Online</v>
      </c>
      <c r="D240" s="42" t="str">
        <f>IFERROR(__xludf.DUMMYFUNCTION("""COMPUTED_VALUE"""),"Fullstack Web Developer")</f>
        <v>Fullstack Web Developer</v>
      </c>
      <c r="E240" s="42">
        <f>IFERROR(__xludf.DUMMYFUNCTION("""COMPUTED_VALUE"""),4.0)</f>
        <v>4</v>
      </c>
      <c r="F240" s="42">
        <f>IFERROR(__xludf.DUMMYFUNCTION("""COMPUTED_VALUE"""),1.0)</f>
        <v>1</v>
      </c>
      <c r="G240" s="42" t="str">
        <f>IFERROR(__xludf.DUMMYFUNCTION("""COMPUTED_VALUE"""),"ARKWH1")</f>
        <v>ARKWH1</v>
      </c>
      <c r="H240" s="42"/>
      <c r="I240" s="46" t="str">
        <f>IFERROR(__xludf.DUMMYFUNCTION("""COMPUTED_VALUE"""),"https://repl.it/@alisaid/Quiz1#index.js")</f>
        <v>https://repl.it/@alisaid/Quiz1#index.js</v>
      </c>
      <c r="J240" s="42"/>
      <c r="K240" s="46" t="str">
        <f>IFERROR(__xludf.DUMMYFUNCTION("""COMPUTED_VALUE"""),"https://drive.google.com/open?id=1zXUJ7NwS9yt6JGxpcD15S1H6MrIapnuV")</f>
        <v>https://drive.google.com/open?id=1zXUJ7NwS9yt6JGxpcD15S1H6MrIapnuV</v>
      </c>
      <c r="L240" s="42">
        <f>IFERROR(__xludf.DUMMYFUNCTION("""COMPUTED_VALUE"""),1.0)</f>
        <v>1</v>
      </c>
      <c r="M240" s="42" t="str">
        <f>IFERROR(__xludf.DUMMYFUNCTION("""COMPUTED_VALUE"""),"code dan flowchart belum selesai")</f>
        <v>code dan flowchart belum selesai</v>
      </c>
    </row>
    <row r="241">
      <c r="A241" s="43">
        <f>IFERROR(__xludf.DUMMYFUNCTION("""COMPUTED_VALUE"""),44091.760109421295)</f>
        <v>44091.76011</v>
      </c>
      <c r="B241" s="42" t="str">
        <f>IFERROR(__xludf.DUMMYFUNCTION("""COMPUTED_VALUE"""),"ali.farhan160@gmail.com")</f>
        <v>ali.farhan160@gmail.com</v>
      </c>
      <c r="C241" s="42" t="str">
        <f>IFERROR(__xludf.DUMMYFUNCTION("""COMPUTED_VALUE"""),"Online")</f>
        <v>Online</v>
      </c>
      <c r="D241" s="42" t="str">
        <f>IFERROR(__xludf.DUMMYFUNCTION("""COMPUTED_VALUE"""),"Fullstack Web Developer")</f>
        <v>Fullstack Web Developer</v>
      </c>
      <c r="E241" s="42">
        <f>IFERROR(__xludf.DUMMYFUNCTION("""COMPUTED_VALUE"""),4.0)</f>
        <v>4</v>
      </c>
      <c r="F241" s="42">
        <f>IFERROR(__xludf.DUMMYFUNCTION("""COMPUTED_VALUE"""),1.0)</f>
        <v>1</v>
      </c>
      <c r="G241" s="42" t="str">
        <f>IFERROR(__xludf.DUMMYFUNCTION("""COMPUTED_VALUE"""),"ARKWH1")</f>
        <v>ARKWH1</v>
      </c>
      <c r="H241" s="42"/>
      <c r="I241" s="46" t="str">
        <f>IFERROR(__xludf.DUMMYFUNCTION("""COMPUTED_VALUE"""),"https://repl.it/@Alfahan/1")</f>
        <v>https://repl.it/@Alfahan/1</v>
      </c>
      <c r="J241" s="46" t="str">
        <f>IFERROR(__xludf.DUMMYFUNCTION("""COMPUTED_VALUE"""),"https://drive.google.com/file/d/1KjmgN4sDEX_Ku_ekOkTjaZQGDSUayOsx/view?usp=sharing")</f>
        <v>https://drive.google.com/file/d/1KjmgN4sDEX_Ku_ekOkTjaZQGDSUayOsx/view?usp=sharing</v>
      </c>
      <c r="K241" s="42"/>
      <c r="L241" s="42">
        <f>IFERROR(__xludf.DUMMYFUNCTION("""COMPUTED_VALUE"""),1.0)</f>
        <v>1</v>
      </c>
      <c r="M241" s="42" t="str">
        <f>IFERROR(__xludf.DUMMYFUNCTION("""COMPUTED_VALUE"""),"flowchart tidak bisa di buka")</f>
        <v>flowchart tidak bisa di buka</v>
      </c>
    </row>
    <row r="242">
      <c r="A242" s="43">
        <f>IFERROR(__xludf.DUMMYFUNCTION("""COMPUTED_VALUE"""),44095.477681261575)</f>
        <v>44095.47768</v>
      </c>
      <c r="B242" s="42" t="str">
        <f>IFERROR(__xludf.DUMMYFUNCTION("""COMPUTED_VALUE"""),"Adnin Rifandi Sutanto Putra")</f>
        <v>Adnin Rifandi Sutanto Putra</v>
      </c>
      <c r="C242" s="42" t="str">
        <f>IFERROR(__xludf.DUMMYFUNCTION("""COMPUTED_VALUE"""),"Online")</f>
        <v>Online</v>
      </c>
      <c r="D242" s="42" t="str">
        <f>IFERROR(__xludf.DUMMYFUNCTION("""COMPUTED_VALUE"""),"Fullstack Mobile Developer")</f>
        <v>Fullstack Mobile Developer</v>
      </c>
      <c r="E242" s="42">
        <f>IFERROR(__xludf.DUMMYFUNCTION("""COMPUTED_VALUE"""),16.0)</f>
        <v>16</v>
      </c>
      <c r="F242" s="42">
        <f>IFERROR(__xludf.DUMMYFUNCTION("""COMPUTED_VALUE"""),3.0)</f>
        <v>3</v>
      </c>
      <c r="G242" s="42" t="str">
        <f>IFERROR(__xludf.DUMMYFUNCTION("""COMPUTED_VALUE"""),"ARKWH11")</f>
        <v>ARKWH11</v>
      </c>
      <c r="H242" s="42"/>
      <c r="I242" s="46" t="str">
        <f>IFERROR(__xludf.DUMMYFUNCTION("""COMPUTED_VALUE"""),"https://repl.it/@AdninRifandioff/Weekly-Quiz-Week-11#index.js")</f>
        <v>https://repl.it/@AdninRifandioff/Weekly-Quiz-Week-11#index.js</v>
      </c>
      <c r="J242" s="42"/>
      <c r="K242" s="42"/>
      <c r="L242" s="42">
        <f>IFERROR(__xludf.DUMMYFUNCTION("""COMPUTED_VALUE"""),2.0)</f>
        <v>2</v>
      </c>
      <c r="M242" s="42"/>
    </row>
    <row r="243">
      <c r="A243" s="43">
        <f>IFERROR(__xludf.DUMMYFUNCTION("""COMPUTED_VALUE"""),44095.47954893518)</f>
        <v>44095.47955</v>
      </c>
      <c r="B243" s="42" t="str">
        <f>IFERROR(__xludf.DUMMYFUNCTION("""COMPUTED_VALUE"""),"Daniel Saputra")</f>
        <v>Daniel Saputra</v>
      </c>
      <c r="C243" s="42" t="str">
        <f>IFERROR(__xludf.DUMMYFUNCTION("""COMPUTED_VALUE"""),"Online")</f>
        <v>Online</v>
      </c>
      <c r="D243" s="42" t="str">
        <f>IFERROR(__xludf.DUMMYFUNCTION("""COMPUTED_VALUE"""),"Fullstack Mobile Developer")</f>
        <v>Fullstack Mobile Developer</v>
      </c>
      <c r="E243" s="42">
        <f>IFERROR(__xludf.DUMMYFUNCTION("""COMPUTED_VALUE"""),16.0)</f>
        <v>16</v>
      </c>
      <c r="F243" s="42">
        <f>IFERROR(__xludf.DUMMYFUNCTION("""COMPUTED_VALUE"""),3.0)</f>
        <v>3</v>
      </c>
      <c r="G243" s="42" t="str">
        <f>IFERROR(__xludf.DUMMYFUNCTION("""COMPUTED_VALUE"""),"ARKWH11")</f>
        <v>ARKWH11</v>
      </c>
      <c r="H243" s="42"/>
      <c r="I243" s="46" t="str">
        <f>IFERROR(__xludf.DUMMYFUNCTION("""COMPUTED_VALUE"""),"https://repl.it/@danielwetan/Weekly-Quiz-11#index.js")</f>
        <v>https://repl.it/@danielwetan/Weekly-Quiz-11#index.js</v>
      </c>
      <c r="J243" s="42"/>
      <c r="K243" s="42"/>
      <c r="L243" s="42">
        <f>IFERROR(__xludf.DUMMYFUNCTION("""COMPUTED_VALUE"""),2.0)</f>
        <v>2</v>
      </c>
      <c r="M243" s="42"/>
    </row>
    <row r="244">
      <c r="A244" s="43">
        <f>IFERROR(__xludf.DUMMYFUNCTION("""COMPUTED_VALUE"""),44095.48996841435)</f>
        <v>44095.48997</v>
      </c>
      <c r="B244" s="42" t="str">
        <f>IFERROR(__xludf.DUMMYFUNCTION("""COMPUTED_VALUE"""),"Guntur ")</f>
        <v>Guntur </v>
      </c>
      <c r="C244" s="42" t="str">
        <f>IFERROR(__xludf.DUMMYFUNCTION("""COMPUTED_VALUE"""),"Jogja")</f>
        <v>Jogja</v>
      </c>
      <c r="D244" s="42" t="str">
        <f>IFERROR(__xludf.DUMMYFUNCTION("""COMPUTED_VALUE"""),"Fullstack Mobile Developer")</f>
        <v>Fullstack Mobile Developer</v>
      </c>
      <c r="E244" s="42">
        <f>IFERROR(__xludf.DUMMYFUNCTION("""COMPUTED_VALUE"""),13.0)</f>
        <v>13</v>
      </c>
      <c r="F244" s="42">
        <f>IFERROR(__xludf.DUMMYFUNCTION("""COMPUTED_VALUE"""),13.0)</f>
        <v>13</v>
      </c>
      <c r="G244" s="42" t="str">
        <f>IFERROR(__xludf.DUMMYFUNCTION("""COMPUTED_VALUE"""),"ARKWH11")</f>
        <v>ARKWH11</v>
      </c>
      <c r="H244" s="42"/>
      <c r="I244" s="46" t="str">
        <f>IFERROR(__xludf.DUMMYFUNCTION("""COMPUTED_VALUE"""),"https://repl.it/@GunturBudiBudi1/AngelicAccomplishedPhase#index.js")</f>
        <v>https://repl.it/@GunturBudiBudi1/AngelicAccomplishedPhase#index.js</v>
      </c>
      <c r="J244" s="46" t="str">
        <f>IFERROR(__xludf.DUMMYFUNCTION("""COMPUTED_VALUE"""),"https://repl.it/@GunturBudiBudi1/AngelicAccomplishedPhase#index.js")</f>
        <v>https://repl.it/@GunturBudiBudi1/AngelicAccomplishedPhase#index.js</v>
      </c>
      <c r="K244" s="42"/>
      <c r="L244" s="42">
        <f>IFERROR(__xludf.DUMMYFUNCTION("""COMPUTED_VALUE"""),1.0)</f>
        <v>1</v>
      </c>
      <c r="M244" s="42" t="str">
        <f>IFERROR(__xludf.DUMMYFUNCTION("""COMPUTED_VALUE"""),"kurang sesuai outputnya")</f>
        <v>kurang sesuai outputnya</v>
      </c>
    </row>
    <row r="245">
      <c r="A245" s="43">
        <f>IFERROR(__xludf.DUMMYFUNCTION("""COMPUTED_VALUE"""),44095.621838680556)</f>
        <v>44095.62184</v>
      </c>
      <c r="B245" s="42" t="str">
        <f>IFERROR(__xludf.DUMMYFUNCTION("""COMPUTED_VALUE"""),"Mochamad Sofyan")</f>
        <v>Mochamad Sofyan</v>
      </c>
      <c r="C245" s="42" t="str">
        <f>IFERROR(__xludf.DUMMYFUNCTION("""COMPUTED_VALUE"""),"Online")</f>
        <v>Online</v>
      </c>
      <c r="D245" s="42" t="str">
        <f>IFERROR(__xludf.DUMMYFUNCTION("""COMPUTED_VALUE"""),"Fullstack Web Developer")</f>
        <v>Fullstack Web Developer</v>
      </c>
      <c r="E245" s="42">
        <f>IFERROR(__xludf.DUMMYFUNCTION("""COMPUTED_VALUE"""),4.0)</f>
        <v>4</v>
      </c>
      <c r="F245" s="42">
        <f>IFERROR(__xludf.DUMMYFUNCTION("""COMPUTED_VALUE"""),1.0)</f>
        <v>1</v>
      </c>
      <c r="G245" s="42" t="str">
        <f>IFERROR(__xludf.DUMMYFUNCTION("""COMPUTED_VALUE"""),"ARKWH2")</f>
        <v>ARKWH2</v>
      </c>
      <c r="H245" s="42"/>
      <c r="I245" s="42" t="str">
        <f>IFERROR(__xludf.DUMMYFUNCTION("""COMPUTED_VALUE"""),"@mochsofyan17/piramid#index.js
")</f>
        <v>@mochsofyan17/piramid#index.js
</v>
      </c>
      <c r="J245" s="46" t="str">
        <f>IFERROR(__xludf.DUMMYFUNCTION("""COMPUTED_VALUE"""),"https://drive.google.com/file/d/13M3GBZnmt56GuKXFvCOnSErUEwSDsWVO/view?usp=sharing")</f>
        <v>https://drive.google.com/file/d/13M3GBZnmt56GuKXFvCOnSErUEwSDsWVO/view?usp=sharing</v>
      </c>
      <c r="K245" s="42"/>
      <c r="L245" s="42">
        <f>IFERROR(__xludf.DUMMYFUNCTION("""COMPUTED_VALUE"""),2.0)</f>
        <v>2</v>
      </c>
      <c r="M245" s="42"/>
    </row>
    <row r="246">
      <c r="A246" s="43">
        <f>IFERROR(__xludf.DUMMYFUNCTION("""COMPUTED_VALUE"""),44095.628747083334)</f>
        <v>44095.62875</v>
      </c>
      <c r="B246" s="42" t="str">
        <f>IFERROR(__xludf.DUMMYFUNCTION("""COMPUTED_VALUE"""),"Reynaldi Putra Hertiansa")</f>
        <v>Reynaldi Putra Hertiansa</v>
      </c>
      <c r="C246" s="42" t="str">
        <f>IFERROR(__xludf.DUMMYFUNCTION("""COMPUTED_VALUE"""),"Online")</f>
        <v>Online</v>
      </c>
      <c r="D246" s="42" t="str">
        <f>IFERROR(__xludf.DUMMYFUNCTION("""COMPUTED_VALUE"""),"Fullstack Web Developer")</f>
        <v>Fullstack Web Developer</v>
      </c>
      <c r="E246" s="42">
        <f>IFERROR(__xludf.DUMMYFUNCTION("""COMPUTED_VALUE"""),4.0)</f>
        <v>4</v>
      </c>
      <c r="F246" s="42">
        <f>IFERROR(__xludf.DUMMYFUNCTION("""COMPUTED_VALUE"""),1.0)</f>
        <v>1</v>
      </c>
      <c r="G246" s="42" t="str">
        <f>IFERROR(__xludf.DUMMYFUNCTION("""COMPUTED_VALUE"""),"ARKWH2")</f>
        <v>ARKWH2</v>
      </c>
      <c r="H246" s="42"/>
      <c r="I246" s="46" t="str">
        <f>IFERROR(__xludf.DUMMYFUNCTION("""COMPUTED_VALUE"""),"https://repl.it/@rphertiansa/ARKWH2")</f>
        <v>https://repl.it/@rphertiansa/ARKWH2</v>
      </c>
      <c r="J246" s="46" t="str">
        <f>IFERROR(__xludf.DUMMYFUNCTION("""COMPUTED_VALUE"""),"https://drive.google.com/file/d/1iwe7dht2bn3O8O0QZz-ZF5lan32KVY3j/view?usp=sharing")</f>
        <v>https://drive.google.com/file/d/1iwe7dht2bn3O8O0QZz-ZF5lan32KVY3j/view?usp=sharing</v>
      </c>
      <c r="K246" s="46" t="str">
        <f>IFERROR(__xludf.DUMMYFUNCTION("""COMPUTED_VALUE"""),"https://drive.google.com/open?id=12mJO4Jwtxe2-S0yVVxVwYHXAlR-z6_Q8")</f>
        <v>https://drive.google.com/open?id=12mJO4Jwtxe2-S0yVVxVwYHXAlR-z6_Q8</v>
      </c>
      <c r="L246" s="42">
        <f>IFERROR(__xludf.DUMMYFUNCTION("""COMPUTED_VALUE"""),2.0)</f>
        <v>2</v>
      </c>
      <c r="M246" s="42"/>
    </row>
    <row r="247">
      <c r="A247" s="43">
        <f>IFERROR(__xludf.DUMMYFUNCTION("""COMPUTED_VALUE"""),44095.62972753472)</f>
        <v>44095.62973</v>
      </c>
      <c r="B247" s="42" t="str">
        <f>IFERROR(__xludf.DUMMYFUNCTION("""COMPUTED_VALUE"""),"Wisnu Giri")</f>
        <v>Wisnu Giri</v>
      </c>
      <c r="C247" s="42" t="str">
        <f>IFERROR(__xludf.DUMMYFUNCTION("""COMPUTED_VALUE"""),"Online")</f>
        <v>Online</v>
      </c>
      <c r="D247" s="42" t="str">
        <f>IFERROR(__xludf.DUMMYFUNCTION("""COMPUTED_VALUE"""),"Fullstack Web Developer")</f>
        <v>Fullstack Web Developer</v>
      </c>
      <c r="E247" s="42">
        <f>IFERROR(__xludf.DUMMYFUNCTION("""COMPUTED_VALUE"""),4.0)</f>
        <v>4</v>
      </c>
      <c r="F247" s="42">
        <f>IFERROR(__xludf.DUMMYFUNCTION("""COMPUTED_VALUE"""),1.0)</f>
        <v>1</v>
      </c>
      <c r="G247" s="42" t="str">
        <f>IFERROR(__xludf.DUMMYFUNCTION("""COMPUTED_VALUE"""),"ARKWH2")</f>
        <v>ARKWH2</v>
      </c>
      <c r="H247" s="42"/>
      <c r="I247" s="46" t="str">
        <f>IFERROR(__xludf.DUMMYFUNCTION("""COMPUTED_VALUE"""),"https://repl.it/@Wsngr/quiz2")</f>
        <v>https://repl.it/@Wsngr/quiz2</v>
      </c>
      <c r="J247" s="42"/>
      <c r="K247" s="46" t="str">
        <f>IFERROR(__xludf.DUMMYFUNCTION("""COMPUTED_VALUE"""),"https://drive.google.com/open?id=1i93nhQ6JhLwgjMkcRSNqGPI-pZvurDaO")</f>
        <v>https://drive.google.com/open?id=1i93nhQ6JhLwgjMkcRSNqGPI-pZvurDaO</v>
      </c>
      <c r="L247" s="42">
        <f>IFERROR(__xludf.DUMMYFUNCTION("""COMPUTED_VALUE"""),1.0)</f>
        <v>1</v>
      </c>
      <c r="M247" s="42" t="str">
        <f>IFERROR(__xludf.DUMMYFUNCTION("""COMPUTED_VALUE"""),"flowchart masih kurang")</f>
        <v>flowchart masih kurang</v>
      </c>
    </row>
    <row r="248">
      <c r="A248" s="43">
        <f>IFERROR(__xludf.DUMMYFUNCTION("""COMPUTED_VALUE"""),44095.62999606482)</f>
        <v>44095.63</v>
      </c>
      <c r="B248" s="42" t="str">
        <f>IFERROR(__xludf.DUMMYFUNCTION("""COMPUTED_VALUE"""),"Satria Adhi Nugraha")</f>
        <v>Satria Adhi Nugraha</v>
      </c>
      <c r="C248" s="42" t="str">
        <f>IFERROR(__xludf.DUMMYFUNCTION("""COMPUTED_VALUE"""),"Online")</f>
        <v>Online</v>
      </c>
      <c r="D248" s="42" t="str">
        <f>IFERROR(__xludf.DUMMYFUNCTION("""COMPUTED_VALUE"""),"Fullstack Web Developer")</f>
        <v>Fullstack Web Developer</v>
      </c>
      <c r="E248" s="42">
        <f>IFERROR(__xludf.DUMMYFUNCTION("""COMPUTED_VALUE"""),4.0)</f>
        <v>4</v>
      </c>
      <c r="F248" s="42">
        <f>IFERROR(__xludf.DUMMYFUNCTION("""COMPUTED_VALUE"""),1.0)</f>
        <v>1</v>
      </c>
      <c r="G248" s="42" t="str">
        <f>IFERROR(__xludf.DUMMYFUNCTION("""COMPUTED_VALUE"""),"ARKWH2")</f>
        <v>ARKWH2</v>
      </c>
      <c r="H248" s="42"/>
      <c r="I248" s="46" t="str">
        <f>IFERROR(__xludf.DUMMYFUNCTION("""COMPUTED_VALUE"""),"https://repl.it/@SATRIA05/quiz-week2")</f>
        <v>https://repl.it/@SATRIA05/quiz-week2</v>
      </c>
      <c r="J248" s="46" t="str">
        <f>IFERROR(__xludf.DUMMYFUNCTION("""COMPUTED_VALUE"""),"https://drive.google.com/file/d/1foA_qsJIfi9sB4ZK6Iq7UOPf7aiW9Es0/view?usp=sharing")</f>
        <v>https://drive.google.com/file/d/1foA_qsJIfi9sB4ZK6Iq7UOPf7aiW9Es0/view?usp=sharing</v>
      </c>
      <c r="K248" s="42"/>
      <c r="L248" s="42">
        <f>IFERROR(__xludf.DUMMYFUNCTION("""COMPUTED_VALUE"""),0.5)</f>
        <v>0.5</v>
      </c>
      <c r="M248" s="42" t="str">
        <f>IFERROR(__xludf.DUMMYFUNCTION("""COMPUTED_VALUE"""),"masih belum sesuai")</f>
        <v>masih belum sesuai</v>
      </c>
    </row>
    <row r="249">
      <c r="A249" s="43">
        <f>IFERROR(__xludf.DUMMYFUNCTION("""COMPUTED_VALUE"""),44095.63005625)</f>
        <v>44095.63006</v>
      </c>
      <c r="B249" s="42" t="str">
        <f>IFERROR(__xludf.DUMMYFUNCTION("""COMPUTED_VALUE"""),"farhan ammar dzakwan")</f>
        <v>farhan ammar dzakwan</v>
      </c>
      <c r="C249" s="42" t="str">
        <f>IFERROR(__xludf.DUMMYFUNCTION("""COMPUTED_VALUE"""),"Online")</f>
        <v>Online</v>
      </c>
      <c r="D249" s="42" t="str">
        <f>IFERROR(__xludf.DUMMYFUNCTION("""COMPUTED_VALUE"""),"Fullstack Web Developer")</f>
        <v>Fullstack Web Developer</v>
      </c>
      <c r="E249" s="42">
        <f>IFERROR(__xludf.DUMMYFUNCTION("""COMPUTED_VALUE"""),4.0)</f>
        <v>4</v>
      </c>
      <c r="F249" s="42">
        <f>IFERROR(__xludf.DUMMYFUNCTION("""COMPUTED_VALUE"""),1.0)</f>
        <v>1</v>
      </c>
      <c r="G249" s="42" t="str">
        <f>IFERROR(__xludf.DUMMYFUNCTION("""COMPUTED_VALUE"""),"ARKWH2")</f>
        <v>ARKWH2</v>
      </c>
      <c r="H249" s="42"/>
      <c r="I249" s="46" t="str">
        <f>IFERROR(__xludf.DUMMYFUNCTION("""COMPUTED_VALUE"""),"https://repl.it/join/ratpgsnd-farhandz")</f>
        <v>https://repl.it/join/ratpgsnd-farhandz</v>
      </c>
      <c r="J249" s="42" t="str">
        <f>IFERROR(__xludf.DUMMYFUNCTION("""COMPUTED_VALUE"""),"https://viewer.diagrams.net/?highlight=0000ff&amp;edit=_blank&amp;layers=1&amp;nav=1#R5Vhdb5swFP01vEyqhA0h5HVttj2sUqc8THt041twZzAyJgn79bODgRDnq5NCWu2lxce%2BNj73nmMHL7jPNl8lKdJHQYF72KcbL3jwMEbYj%2FU%2Fg9QNEkW4ARLJqB3UAwv2ByzoW7RiFMrBQCUEV6wYgkuR57BUA4xIKdbDYS%2BCD1ctS"&amp;"AIOsFgS7qI%2FGVVpg8Z42uPfgCVpuzKKZk1PRtrBdidlSqhY70DB3AvupRCqeco298ANeS0vTdyXI73di0nI1SUB9WR1V9OHOY%2BZP6U%2FHumvanlns1Oqut0wUL1%2F2xRSpSIROeHzHv0sRZVTMLP6utWP%2BS5EoUGkwVdQqrbJJJUSGkpVxm1vs6ZZ6OhWLFSKSi7hxPtPOyJ1BYLIQMlax0ngRLHVcH5iSyHpxnWhT4LplbFvy3ZmU2"&amp;"ZrFgf%2BcAZFZALKBvWU64edt%2BihbSLekBRbWyvCK7uDUq%2Bo3FRxrmVgUrJOmYJFQbZcrbUSDxG%2BAqlgc5pyl0obEAwpiW1z3WsCtYWe7ugh8o9zP6DtrRy1%2FvBhK3c2RuUGaNzKnTmVy%2FKiUg1FRFsiSHMWMEo4yQxL8FyR1PhylS8VE7mHI5KZ6s2fy6IjfCfJ2kUL82jm4xy4SPS8emABkum31%2FPv9T31Hedk8sI20B5B15E"&amp;"N9i%2FUTXg13eD3rJtr6yHEl%2BnhrK6me%2FM0cr%2BartDkf87aZF8N%2F5i1MB45a6Fjh1wY8nWcZyrRel2itmQ3HgmNR%2BZOwofpHP3E746S2x350SE6DZuv7rHRs8sPsHuH3hu9nTPdjF780W9UyN6bG3c4tdPruBbyhymd7tvNlS9fyP3dIKGs%2BPb6Vevi19Hnrld9PtEoKgiHlEWTW6sAzT66CuJRirvL1FjFHR8z%2F9%2Bu2Ztu"&amp;"H33Sf9zb7tg%2BHx65y9zO55HDJOTUrfoRPy6ER4zzHEf7BnsBR7rZf3JrirP%2FcBnM%2FwI%3D")</f>
        <v>https://viewer.diagrams.net/?highlight=0000ff&amp;edit=_blank&amp;layers=1&amp;nav=1#R5Vhdb5swFP01vEyqhA0h5HVttj2sUqc8THt041twZzAyJgn79bODgRDnq5NCWu2lxce%2BNj73nmMHL7jPNl8lKdJHQYF72KcbL3jwMEbYj%2FU%2Fg9QNEkW4ARLJqB3UAwv2ByzoW7RiFMrBQCUEV6wYgkuR57BUA4xIKdbDYS%2BCD1ctSAIOsFgS7qI%2FGVVpg8Z42uPfgCVpuzKKZk1PRtrBdidlSqhY70DB3AvupRCqeco298ANeS0vTdyXI73di0nI1SUB9WR1V9OHOY%2BZP6U%2FHumvanlns1Oqut0wUL1%2F2xRSpSIROeHzHv0sRZVTMLP6utWP%2BS5EoUGkwVdQqrbJJJUSGkpVxm1vs6ZZ6OhWLFSKSi7hxPtPOyJ1BYLIQMlax0ngRLHVcH5iSyHpxnWhT4LplbFvy3ZmU2ZrFgf%2BcAZFZALKBvWU64edt%2BihbSLekBRbWyvCK7uDUq%2Bo3FRxrmVgUrJOmYJFQbZcrbUSDxG%2BAqlgc5pyl0obEAwpiW1z3WsCtYWe7ugh8o9zP6DtrRy1%2FvBhK3c2RuUGaNzKnTmVy%2FKiUg1FRFsiSHMWMEo4yQxL8FyR1PhylS8VE7mHI5KZ6s2fy6IjfCfJ2kUL82jm4xy4SPS8emABkum31%2FPv9T31Hedk8sI20B5B15EN9i%2FUTXg13eD3rJtr6yHEl%2BnhrK6me%2FM0cr%2BartDkf87aZF8N%2F5i1MB45a6Fjh1wY8nWcZyrRel2itmQ3HgmNR%2BZOwofpHP3E746S2x350SE6DZuv7rHRs8sPsHuH3hu9nTPdjF780W9UyN6bG3c4tdPruBbyhymd7tvNlS9fyP3dIKGs%2BPb6Vevi19Hnrld9PtEoKgiHlEWTW6sAzT66CuJRirvL1FjFHR8z%2F9%2Bu2ZtuH33Sf9zb7tg%2BHx65y9zO55HDJOTUrfoRPy6ER4zzHEf7BnsBR7rZf3JrirP%2FcBnM%2FwI%3D</v>
      </c>
      <c r="K249" s="42"/>
      <c r="L249" s="42">
        <f>IFERROR(__xludf.DUMMYFUNCTION("""COMPUTED_VALUE"""),0.0)</f>
        <v>0</v>
      </c>
      <c r="M249" s="42" t="str">
        <f>IFERROR(__xludf.DUMMYFUNCTION("""COMPUTED_VALUE"""),"repl it dan flowchart tidak bisa dibuka")</f>
        <v>repl it dan flowchart tidak bisa dibuka</v>
      </c>
    </row>
    <row r="250">
      <c r="A250" s="43">
        <f>IFERROR(__xludf.DUMMYFUNCTION("""COMPUTED_VALUE"""),44095.6301715625)</f>
        <v>44095.63017</v>
      </c>
      <c r="B250" s="42" t="str">
        <f>IFERROR(__xludf.DUMMYFUNCTION("""COMPUTED_VALUE"""),"shofira khairunnisa")</f>
        <v>shofira khairunnisa</v>
      </c>
      <c r="C250" s="42" t="str">
        <f>IFERROR(__xludf.DUMMYFUNCTION("""COMPUTED_VALUE"""),"Online")</f>
        <v>Online</v>
      </c>
      <c r="D250" s="42" t="str">
        <f>IFERROR(__xludf.DUMMYFUNCTION("""COMPUTED_VALUE"""),"Fullstack Web Developer")</f>
        <v>Fullstack Web Developer</v>
      </c>
      <c r="E250" s="42">
        <f>IFERROR(__xludf.DUMMYFUNCTION("""COMPUTED_VALUE"""),4.0)</f>
        <v>4</v>
      </c>
      <c r="F250" s="42">
        <f>IFERROR(__xludf.DUMMYFUNCTION("""COMPUTED_VALUE"""),1.0)</f>
        <v>1</v>
      </c>
      <c r="G250" s="42" t="str">
        <f>IFERROR(__xludf.DUMMYFUNCTION("""COMPUTED_VALUE"""),"ARKWH2")</f>
        <v>ARKWH2</v>
      </c>
      <c r="H250" s="42"/>
      <c r="I250" s="46" t="str">
        <f>IFERROR(__xludf.DUMMYFUNCTION("""COMPUTED_VALUE"""),"https://repl.it/@Shofira/quiz2#index.js")</f>
        <v>https://repl.it/@Shofira/quiz2#index.js</v>
      </c>
      <c r="J250" s="46" t="str">
        <f>IFERROR(__xludf.DUMMYFUNCTION("""COMPUTED_VALUE"""),"https://drive.google.com/drive/folders/1E3BdoBxlDa8p5fv-N6CHpiDmisNqkMRU?usp=sharing")</f>
        <v>https://drive.google.com/drive/folders/1E3BdoBxlDa8p5fv-N6CHpiDmisNqkMRU?usp=sharing</v>
      </c>
      <c r="K250" s="42"/>
      <c r="L250" s="42">
        <f>IFERROR(__xludf.DUMMYFUNCTION("""COMPUTED_VALUE"""),1.0)</f>
        <v>1</v>
      </c>
      <c r="M250" s="42" t="str">
        <f>IFERROR(__xludf.DUMMYFUNCTION("""COMPUTED_VALUE"""),"flowchart tidak bisa dibuka")</f>
        <v>flowchart tidak bisa dibuka</v>
      </c>
    </row>
    <row r="251">
      <c r="A251" s="43">
        <f>IFERROR(__xludf.DUMMYFUNCTION("""COMPUTED_VALUE"""),44095.63020532407)</f>
        <v>44095.63021</v>
      </c>
      <c r="B251" s="42" t="str">
        <f>IFERROR(__xludf.DUMMYFUNCTION("""COMPUTED_VALUE"""),"Bagaskara Ramadhan")</f>
        <v>Bagaskara Ramadhan</v>
      </c>
      <c r="C251" s="42" t="str">
        <f>IFERROR(__xludf.DUMMYFUNCTION("""COMPUTED_VALUE"""),"Online")</f>
        <v>Online</v>
      </c>
      <c r="D251" s="42" t="str">
        <f>IFERROR(__xludf.DUMMYFUNCTION("""COMPUTED_VALUE"""),"Fullstack Web Developer")</f>
        <v>Fullstack Web Developer</v>
      </c>
      <c r="E251" s="42">
        <f>IFERROR(__xludf.DUMMYFUNCTION("""COMPUTED_VALUE"""),4.0)</f>
        <v>4</v>
      </c>
      <c r="F251" s="42">
        <f>IFERROR(__xludf.DUMMYFUNCTION("""COMPUTED_VALUE"""),1.0)</f>
        <v>1</v>
      </c>
      <c r="G251" s="42" t="str">
        <f>IFERROR(__xludf.DUMMYFUNCTION("""COMPUTED_VALUE"""),"ARKWH2")</f>
        <v>ARKWH2</v>
      </c>
      <c r="H251" s="42"/>
      <c r="I251" s="46" t="str">
        <f>IFERROR(__xludf.DUMMYFUNCTION("""COMPUTED_VALUE"""),"https://repl.it/@bagaskaramadhan/ReversePyramid")</f>
        <v>https://repl.it/@bagaskaramadhan/ReversePyramid</v>
      </c>
      <c r="J251" s="46" t="str">
        <f>IFERROR(__xludf.DUMMYFUNCTION("""COMPUTED_VALUE"""),"https://drive.google.com/file/d/1i14XVNUBGLm4PeRFxeeQuBpWZhIGPxhE/view?usp=sharing")</f>
        <v>https://drive.google.com/file/d/1i14XVNUBGLm4PeRFxeeQuBpWZhIGPxhE/view?usp=sharing</v>
      </c>
      <c r="K251" s="46" t="str">
        <f>IFERROR(__xludf.DUMMYFUNCTION("""COMPUTED_VALUE"""),"https://drive.google.com/open?id=10_fExTuTk0GvFFTrUd0KTwxz23vNy9Dc")</f>
        <v>https://drive.google.com/open?id=10_fExTuTk0GvFFTrUd0KTwxz23vNy9Dc</v>
      </c>
      <c r="L251" s="42">
        <f>IFERROR(__xludf.DUMMYFUNCTION("""COMPUTED_VALUE"""),1.0)</f>
        <v>1</v>
      </c>
      <c r="M251" s="42" t="str">
        <f>IFERROR(__xludf.DUMMYFUNCTION("""COMPUTED_VALUE"""),"flowchart tidak bisa dibuka")</f>
        <v>flowchart tidak bisa dibuka</v>
      </c>
    </row>
    <row r="252">
      <c r="A252" s="43">
        <f>IFERROR(__xludf.DUMMYFUNCTION("""COMPUTED_VALUE"""),44095.63069046296)</f>
        <v>44095.63069</v>
      </c>
      <c r="B252" s="42" t="str">
        <f>IFERROR(__xludf.DUMMYFUNCTION("""COMPUTED_VALUE"""),"Miftakh Ali Said")</f>
        <v>Miftakh Ali Said</v>
      </c>
      <c r="C252" s="42" t="str">
        <f>IFERROR(__xludf.DUMMYFUNCTION("""COMPUTED_VALUE"""),"Online")</f>
        <v>Online</v>
      </c>
      <c r="D252" s="42" t="str">
        <f>IFERROR(__xludf.DUMMYFUNCTION("""COMPUTED_VALUE"""),"Fullstack Web Developer")</f>
        <v>Fullstack Web Developer</v>
      </c>
      <c r="E252" s="42">
        <f>IFERROR(__xludf.DUMMYFUNCTION("""COMPUTED_VALUE"""),4.0)</f>
        <v>4</v>
      </c>
      <c r="F252" s="42">
        <f>IFERROR(__xludf.DUMMYFUNCTION("""COMPUTED_VALUE"""),1.0)</f>
        <v>1</v>
      </c>
      <c r="G252" s="42" t="str">
        <f>IFERROR(__xludf.DUMMYFUNCTION("""COMPUTED_VALUE"""),"ARKWH2")</f>
        <v>ARKWH2</v>
      </c>
      <c r="H252" s="42"/>
      <c r="I252" s="46" t="str">
        <f>IFERROR(__xludf.DUMMYFUNCTION("""COMPUTED_VALUE"""),"https://repl.it/@alisaidsm07/Quiz2#index.js")</f>
        <v>https://repl.it/@alisaidsm07/Quiz2#index.js</v>
      </c>
      <c r="J252" s="46" t="str">
        <f>IFERROR(__xludf.DUMMYFUNCTION("""COMPUTED_VALUE"""),"https://drive.google.com/file/d/1syIf30At2iGB6N0Z5-Gqm9es_M_vtlB1/view?usp=sharing")</f>
        <v>https://drive.google.com/file/d/1syIf30At2iGB6N0Z5-Gqm9es_M_vtlB1/view?usp=sharing</v>
      </c>
      <c r="K252" s="42"/>
      <c r="L252" s="42">
        <f>IFERROR(__xludf.DUMMYFUNCTION("""COMPUTED_VALUE"""),1.0)</f>
        <v>1</v>
      </c>
      <c r="M252" s="42" t="str">
        <f>IFERROR(__xludf.DUMMYFUNCTION("""COMPUTED_VALUE"""),"flowchart masih belum sesuai dan ribet bacanya")</f>
        <v>flowchart masih belum sesuai dan ribet bacanya</v>
      </c>
    </row>
    <row r="253">
      <c r="A253" s="43">
        <f>IFERROR(__xludf.DUMMYFUNCTION("""COMPUTED_VALUE"""),44095.63120260417)</f>
        <v>44095.6312</v>
      </c>
      <c r="B253" s="42" t="str">
        <f>IFERROR(__xludf.DUMMYFUNCTION("""COMPUTED_VALUE"""),"ali.farhan160@gmail.com")</f>
        <v>ali.farhan160@gmail.com</v>
      </c>
      <c r="C253" s="42" t="str">
        <f>IFERROR(__xludf.DUMMYFUNCTION("""COMPUTED_VALUE"""),"Online")</f>
        <v>Online</v>
      </c>
      <c r="D253" s="42" t="str">
        <f>IFERROR(__xludf.DUMMYFUNCTION("""COMPUTED_VALUE"""),"Fullstack Web Developer")</f>
        <v>Fullstack Web Developer</v>
      </c>
      <c r="E253" s="42">
        <f>IFERROR(__xludf.DUMMYFUNCTION("""COMPUTED_VALUE"""),4.0)</f>
        <v>4</v>
      </c>
      <c r="F253" s="42">
        <f>IFERROR(__xludf.DUMMYFUNCTION("""COMPUTED_VALUE"""),1.0)</f>
        <v>1</v>
      </c>
      <c r="G253" s="42" t="str">
        <f>IFERROR(__xludf.DUMMYFUNCTION("""COMPUTED_VALUE"""),"ARKWH2")</f>
        <v>ARKWH2</v>
      </c>
      <c r="H253" s="42"/>
      <c r="I253" s="46" t="str">
        <f>IFERROR(__xludf.DUMMYFUNCTION("""COMPUTED_VALUE"""),"https://repl.it/@Alfahan/Piramid#index.js")</f>
        <v>https://repl.it/@Alfahan/Piramid#index.js</v>
      </c>
      <c r="J253" s="42"/>
      <c r="K253" s="42"/>
      <c r="L253" s="42">
        <f>IFERROR(__xludf.DUMMYFUNCTION("""COMPUTED_VALUE"""),0.0)</f>
        <v>0</v>
      </c>
      <c r="M253" s="42" t="str">
        <f>IFERROR(__xludf.DUMMYFUNCTION("""COMPUTED_VALUE"""),"code tidak bisa di buka &amp; flowchart tidak ada")</f>
        <v>code tidak bisa di buka &amp; flowchart tidak ada</v>
      </c>
    </row>
    <row r="254">
      <c r="A254" s="43">
        <f>IFERROR(__xludf.DUMMYFUNCTION("""COMPUTED_VALUE"""),44095.631355150465)</f>
        <v>44095.63136</v>
      </c>
      <c r="B254" s="42" t="str">
        <f>IFERROR(__xludf.DUMMYFUNCTION("""COMPUTED_VALUE"""),"Riza Radia Rivaldo")</f>
        <v>Riza Radia Rivaldo</v>
      </c>
      <c r="C254" s="42" t="str">
        <f>IFERROR(__xludf.DUMMYFUNCTION("""COMPUTED_VALUE"""),"Online")</f>
        <v>Online</v>
      </c>
      <c r="D254" s="42" t="str">
        <f>IFERROR(__xludf.DUMMYFUNCTION("""COMPUTED_VALUE"""),"Fullstack Web Developer")</f>
        <v>Fullstack Web Developer</v>
      </c>
      <c r="E254" s="42">
        <f>IFERROR(__xludf.DUMMYFUNCTION("""COMPUTED_VALUE"""),4.0)</f>
        <v>4</v>
      </c>
      <c r="F254" s="42">
        <f>IFERROR(__xludf.DUMMYFUNCTION("""COMPUTED_VALUE"""),1.0)</f>
        <v>1</v>
      </c>
      <c r="G254" s="42" t="str">
        <f>IFERROR(__xludf.DUMMYFUNCTION("""COMPUTED_VALUE"""),"ARKWH2")</f>
        <v>ARKWH2</v>
      </c>
      <c r="H254" s="42"/>
      <c r="I254" s="46" t="str">
        <f>IFERROR(__xludf.DUMMYFUNCTION("""COMPUTED_VALUE"""),"https://repl.it/@RizaRadiaRadia/Quiz2#index.js")</f>
        <v>https://repl.it/@RizaRadiaRadia/Quiz2#index.js</v>
      </c>
      <c r="J254" s="46" t="str">
        <f>IFERROR(__xludf.DUMMYFUNCTION("""COMPUTED_VALUE"""),"https://drive.google.com/file/d/1xe0QgzoExbbJYURhfL7uYgJSNUs0r96Y/view?usp=sharing")</f>
        <v>https://drive.google.com/file/d/1xe0QgzoExbbJYURhfL7uYgJSNUs0r96Y/view?usp=sharing</v>
      </c>
      <c r="K254" s="42"/>
      <c r="L254" s="42">
        <f>IFERROR(__xludf.DUMMYFUNCTION("""COMPUTED_VALUE"""),1.5)</f>
        <v>1.5</v>
      </c>
      <c r="M254" s="42" t="str">
        <f>IFERROR(__xludf.DUMMYFUNCTION("""COMPUTED_VALUE"""),"flowchart masing kurang")</f>
        <v>flowchart masing kurang</v>
      </c>
    </row>
    <row r="255">
      <c r="A255" s="43">
        <f>IFERROR(__xludf.DUMMYFUNCTION("""COMPUTED_VALUE"""),44095.632049733795)</f>
        <v>44095.63205</v>
      </c>
      <c r="B255" s="42" t="str">
        <f>IFERROR(__xludf.DUMMYFUNCTION("""COMPUTED_VALUE"""),"Raden Syamsa Nur")</f>
        <v>Raden Syamsa Nur</v>
      </c>
      <c r="C255" s="42" t="str">
        <f>IFERROR(__xludf.DUMMYFUNCTION("""COMPUTED_VALUE"""),"Online")</f>
        <v>Online</v>
      </c>
      <c r="D255" s="42" t="str">
        <f>IFERROR(__xludf.DUMMYFUNCTION("""COMPUTED_VALUE"""),"Fullstack Web Developer")</f>
        <v>Fullstack Web Developer</v>
      </c>
      <c r="E255" s="42">
        <f>IFERROR(__xludf.DUMMYFUNCTION("""COMPUTED_VALUE"""),4.0)</f>
        <v>4</v>
      </c>
      <c r="F255" s="42">
        <f>IFERROR(__xludf.DUMMYFUNCTION("""COMPUTED_VALUE"""),1.0)</f>
        <v>1</v>
      </c>
      <c r="G255" s="42" t="str">
        <f>IFERROR(__xludf.DUMMYFUNCTION("""COMPUTED_VALUE"""),"ARKWH2")</f>
        <v>ARKWH2</v>
      </c>
      <c r="H255" s="42"/>
      <c r="I255" s="46" t="str">
        <f>IFERROR(__xludf.DUMMYFUNCTION("""COMPUTED_VALUE"""),"https://repl.it/@syamsa/ConcreteIdolizedQuery")</f>
        <v>https://repl.it/@syamsa/ConcreteIdolizedQuery</v>
      </c>
      <c r="J255" s="42"/>
      <c r="K255" s="42"/>
      <c r="L255" s="42">
        <f>IFERROR(__xludf.DUMMYFUNCTION("""COMPUTED_VALUE"""),1.0)</f>
        <v>1</v>
      </c>
      <c r="M255" s="42" t="str">
        <f>IFERROR(__xludf.DUMMYFUNCTION("""COMPUTED_VALUE"""),"flowchart tidak ada")</f>
        <v>flowchart tidak ada</v>
      </c>
    </row>
    <row r="256">
      <c r="A256" s="43">
        <f>IFERROR(__xludf.DUMMYFUNCTION("""COMPUTED_VALUE"""),44095.632775694445)</f>
        <v>44095.63278</v>
      </c>
      <c r="B256" s="42" t="str">
        <f>IFERROR(__xludf.DUMMYFUNCTION("""COMPUTED_VALUE"""),"Rifqy Andika Al Akbar")</f>
        <v>Rifqy Andika Al Akbar</v>
      </c>
      <c r="C256" s="42" t="str">
        <f>IFERROR(__xludf.DUMMYFUNCTION("""COMPUTED_VALUE"""),"Online")</f>
        <v>Online</v>
      </c>
      <c r="D256" s="42" t="str">
        <f>IFERROR(__xludf.DUMMYFUNCTION("""COMPUTED_VALUE"""),"Fullstack Web Developer")</f>
        <v>Fullstack Web Developer</v>
      </c>
      <c r="E256" s="42">
        <f>IFERROR(__xludf.DUMMYFUNCTION("""COMPUTED_VALUE"""),4.0)</f>
        <v>4</v>
      </c>
      <c r="F256" s="42">
        <f>IFERROR(__xludf.DUMMYFUNCTION("""COMPUTED_VALUE"""),1.0)</f>
        <v>1</v>
      </c>
      <c r="G256" s="42" t="str">
        <f>IFERROR(__xludf.DUMMYFUNCTION("""COMPUTED_VALUE"""),"ARKWH2")</f>
        <v>ARKWH2</v>
      </c>
      <c r="H256" s="42"/>
      <c r="I256" s="46" t="str">
        <f>IFERROR(__xludf.DUMMYFUNCTION("""COMPUTED_VALUE"""),"https://repl.it/join/ymfqjvtn-andikakiky")</f>
        <v>https://repl.it/join/ymfqjvtn-andikakiky</v>
      </c>
      <c r="J256" s="42"/>
      <c r="K256" s="46" t="str">
        <f>IFERROR(__xludf.DUMMYFUNCTION("""COMPUTED_VALUE"""),"https://drive.google.com/open?id=1RM_lUJ2aNySLuWVyPYdNwEBBdpMnZdk4")</f>
        <v>https://drive.google.com/open?id=1RM_lUJ2aNySLuWVyPYdNwEBBdpMnZdk4</v>
      </c>
      <c r="L256" s="42">
        <f>IFERROR(__xludf.DUMMYFUNCTION("""COMPUTED_VALUE"""),0.5)</f>
        <v>0.5</v>
      </c>
      <c r="M256" s="42" t="str">
        <f>IFERROR(__xludf.DUMMYFUNCTION("""COMPUTED_VALUE"""),"code tidak bisa di buka &amp; flowchart masih kurang")</f>
        <v>code tidak bisa di buka &amp; flowchart masih kurang</v>
      </c>
    </row>
    <row r="257">
      <c r="A257" s="43">
        <f>IFERROR(__xludf.DUMMYFUNCTION("""COMPUTED_VALUE"""),44095.63352239583)</f>
        <v>44095.63352</v>
      </c>
      <c r="B257" s="42" t="str">
        <f>IFERROR(__xludf.DUMMYFUNCTION("""COMPUTED_VALUE"""),"Dicky Firmansyah")</f>
        <v>Dicky Firmansyah</v>
      </c>
      <c r="C257" s="42" t="str">
        <f>IFERROR(__xludf.DUMMYFUNCTION("""COMPUTED_VALUE"""),"Online")</f>
        <v>Online</v>
      </c>
      <c r="D257" s="42" t="str">
        <f>IFERROR(__xludf.DUMMYFUNCTION("""COMPUTED_VALUE"""),"Fullstack Web Developer")</f>
        <v>Fullstack Web Developer</v>
      </c>
      <c r="E257" s="42">
        <f>IFERROR(__xludf.DUMMYFUNCTION("""COMPUTED_VALUE"""),4.0)</f>
        <v>4</v>
      </c>
      <c r="F257" s="42">
        <f>IFERROR(__xludf.DUMMYFUNCTION("""COMPUTED_VALUE"""),1.0)</f>
        <v>1</v>
      </c>
      <c r="G257" s="42" t="str">
        <f>IFERROR(__xludf.DUMMYFUNCTION("""COMPUTED_VALUE"""),"ARKWH2")</f>
        <v>ARKWH2</v>
      </c>
      <c r="H257" s="42"/>
      <c r="I257" s="42" t="str">
        <f>IFERROR(__xludf.DUMMYFUNCTION("""COMPUTED_VALUE"""),"ZestyBeautifulInteger#index.js")</f>
        <v>ZestyBeautifulInteger#index.js</v>
      </c>
      <c r="J257" s="42"/>
      <c r="K257" s="42"/>
      <c r="L257" s="42">
        <f>IFERROR(__xludf.DUMMYFUNCTION("""COMPUTED_VALUE"""),0.0)</f>
        <v>0</v>
      </c>
      <c r="M257" s="42" t="str">
        <f>IFERROR(__xludf.DUMMYFUNCTION("""COMPUTED_VALUE"""),"code tidak bisa di buka &amp; flowchart tidak ada")</f>
        <v>code tidak bisa di buka &amp; flowchart tidak ada</v>
      </c>
    </row>
    <row r="258">
      <c r="A258" s="43">
        <f>IFERROR(__xludf.DUMMYFUNCTION("""COMPUTED_VALUE"""),44095.634343275466)</f>
        <v>44095.63434</v>
      </c>
      <c r="B258" s="42" t="str">
        <f>IFERROR(__xludf.DUMMYFUNCTION("""COMPUTED_VALUE"""),"Panji Kusumarizki")</f>
        <v>Panji Kusumarizki</v>
      </c>
      <c r="C258" s="42" t="str">
        <f>IFERROR(__xludf.DUMMYFUNCTION("""COMPUTED_VALUE"""),"Online")</f>
        <v>Online</v>
      </c>
      <c r="D258" s="42" t="str">
        <f>IFERROR(__xludf.DUMMYFUNCTION("""COMPUTED_VALUE"""),"Fullstack Web Developer")</f>
        <v>Fullstack Web Developer</v>
      </c>
      <c r="E258" s="42">
        <f>IFERROR(__xludf.DUMMYFUNCTION("""COMPUTED_VALUE"""),4.0)</f>
        <v>4</v>
      </c>
      <c r="F258" s="42">
        <f>IFERROR(__xludf.DUMMYFUNCTION("""COMPUTED_VALUE"""),1.0)</f>
        <v>1</v>
      </c>
      <c r="G258" s="42" t="str">
        <f>IFERROR(__xludf.DUMMYFUNCTION("""COMPUTED_VALUE"""),"ARKWH2")</f>
        <v>ARKWH2</v>
      </c>
      <c r="H258" s="42"/>
      <c r="I258" s="46" t="str">
        <f>IFERROR(__xludf.DUMMYFUNCTION("""COMPUTED_VALUE"""),"https://repl.it/@PanjiKusuma/reverse-pyramid#index.js")</f>
        <v>https://repl.it/@PanjiKusuma/reverse-pyramid#index.js</v>
      </c>
      <c r="J258" s="46" t="str">
        <f>IFERROR(__xludf.DUMMYFUNCTION("""COMPUTED_VALUE"""),"https://drive.google.com/file/d/1oJOeSB9w6lwxneMUX-kRek12XQAh_XO-/view?usp=sharing")</f>
        <v>https://drive.google.com/file/d/1oJOeSB9w6lwxneMUX-kRek12XQAh_XO-/view?usp=sharing</v>
      </c>
      <c r="K258" s="46" t="str">
        <f>IFERROR(__xludf.DUMMYFUNCTION("""COMPUTED_VALUE"""),"https://drive.google.com/open?id=1PiiP1FXNqd7KHY5KAgbfNdzSvkxT_xdo")</f>
        <v>https://drive.google.com/open?id=1PiiP1FXNqd7KHY5KAgbfNdzSvkxT_xdo</v>
      </c>
      <c r="L258" s="42">
        <f>IFERROR(__xludf.DUMMYFUNCTION("""COMPUTED_VALUE"""),1.5)</f>
        <v>1.5</v>
      </c>
      <c r="M258" s="42" t="str">
        <f>IFERROR(__xludf.DUMMYFUNCTION("""COMPUTED_VALUE"""),"flowchart masih kurang lengkap")</f>
        <v>flowchart masih kurang lengkap</v>
      </c>
    </row>
    <row r="259">
      <c r="A259" s="43">
        <f>IFERROR(__xludf.DUMMYFUNCTION("""COMPUTED_VALUE"""),44097.41420206019)</f>
        <v>44097.4142</v>
      </c>
      <c r="B259" s="42" t="str">
        <f>IFERROR(__xludf.DUMMYFUNCTION("""COMPUTED_VALUE"""),"Giri Nurfauzan")</f>
        <v>Giri Nurfauzan</v>
      </c>
      <c r="C259" s="42" t="str">
        <f>IFERROR(__xludf.DUMMYFUNCTION("""COMPUTED_VALUE"""),"Online")</f>
        <v>Online</v>
      </c>
      <c r="D259" s="42" t="str">
        <f>IFERROR(__xludf.DUMMYFUNCTION("""COMPUTED_VALUE"""),"Fullstack Web Developer")</f>
        <v>Fullstack Web Developer</v>
      </c>
      <c r="E259" s="42">
        <f>IFERROR(__xludf.DUMMYFUNCTION("""COMPUTED_VALUE"""),3.0)</f>
        <v>3</v>
      </c>
      <c r="F259" s="42">
        <f>IFERROR(__xludf.DUMMYFUNCTION("""COMPUTED_VALUE"""),1.0)</f>
        <v>1</v>
      </c>
      <c r="G259" s="42" t="str">
        <f>IFERROR(__xludf.DUMMYFUNCTION("""COMPUTED_VALUE"""),"ARKWH1")</f>
        <v>ARKWH1</v>
      </c>
      <c r="H259" s="42"/>
      <c r="I259" s="46" t="str">
        <f>IFERROR(__xludf.DUMMYFUNCTION("""COMPUTED_VALUE"""),"https://repl.it/@GiriNurfauzan/ARKWH1")</f>
        <v>https://repl.it/@GiriNurfauzan/ARKWH1</v>
      </c>
      <c r="J259" s="46" t="str">
        <f>IFERROR(__xludf.DUMMYFUNCTION("""COMPUTED_VALUE"""),"https://drive.google.com/file/d/1igx6-CXdiCdy6ldkqWHePOOSpt7Y4u4A/view?usp=sharing")</f>
        <v>https://drive.google.com/file/d/1igx6-CXdiCdy6ldkqWHePOOSpt7Y4u4A/view?usp=sharing</v>
      </c>
      <c r="K259" s="46" t="str">
        <f>IFERROR(__xludf.DUMMYFUNCTION("""COMPUTED_VALUE"""),"https://drive.google.com/open?id=1dgMVUutERbLJ4qfPBeHG_IFa068DMKny")</f>
        <v>https://drive.google.com/open?id=1dgMVUutERbLJ4qfPBeHG_IFa068DMKny</v>
      </c>
      <c r="L259" s="42">
        <f>IFERROR(__xludf.DUMMYFUNCTION("""COMPUTED_VALUE"""),1.75)</f>
        <v>1.75</v>
      </c>
      <c r="M259" s="42" t="str">
        <f>IFERROR(__xludf.DUMMYFUNCTION("""COMPUTED_VALUE"""),"good, untuk flowchart setelah proses definisi substrac = 0 bisa di arahkan ke proses selanjutnya ya")</f>
        <v>good, untuk flowchart setelah proses definisi substrac = 0 bisa di arahkan ke proses selanjutnya ya</v>
      </c>
    </row>
    <row r="260">
      <c r="A260" s="43">
        <f>IFERROR(__xludf.DUMMYFUNCTION("""COMPUTED_VALUE"""),44097.41745877315)</f>
        <v>44097.41746</v>
      </c>
      <c r="B260" s="42" t="str">
        <f>IFERROR(__xludf.DUMMYFUNCTION("""COMPUTED_VALUE"""),"Dhea Qonita")</f>
        <v>Dhea Qonita</v>
      </c>
      <c r="C260" s="42" t="str">
        <f>IFERROR(__xludf.DUMMYFUNCTION("""COMPUTED_VALUE"""),"Online")</f>
        <v>Online</v>
      </c>
      <c r="D260" s="42" t="str">
        <f>IFERROR(__xludf.DUMMYFUNCTION("""COMPUTED_VALUE"""),"Fullstack Web Developer")</f>
        <v>Fullstack Web Developer</v>
      </c>
      <c r="E260" s="42">
        <f>IFERROR(__xludf.DUMMYFUNCTION("""COMPUTED_VALUE"""),3.0)</f>
        <v>3</v>
      </c>
      <c r="F260" s="42">
        <f>IFERROR(__xludf.DUMMYFUNCTION("""COMPUTED_VALUE"""),1.0)</f>
        <v>1</v>
      </c>
      <c r="G260" s="42" t="str">
        <f>IFERROR(__xludf.DUMMYFUNCTION("""COMPUTED_VALUE"""),"ARKWH1")</f>
        <v>ARKWH1</v>
      </c>
      <c r="H260" s="42"/>
      <c r="I260" s="46" t="str">
        <f>IFERROR(__xludf.DUMMYFUNCTION("""COMPUTED_VALUE"""),"https://repl.it/join/enfiffth-dheaaqn")</f>
        <v>https://repl.it/join/enfiffth-dheaaqn</v>
      </c>
      <c r="J260" s="46" t="str">
        <f>IFERROR(__xludf.DUMMYFUNCTION("""COMPUTED_VALUE"""),"https://drive.google.com/file/d/1JyACosl9YWi7cnfvKtfTlUSmOPWP57pO/view?usp=sharing")</f>
        <v>https://drive.google.com/file/d/1JyACosl9YWi7cnfvKtfTlUSmOPWP57pO/view?usp=sharing</v>
      </c>
      <c r="K260" s="46" t="str">
        <f>IFERROR(__xludf.DUMMYFUNCTION("""COMPUTED_VALUE"""),"https://drive.google.com/open?id=1NyUCMj9Al_xoczLqTleF4rNadJQ-_uGO")</f>
        <v>https://drive.google.com/open?id=1NyUCMj9Al_xoczLqTleF4rNadJQ-_uGO</v>
      </c>
      <c r="L260" s="42">
        <f>IFERROR(__xludf.DUMMYFUNCTION("""COMPUTED_VALUE"""),1.75)</f>
        <v>1.75</v>
      </c>
      <c r="M260" s="42" t="str">
        <f>IFERROR(__xludf.DUMMYFUNCTION("""COMPUTED_VALUE"""),"good, untuk flowchart pada decision jangan lupa untuk diberikan keterangan true and falsenya dan jangan lupa di akhiri dengan end pada flowchart")</f>
        <v>good, untuk flowchart pada decision jangan lupa untuk diberikan keterangan true and falsenya dan jangan lupa di akhiri dengan end pada flowchart</v>
      </c>
    </row>
    <row r="261">
      <c r="A261" s="43">
        <f>IFERROR(__xludf.DUMMYFUNCTION("""COMPUTED_VALUE"""),44097.41832510417)</f>
        <v>44097.41833</v>
      </c>
      <c r="B261" s="42" t="str">
        <f>IFERROR(__xludf.DUMMYFUNCTION("""COMPUTED_VALUE"""),"Arqi Alfaritsi")</f>
        <v>Arqi Alfaritsi</v>
      </c>
      <c r="C261" s="42" t="str">
        <f>IFERROR(__xludf.DUMMYFUNCTION("""COMPUTED_VALUE"""),"Online")</f>
        <v>Online</v>
      </c>
      <c r="D261" s="42" t="str">
        <f>IFERROR(__xludf.DUMMYFUNCTION("""COMPUTED_VALUE"""),"Fullstack Web Developer")</f>
        <v>Fullstack Web Developer</v>
      </c>
      <c r="E261" s="42">
        <f>IFERROR(__xludf.DUMMYFUNCTION("""COMPUTED_VALUE"""),3.0)</f>
        <v>3</v>
      </c>
      <c r="F261" s="42">
        <f>IFERROR(__xludf.DUMMYFUNCTION("""COMPUTED_VALUE"""),1.0)</f>
        <v>1</v>
      </c>
      <c r="G261" s="42" t="str">
        <f>IFERROR(__xludf.DUMMYFUNCTION("""COMPUTED_VALUE"""),"ARKWH1")</f>
        <v>ARKWH1</v>
      </c>
      <c r="H261" s="42"/>
      <c r="I261" s="46" t="str">
        <f>IFERROR(__xludf.DUMMYFUNCTION("""COMPUTED_VALUE"""),"https://playcode.io/676910/")</f>
        <v>https://playcode.io/676910/</v>
      </c>
      <c r="J261" s="42"/>
      <c r="K261" s="46" t="str">
        <f>IFERROR(__xludf.DUMMYFUNCTION("""COMPUTED_VALUE"""),"https://drive.google.com/open?id=1KA7orwdfJUCEzo-AnDeHLZ5yKvDFECSR")</f>
        <v>https://drive.google.com/open?id=1KA7orwdfJUCEzo-AnDeHLZ5yKvDFECSR</v>
      </c>
      <c r="L261" s="42">
        <f>IFERROR(__xludf.DUMMYFUNCTION("""COMPUTED_VALUE"""),2.0)</f>
        <v>2</v>
      </c>
      <c r="M261" s="42" t="str">
        <f>IFERROR(__xludf.DUMMYFUNCTION("""COMPUTED_VALUE"""),"good")</f>
        <v>good</v>
      </c>
    </row>
    <row r="262">
      <c r="A262" s="43">
        <f>IFERROR(__xludf.DUMMYFUNCTION("""COMPUTED_VALUE"""),44097.418449930556)</f>
        <v>44097.41845</v>
      </c>
      <c r="B262" s="42" t="str">
        <f>IFERROR(__xludf.DUMMYFUNCTION("""COMPUTED_VALUE"""),"Galuh Prahadi")</f>
        <v>Galuh Prahadi</v>
      </c>
      <c r="C262" s="42" t="str">
        <f>IFERROR(__xludf.DUMMYFUNCTION("""COMPUTED_VALUE"""),"Online")</f>
        <v>Online</v>
      </c>
      <c r="D262" s="42" t="str">
        <f>IFERROR(__xludf.DUMMYFUNCTION("""COMPUTED_VALUE"""),"Fullstack Web Developer")</f>
        <v>Fullstack Web Developer</v>
      </c>
      <c r="E262" s="42">
        <f>IFERROR(__xludf.DUMMYFUNCTION("""COMPUTED_VALUE"""),3.0)</f>
        <v>3</v>
      </c>
      <c r="F262" s="42">
        <f>IFERROR(__xludf.DUMMYFUNCTION("""COMPUTED_VALUE"""),1.0)</f>
        <v>1</v>
      </c>
      <c r="G262" s="42" t="str">
        <f>IFERROR(__xludf.DUMMYFUNCTION("""COMPUTED_VALUE"""),"ARKWH1")</f>
        <v>ARKWH1</v>
      </c>
      <c r="H262" s="42"/>
      <c r="I262" s="46" t="str">
        <f>IFERROR(__xludf.DUMMYFUNCTION("""COMPUTED_VALUE"""),"https://repl.it/@galuhprahadi96/quis")</f>
        <v>https://repl.it/@galuhprahadi96/quis</v>
      </c>
      <c r="J262" s="42"/>
      <c r="K262" s="46" t="str">
        <f>IFERROR(__xludf.DUMMYFUNCTION("""COMPUTED_VALUE"""),"https://drive.google.com/open?id=1Daydyp8Dpg8z7i5fyVs9wf_qIuMjAoSb")</f>
        <v>https://drive.google.com/open?id=1Daydyp8Dpg8z7i5fyVs9wf_qIuMjAoSb</v>
      </c>
      <c r="L262" s="42">
        <f>IFERROR(__xludf.DUMMYFUNCTION("""COMPUTED_VALUE"""),1.75)</f>
        <v>1.75</v>
      </c>
      <c r="M262" s="42" t="str">
        <f>IFERROR(__xludf.DUMMYFUNCTION("""COMPUTED_VALUE"""),"good, untuk decision flowchart jangan lupa untuk diberikan keterangan falsenya ya")</f>
        <v>good, untuk decision flowchart jangan lupa untuk diberikan keterangan falsenya ya</v>
      </c>
    </row>
    <row r="263">
      <c r="A263" s="43">
        <f>IFERROR(__xludf.DUMMYFUNCTION("""COMPUTED_VALUE"""),44097.41864484954)</f>
        <v>44097.41864</v>
      </c>
      <c r="B263" s="42" t="str">
        <f>IFERROR(__xludf.DUMMYFUNCTION("""COMPUTED_VALUE"""),"Muzmi Ulya")</f>
        <v>Muzmi Ulya</v>
      </c>
      <c r="C263" s="42" t="str">
        <f>IFERROR(__xludf.DUMMYFUNCTION("""COMPUTED_VALUE"""),"Online")</f>
        <v>Online</v>
      </c>
      <c r="D263" s="42" t="str">
        <f>IFERROR(__xludf.DUMMYFUNCTION("""COMPUTED_VALUE"""),"Fullstack Web Developer")</f>
        <v>Fullstack Web Developer</v>
      </c>
      <c r="E263" s="42">
        <f>IFERROR(__xludf.DUMMYFUNCTION("""COMPUTED_VALUE"""),3.0)</f>
        <v>3</v>
      </c>
      <c r="F263" s="42">
        <f>IFERROR(__xludf.DUMMYFUNCTION("""COMPUTED_VALUE"""),1.0)</f>
        <v>1</v>
      </c>
      <c r="G263" s="42" t="str">
        <f>IFERROR(__xludf.DUMMYFUNCTION("""COMPUTED_VALUE"""),"ARKWH1")</f>
        <v>ARKWH1</v>
      </c>
      <c r="H263" s="42"/>
      <c r="I263" s="46" t="str">
        <f>IFERROR(__xludf.DUMMYFUNCTION("""COMPUTED_VALUE"""),"https://repl.it/@muzmi1234/quizzz#index.js")</f>
        <v>https://repl.it/@muzmi1234/quizzz#index.js</v>
      </c>
      <c r="J263" s="42"/>
      <c r="K263" s="46" t="str">
        <f>IFERROR(__xludf.DUMMYFUNCTION("""COMPUTED_VALUE"""),"https://drive.google.com/open?id=1szb54I2t93EnYjqezN8GCbDjvo54FcU-")</f>
        <v>https://drive.google.com/open?id=1szb54I2t93EnYjqezN8GCbDjvo54FcU-</v>
      </c>
      <c r="L263" s="42">
        <f>IFERROR(__xludf.DUMMYFUNCTION("""COMPUTED_VALUE"""),2.0)</f>
        <v>2</v>
      </c>
      <c r="M263" s="42" t="str">
        <f>IFERROR(__xludf.DUMMYFUNCTION("""COMPUTED_VALUE"""),"good untuk bagian proses akhir bisa diberikan keterangan output hasil ya")</f>
        <v>good untuk bagian proses akhir bisa diberikan keterangan output hasil ya</v>
      </c>
    </row>
    <row r="264">
      <c r="A264" s="43">
        <f>IFERROR(__xludf.DUMMYFUNCTION("""COMPUTED_VALUE"""),44097.41888363426)</f>
        <v>44097.41888</v>
      </c>
      <c r="B264" s="42" t="str">
        <f>IFERROR(__xludf.DUMMYFUNCTION("""COMPUTED_VALUE"""),"Muhammad Rinaldi")</f>
        <v>Muhammad Rinaldi</v>
      </c>
      <c r="C264" s="42" t="str">
        <f>IFERROR(__xludf.DUMMYFUNCTION("""COMPUTED_VALUE"""),"Online")</f>
        <v>Online</v>
      </c>
      <c r="D264" s="42" t="str">
        <f>IFERROR(__xludf.DUMMYFUNCTION("""COMPUTED_VALUE"""),"Fullstack Web Developer")</f>
        <v>Fullstack Web Developer</v>
      </c>
      <c r="E264" s="42">
        <f>IFERROR(__xludf.DUMMYFUNCTION("""COMPUTED_VALUE"""),3.0)</f>
        <v>3</v>
      </c>
      <c r="F264" s="42">
        <f>IFERROR(__xludf.DUMMYFUNCTION("""COMPUTED_VALUE"""),1.0)</f>
        <v>1</v>
      </c>
      <c r="G264" s="42" t="str">
        <f>IFERROR(__xludf.DUMMYFUNCTION("""COMPUTED_VALUE"""),"ARKWH1")</f>
        <v>ARKWH1</v>
      </c>
      <c r="H264" s="42"/>
      <c r="I264" s="46" t="str">
        <f>IFERROR(__xludf.DUMMYFUNCTION("""COMPUTED_VALUE"""),"https://repl.it/@mhdnaldi/ARKWH1#index.js")</f>
        <v>https://repl.it/@mhdnaldi/ARKWH1#index.js</v>
      </c>
      <c r="J264" s="42"/>
      <c r="K264" s="46" t="str">
        <f>IFERROR(__xludf.DUMMYFUNCTION("""COMPUTED_VALUE"""),"https://drive.google.com/open?id=1BMWqAOouTy0Qlo--hJ4uKpueEtawrIov")</f>
        <v>https://drive.google.com/open?id=1BMWqAOouTy0Qlo--hJ4uKpueEtawrIov</v>
      </c>
      <c r="L264" s="42">
        <f>IFERROR(__xludf.DUMMYFUNCTION("""COMPUTED_VALUE"""),2.0)</f>
        <v>2</v>
      </c>
      <c r="M264" s="42" t="str">
        <f>IFERROR(__xludf.DUMMYFUNCTION("""COMPUTED_VALUE"""),"good, untuk akhir proses flowchart bisa ditambahkan end ya")</f>
        <v>good, untuk akhir proses flowchart bisa ditambahkan end ya</v>
      </c>
    </row>
    <row r="265">
      <c r="A265" s="43">
        <f>IFERROR(__xludf.DUMMYFUNCTION("""COMPUTED_VALUE"""),44097.419099120365)</f>
        <v>44097.4191</v>
      </c>
      <c r="B265" s="42" t="str">
        <f>IFERROR(__xludf.DUMMYFUNCTION("""COMPUTED_VALUE"""),"Muhammad Faishal")</f>
        <v>Muhammad Faishal</v>
      </c>
      <c r="C265" s="42" t="str">
        <f>IFERROR(__xludf.DUMMYFUNCTION("""COMPUTED_VALUE"""),"Online")</f>
        <v>Online</v>
      </c>
      <c r="D265" s="42" t="str">
        <f>IFERROR(__xludf.DUMMYFUNCTION("""COMPUTED_VALUE"""),"Fullstack Web Developer")</f>
        <v>Fullstack Web Developer</v>
      </c>
      <c r="E265" s="42">
        <f>IFERROR(__xludf.DUMMYFUNCTION("""COMPUTED_VALUE"""),3.0)</f>
        <v>3</v>
      </c>
      <c r="F265" s="42">
        <f>IFERROR(__xludf.DUMMYFUNCTION("""COMPUTED_VALUE"""),1.0)</f>
        <v>1</v>
      </c>
      <c r="G265" s="42" t="str">
        <f>IFERROR(__xludf.DUMMYFUNCTION("""COMPUTED_VALUE"""),"ARKWH1")</f>
        <v>ARKWH1</v>
      </c>
      <c r="H265" s="42"/>
      <c r="I265" s="42"/>
      <c r="J265" s="46" t="str">
        <f>IFERROR(__xludf.DUMMYFUNCTION("""COMPUTED_VALUE"""),"https://repl.it/@Faishalrmdhn/quiz-week-101")</f>
        <v>https://repl.it/@Faishalrmdhn/quiz-week-101</v>
      </c>
      <c r="K265" s="46" t="str">
        <f>IFERROR(__xludf.DUMMYFUNCTION("""COMPUTED_VALUE"""),"https://drive.google.com/open?id=10pED6CQcpc_ijUSVKEjyJo-lSF5HGXjo")</f>
        <v>https://drive.google.com/open?id=10pED6CQcpc_ijUSVKEjyJo-lSF5HGXjo</v>
      </c>
      <c r="L265" s="42">
        <f>IFERROR(__xludf.DUMMYFUNCTION("""COMPUTED_VALUE"""),2.0)</f>
        <v>2</v>
      </c>
      <c r="M265" s="42" t="str">
        <f>IFERROR(__xludf.DUMMYFUNCTION("""COMPUTED_VALUE"""),"good")</f>
        <v>good</v>
      </c>
    </row>
    <row r="266">
      <c r="A266" s="43">
        <f>IFERROR(__xludf.DUMMYFUNCTION("""COMPUTED_VALUE"""),44097.4199868287)</f>
        <v>44097.41999</v>
      </c>
      <c r="B266" s="42" t="str">
        <f>IFERROR(__xludf.DUMMYFUNCTION("""COMPUTED_VALUE"""),"Bagas Afrizal")</f>
        <v>Bagas Afrizal</v>
      </c>
      <c r="C266" s="42" t="str">
        <f>IFERROR(__xludf.DUMMYFUNCTION("""COMPUTED_VALUE"""),"Online")</f>
        <v>Online</v>
      </c>
      <c r="D266" s="42" t="str">
        <f>IFERROR(__xludf.DUMMYFUNCTION("""COMPUTED_VALUE"""),"Fullstack Web Developer")</f>
        <v>Fullstack Web Developer</v>
      </c>
      <c r="E266" s="42">
        <f>IFERROR(__xludf.DUMMYFUNCTION("""COMPUTED_VALUE"""),3.0)</f>
        <v>3</v>
      </c>
      <c r="F266" s="42">
        <f>IFERROR(__xludf.DUMMYFUNCTION("""COMPUTED_VALUE"""),1.0)</f>
        <v>1</v>
      </c>
      <c r="G266" s="42" t="str">
        <f>IFERROR(__xludf.DUMMYFUNCTION("""COMPUTED_VALUE"""),"ARKWH1")</f>
        <v>ARKWH1</v>
      </c>
      <c r="H266" s="42"/>
      <c r="I266" s="46" t="str">
        <f>IFERROR(__xludf.DUMMYFUNCTION("""COMPUTED_VALUE"""),"https://repl.it/repls/MealyMidnightblueCommercialsoftware#index.js")</f>
        <v>https://repl.it/repls/MealyMidnightblueCommercialsoftware#index.js</v>
      </c>
      <c r="J266" s="42"/>
      <c r="K266" s="46" t="str">
        <f>IFERROR(__xludf.DUMMYFUNCTION("""COMPUTED_VALUE"""),"https://drive.google.com/open?id=1V4PidmMggPOTUoumQMlp-_yBzrRMkGmO")</f>
        <v>https://drive.google.com/open?id=1V4PidmMggPOTUoumQMlp-_yBzrRMkGmO</v>
      </c>
      <c r="L266" s="42">
        <f>IFERROR(__xludf.DUMMYFUNCTION("""COMPUTED_VALUE"""),0.0)</f>
        <v>0</v>
      </c>
      <c r="M266" s="42" t="str">
        <f>IFERROR(__xludf.DUMMYFUNCTION("""COMPUTED_VALUE"""),"program dan flowchartnya blm selesai")</f>
        <v>program dan flowchartnya blm selesai</v>
      </c>
    </row>
    <row r="267">
      <c r="A267" s="43">
        <f>IFERROR(__xludf.DUMMYFUNCTION("""COMPUTED_VALUE"""),44097.42000295139)</f>
        <v>44097.42</v>
      </c>
      <c r="B267" s="42" t="str">
        <f>IFERROR(__xludf.DUMMYFUNCTION("""COMPUTED_VALUE"""),"Hasbi A.K")</f>
        <v>Hasbi A.K</v>
      </c>
      <c r="C267" s="42" t="str">
        <f>IFERROR(__xludf.DUMMYFUNCTION("""COMPUTED_VALUE"""),"Online")</f>
        <v>Online</v>
      </c>
      <c r="D267" s="42" t="str">
        <f>IFERROR(__xludf.DUMMYFUNCTION("""COMPUTED_VALUE"""),"Fullstack Web Developer")</f>
        <v>Fullstack Web Developer</v>
      </c>
      <c r="E267" s="42">
        <f>IFERROR(__xludf.DUMMYFUNCTION("""COMPUTED_VALUE"""),3.0)</f>
        <v>3</v>
      </c>
      <c r="F267" s="42">
        <f>IFERROR(__xludf.DUMMYFUNCTION("""COMPUTED_VALUE"""),1.0)</f>
        <v>1</v>
      </c>
      <c r="G267" s="42" t="str">
        <f>IFERROR(__xludf.DUMMYFUNCTION("""COMPUTED_VALUE"""),"ARKWH1")</f>
        <v>ARKWH1</v>
      </c>
      <c r="H267" s="42"/>
      <c r="I267" s="42"/>
      <c r="J267" s="42"/>
      <c r="K267" s="46" t="str">
        <f>IFERROR(__xludf.DUMMYFUNCTION("""COMPUTED_VALUE"""),"https://drive.google.com/open?id=1Caq2N6-9WenSZVpCBG4hIivzeGDuIhfp")</f>
        <v>https://drive.google.com/open?id=1Caq2N6-9WenSZVpCBG4hIivzeGDuIhfp</v>
      </c>
      <c r="L267" s="42">
        <f>IFERROR(__xludf.DUMMYFUNCTION("""COMPUTED_VALUE"""),0.25)</f>
        <v>0.25</v>
      </c>
      <c r="M267" s="42" t="str">
        <f>IFERROR(__xludf.DUMMYFUNCTION("""COMPUTED_VALUE"""),"symbol flowchart masih ada yg belum sesuai dengan fungsinya dan program belum dikerjakan")</f>
        <v>symbol flowchart masih ada yg belum sesuai dengan fungsinya dan program belum dikerjakan</v>
      </c>
    </row>
    <row r="268">
      <c r="A268" s="43">
        <f>IFERROR(__xludf.DUMMYFUNCTION("""COMPUTED_VALUE"""),44097.4201303588)</f>
        <v>44097.42013</v>
      </c>
      <c r="B268" s="42" t="str">
        <f>IFERROR(__xludf.DUMMYFUNCTION("""COMPUTED_VALUE"""),"Arizal")</f>
        <v>Arizal</v>
      </c>
      <c r="C268" s="42" t="str">
        <f>IFERROR(__xludf.DUMMYFUNCTION("""COMPUTED_VALUE"""),"Online")</f>
        <v>Online</v>
      </c>
      <c r="D268" s="42" t="str">
        <f>IFERROR(__xludf.DUMMYFUNCTION("""COMPUTED_VALUE"""),"Fullstack Web Developer")</f>
        <v>Fullstack Web Developer</v>
      </c>
      <c r="E268" s="42">
        <f>IFERROR(__xludf.DUMMYFUNCTION("""COMPUTED_VALUE"""),3.0)</f>
        <v>3</v>
      </c>
      <c r="F268" s="42">
        <f>IFERROR(__xludf.DUMMYFUNCTION("""COMPUTED_VALUE"""),1.0)</f>
        <v>1</v>
      </c>
      <c r="G268" s="42" t="str">
        <f>IFERROR(__xludf.DUMMYFUNCTION("""COMPUTED_VALUE"""),"ARKWH1")</f>
        <v>ARKWH1</v>
      </c>
      <c r="H268" s="42"/>
      <c r="I268" s="46" t="str">
        <f>IFERROR(__xludf.DUMMYFUNCTION("""COMPUTED_VALUE"""),"https://repl.it/repls/OrangeRedQueryplan#index.js")</f>
        <v>https://repl.it/repls/OrangeRedQueryplan#index.js</v>
      </c>
      <c r="J268" s="42"/>
      <c r="K268" s="42"/>
      <c r="L268" s="42">
        <f>IFERROR(__xludf.DUMMYFUNCTION("""COMPUTED_VALUE"""),0.25)</f>
        <v>0.25</v>
      </c>
      <c r="M268" s="42" t="str">
        <f>IFERROR(__xludf.DUMMYFUNCTION("""COMPUTED_VALUE"""),"program tidak jalan")</f>
        <v>program tidak jalan</v>
      </c>
    </row>
    <row r="269">
      <c r="A269" s="43">
        <f>IFERROR(__xludf.DUMMYFUNCTION("""COMPUTED_VALUE"""),44097.42047972222)</f>
        <v>44097.42048</v>
      </c>
      <c r="B269" s="42" t="str">
        <f>IFERROR(__xludf.DUMMYFUNCTION("""COMPUTED_VALUE"""),"Ardhika R.N")</f>
        <v>Ardhika R.N</v>
      </c>
      <c r="C269" s="42" t="str">
        <f>IFERROR(__xludf.DUMMYFUNCTION("""COMPUTED_VALUE"""),"Online")</f>
        <v>Online</v>
      </c>
      <c r="D269" s="42" t="str">
        <f>IFERROR(__xludf.DUMMYFUNCTION("""COMPUTED_VALUE"""),"Fullstack Web Developer")</f>
        <v>Fullstack Web Developer</v>
      </c>
      <c r="E269" s="42">
        <f>IFERROR(__xludf.DUMMYFUNCTION("""COMPUTED_VALUE"""),3.0)</f>
        <v>3</v>
      </c>
      <c r="F269" s="42">
        <f>IFERROR(__xludf.DUMMYFUNCTION("""COMPUTED_VALUE"""),1.0)</f>
        <v>1</v>
      </c>
      <c r="G269" s="42" t="str">
        <f>IFERROR(__xludf.DUMMYFUNCTION("""COMPUTED_VALUE"""),"ARKWH1")</f>
        <v>ARKWH1</v>
      </c>
      <c r="H269" s="42"/>
      <c r="I269" s="46" t="str">
        <f>IFERROR(__xludf.DUMMYFUNCTION("""COMPUTED_VALUE"""),"https://repl.it/@ardhikarn/Quiz-ARK#index.js")</f>
        <v>https://repl.it/@ardhikarn/Quiz-ARK#index.js</v>
      </c>
      <c r="J269" s="46" t="str">
        <f>IFERROR(__xludf.DUMMYFUNCTION("""COMPUTED_VALUE"""),"https://app.diagrams.net/#G1nzLpWTd_48ELZmGeM-7fakMOMyAy5JhP")</f>
        <v>https://app.diagrams.net/#G1nzLpWTd_48ELZmGeM-7fakMOMyAy5JhP</v>
      </c>
      <c r="K269" s="46" t="str">
        <f>IFERROR(__xludf.DUMMYFUNCTION("""COMPUTED_VALUE"""),"https://drive.google.com/open?id=1wNJwpfzPJXZf8R5pW5OovQNL_542Zq4A")</f>
        <v>https://drive.google.com/open?id=1wNJwpfzPJXZf8R5pW5OovQNL_542Zq4A</v>
      </c>
      <c r="L269" s="42">
        <f>IFERROR(__xludf.DUMMYFUNCTION("""COMPUTED_VALUE"""),1.75)</f>
        <v>1.75</v>
      </c>
      <c r="M269" s="42"/>
    </row>
    <row r="270">
      <c r="A270" s="43">
        <f>IFERROR(__xludf.DUMMYFUNCTION("""COMPUTED_VALUE"""),44097.42124738426)</f>
        <v>44097.42125</v>
      </c>
      <c r="B270" s="42" t="str">
        <f>IFERROR(__xludf.DUMMYFUNCTION("""COMPUTED_VALUE"""),"Arif Rahman")</f>
        <v>Arif Rahman</v>
      </c>
      <c r="C270" s="42" t="str">
        <f>IFERROR(__xludf.DUMMYFUNCTION("""COMPUTED_VALUE"""),"Online")</f>
        <v>Online</v>
      </c>
      <c r="D270" s="42" t="str">
        <f>IFERROR(__xludf.DUMMYFUNCTION("""COMPUTED_VALUE"""),"Fullstack Web Developer")</f>
        <v>Fullstack Web Developer</v>
      </c>
      <c r="E270" s="42">
        <f>IFERROR(__xludf.DUMMYFUNCTION("""COMPUTED_VALUE"""),3.0)</f>
        <v>3</v>
      </c>
      <c r="F270" s="42">
        <f>IFERROR(__xludf.DUMMYFUNCTION("""COMPUTED_VALUE"""),1.0)</f>
        <v>1</v>
      </c>
      <c r="G270" s="42" t="str">
        <f>IFERROR(__xludf.DUMMYFUNCTION("""COMPUTED_VALUE"""),"ARKWH1")</f>
        <v>ARKWH1</v>
      </c>
      <c r="H270" s="42"/>
      <c r="I270" s="46" t="str">
        <f>IFERROR(__xludf.DUMMYFUNCTION("""COMPUTED_VALUE"""),"https://repl.it/join/dqdzubzc-capoy")</f>
        <v>https://repl.it/join/dqdzubzc-capoy</v>
      </c>
      <c r="J270" s="46" t="str">
        <f>IFERROR(__xludf.DUMMYFUNCTION("""COMPUTED_VALUE"""),"https://drive.google.com/file/d/16jJxA_isIpMSynGtDgily9-rSBcvUfia/view?usp=sharing")</f>
        <v>https://drive.google.com/file/d/16jJxA_isIpMSynGtDgily9-rSBcvUfia/view?usp=sharing</v>
      </c>
      <c r="K270" s="46" t="str">
        <f>IFERROR(__xludf.DUMMYFUNCTION("""COMPUTED_VALUE"""),"https://drive.google.com/open?id=1dKZ0DSo-rr8ewJBwjpsxj9MSuyf97sTZ")</f>
        <v>https://drive.google.com/open?id=1dKZ0DSo-rr8ewJBwjpsxj9MSuyf97sTZ</v>
      </c>
      <c r="L270" s="42">
        <f>IFERROR(__xludf.DUMMYFUNCTION("""COMPUTED_VALUE"""),2.0)</f>
        <v>2</v>
      </c>
      <c r="M270" s="42" t="str">
        <f>IFERROR(__xludf.DUMMYFUNCTION("""COMPUTED_VALUE"""),"good, untuk decision bisa ditambahkan keterangan true and false")</f>
        <v>good, untuk decision bisa ditambahkan keterangan true and false</v>
      </c>
    </row>
    <row r="271">
      <c r="A271" s="43">
        <f>IFERROR(__xludf.DUMMYFUNCTION("""COMPUTED_VALUE"""),44097.42134833333)</f>
        <v>44097.42135</v>
      </c>
      <c r="B271" s="42" t="str">
        <f>IFERROR(__xludf.DUMMYFUNCTION("""COMPUTED_VALUE"""),"Iqbal Setiawan")</f>
        <v>Iqbal Setiawan</v>
      </c>
      <c r="C271" s="42" t="str">
        <f>IFERROR(__xludf.DUMMYFUNCTION("""COMPUTED_VALUE"""),"Online")</f>
        <v>Online</v>
      </c>
      <c r="D271" s="42" t="str">
        <f>IFERROR(__xludf.DUMMYFUNCTION("""COMPUTED_VALUE"""),"Fullstack Web Developer")</f>
        <v>Fullstack Web Developer</v>
      </c>
      <c r="E271" s="42">
        <f>IFERROR(__xludf.DUMMYFUNCTION("""COMPUTED_VALUE"""),3.0)</f>
        <v>3</v>
      </c>
      <c r="F271" s="42">
        <f>IFERROR(__xludf.DUMMYFUNCTION("""COMPUTED_VALUE"""),1.0)</f>
        <v>1</v>
      </c>
      <c r="G271" s="42" t="str">
        <f>IFERROR(__xludf.DUMMYFUNCTION("""COMPUTED_VALUE"""),"ARKWH1")</f>
        <v>ARKWH1</v>
      </c>
      <c r="H271" s="42"/>
      <c r="I271" s="46" t="str">
        <f>IFERROR(__xludf.DUMMYFUNCTION("""COMPUTED_VALUE"""),"https://repl.it/@iqbalstwan/SpatialLeanCompilerbug#index.js")</f>
        <v>https://repl.it/@iqbalstwan/SpatialLeanCompilerbug#index.js</v>
      </c>
      <c r="J271" s="42"/>
      <c r="K271" s="46" t="str">
        <f>IFERROR(__xludf.DUMMYFUNCTION("""COMPUTED_VALUE"""),"https://drive.google.com/open?id=1cp2rnHapyRXsRIGDM-IqJhdGMfeixKP6")</f>
        <v>https://drive.google.com/open?id=1cp2rnHapyRXsRIGDM-IqJhdGMfeixKP6</v>
      </c>
      <c r="L271" s="42">
        <f>IFERROR(__xludf.DUMMYFUNCTION("""COMPUTED_VALUE"""),1.5)</f>
        <v>1.5</v>
      </c>
      <c r="M271" s="42" t="str">
        <f>IFERROR(__xludf.DUMMYFUNCTION("""COMPUTED_VALUE"""),"untuk program bagian jumlah belum dikalikan dengan harga ya")</f>
        <v>untuk program bagian jumlah belum dikalikan dengan harga ya</v>
      </c>
    </row>
    <row r="272">
      <c r="A272" s="43">
        <f>IFERROR(__xludf.DUMMYFUNCTION("""COMPUTED_VALUE"""),44097.444498275465)</f>
        <v>44097.4445</v>
      </c>
      <c r="B272" s="42" t="str">
        <f>IFERROR(__xludf.DUMMYFUNCTION("""COMPUTED_VALUE"""),"Dimas Prayoga")</f>
        <v>Dimas Prayoga</v>
      </c>
      <c r="C272" s="42" t="str">
        <f>IFERROR(__xludf.DUMMYFUNCTION("""COMPUTED_VALUE"""),"Online")</f>
        <v>Online</v>
      </c>
      <c r="D272" s="42" t="str">
        <f>IFERROR(__xludf.DUMMYFUNCTION("""COMPUTED_VALUE"""),"Fullstack Web Developer")</f>
        <v>Fullstack Web Developer</v>
      </c>
      <c r="E272" s="42">
        <f>IFERROR(__xludf.DUMMYFUNCTION("""COMPUTED_VALUE"""),3.0)</f>
        <v>3</v>
      </c>
      <c r="F272" s="42">
        <f>IFERROR(__xludf.DUMMYFUNCTION("""COMPUTED_VALUE"""),1.0)</f>
        <v>1</v>
      </c>
      <c r="G272" s="42" t="str">
        <f>IFERROR(__xludf.DUMMYFUNCTION("""COMPUTED_VALUE"""),"ARKWH1")</f>
        <v>ARKWH1</v>
      </c>
      <c r="H272" s="42"/>
      <c r="I272" s="46" t="str">
        <f>IFERROR(__xludf.DUMMYFUNCTION("""COMPUTED_VALUE"""),"https://repl.it/join/zjqwxyjx-dimasprayoga")</f>
        <v>https://repl.it/join/zjqwxyjx-dimasprayoga</v>
      </c>
      <c r="J272" s="46" t="str">
        <f>IFERROR(__xludf.DUMMYFUNCTION("""COMPUTED_VALUE"""),"https://drive.google.com/file/d/1GDacO4nVb0R1kXdqDObAStc7_PUVgsRR/view?usp=sharing")</f>
        <v>https://drive.google.com/file/d/1GDacO4nVb0R1kXdqDObAStc7_PUVgsRR/view?usp=sharing</v>
      </c>
      <c r="K272" s="46" t="str">
        <f>IFERROR(__xludf.DUMMYFUNCTION("""COMPUTED_VALUE"""),"https://drive.google.com/open?id=1REDX4HTpvpgIhPFN6Ng4g9_2QD0hrLnv")</f>
        <v>https://drive.google.com/open?id=1REDX4HTpvpgIhPFN6Ng4g9_2QD0hrLnv</v>
      </c>
      <c r="L272" s="42">
        <f>IFERROR(__xludf.DUMMYFUNCTION("""COMPUTED_VALUE"""),1.75)</f>
        <v>1.75</v>
      </c>
      <c r="M272" s="42" t="str">
        <f>IFERROR(__xludf.DUMMYFUNCTION("""COMPUTED_VALUE"""),"good, untuk akhir proses flowchart bsa ditambahkan end ya")</f>
        <v>good, untuk akhir proses flowchart bsa ditambahkan end ya</v>
      </c>
    </row>
    <row r="273">
      <c r="A273" s="43">
        <f>IFERROR(__xludf.DUMMYFUNCTION("""COMPUTED_VALUE"""),44097.47875097222)</f>
        <v>44097.47875</v>
      </c>
      <c r="B273" s="42" t="str">
        <f>IFERROR(__xludf.DUMMYFUNCTION("""COMPUTED_VALUE"""),"Muhammad Nur Hidayat")</f>
        <v>Muhammad Nur Hidayat</v>
      </c>
      <c r="C273" s="42" t="str">
        <f>IFERROR(__xludf.DUMMYFUNCTION("""COMPUTED_VALUE"""),"Online")</f>
        <v>Online</v>
      </c>
      <c r="D273" s="42" t="str">
        <f>IFERROR(__xludf.DUMMYFUNCTION("""COMPUTED_VALUE"""),"Fullstack Web Developer")</f>
        <v>Fullstack Web Developer</v>
      </c>
      <c r="E273" s="42">
        <f>IFERROR(__xludf.DUMMYFUNCTION("""COMPUTED_VALUE"""),3.0)</f>
        <v>3</v>
      </c>
      <c r="F273" s="42">
        <f>IFERROR(__xludf.DUMMYFUNCTION("""COMPUTED_VALUE"""),1.0)</f>
        <v>1</v>
      </c>
      <c r="G273" s="42" t="str">
        <f>IFERROR(__xludf.DUMMYFUNCTION("""COMPUTED_VALUE"""),"ARKWH1")</f>
        <v>ARKWH1</v>
      </c>
      <c r="H273" s="42"/>
      <c r="I273" s="46" t="str">
        <f>IFERROR(__xludf.DUMMYFUNCTION("""COMPUTED_VALUE"""),"https://repl.it/@nurhiday/quiz3")</f>
        <v>https://repl.it/@nurhiday/quiz3</v>
      </c>
      <c r="J273" s="46" t="str">
        <f>IFERROR(__xludf.DUMMYFUNCTION("""COMPUTED_VALUE"""),"https://drive.google.com/file/d/1xr7K25Z0WeYAZZ7_2m36lDRAkrcJivKz/view?usp=sharing")</f>
        <v>https://drive.google.com/file/d/1xr7K25Z0WeYAZZ7_2m36lDRAkrcJivKz/view?usp=sharing</v>
      </c>
      <c r="K273" s="46" t="str">
        <f>IFERROR(__xludf.DUMMYFUNCTION("""COMPUTED_VALUE"""),"https://drive.google.com/open?id=11Uj0p_1hFfcxIbAwlzp_FZdaF78blx5m")</f>
        <v>https://drive.google.com/open?id=11Uj0p_1hFfcxIbAwlzp_FZdaF78blx5m</v>
      </c>
      <c r="L273" s="42">
        <f>IFERROR(__xludf.DUMMYFUNCTION("""COMPUTED_VALUE"""),2.0)</f>
        <v>2</v>
      </c>
      <c r="M273" s="42" t="str">
        <f>IFERROR(__xludf.DUMMYFUNCTION("""COMPUTED_VALUE"""),"good")</f>
        <v>good</v>
      </c>
    </row>
    <row r="274">
      <c r="A274" s="43">
        <f>IFERROR(__xludf.DUMMYFUNCTION("""COMPUTED_VALUE"""),44098.48115489584)</f>
        <v>44098.48115</v>
      </c>
      <c r="B274" s="42" t="str">
        <f>IFERROR(__xludf.DUMMYFUNCTION("""COMPUTED_VALUE"""),"Taufiq Widi Nugroho")</f>
        <v>Taufiq Widi Nugroho</v>
      </c>
      <c r="C274" s="42" t="str">
        <f>IFERROR(__xludf.DUMMYFUNCTION("""COMPUTED_VALUE"""),"Online")</f>
        <v>Online</v>
      </c>
      <c r="D274" s="42" t="str">
        <f>IFERROR(__xludf.DUMMYFUNCTION("""COMPUTED_VALUE"""),"Fullstack Mobile Developer")</f>
        <v>Fullstack Mobile Developer</v>
      </c>
      <c r="E274" s="42">
        <f>IFERROR(__xludf.DUMMYFUNCTION("""COMPUTED_VALUE"""),17.0)</f>
        <v>17</v>
      </c>
      <c r="F274" s="42">
        <f>IFERROR(__xludf.DUMMYFUNCTION("""COMPUTED_VALUE"""),1.0)</f>
        <v>1</v>
      </c>
      <c r="G274" s="42" t="str">
        <f>IFERROR(__xludf.DUMMYFUNCTION("""COMPUTED_VALUE"""),"ARKWH10")</f>
        <v>ARKWH10</v>
      </c>
      <c r="H274" s="42"/>
      <c r="I274" s="46" t="str">
        <f>IFERROR(__xludf.DUMMYFUNCTION("""COMPUTED_VALUE"""),"https://playcode.io/677895/")</f>
        <v>https://playcode.io/677895/</v>
      </c>
      <c r="J274" s="42"/>
      <c r="K274" s="42"/>
      <c r="L274" s="42">
        <f>IFERROR(__xludf.DUMMYFUNCTION("""COMPUTED_VALUE"""),1.0)</f>
        <v>1</v>
      </c>
      <c r="M274" s="42" t="str">
        <f>IFERROR(__xludf.DUMMYFUNCTION("""COMPUTED_VALUE"""),"hasil kurang tepat")</f>
        <v>hasil kurang tepat</v>
      </c>
    </row>
    <row r="275">
      <c r="A275" s="43">
        <f>IFERROR(__xludf.DUMMYFUNCTION("""COMPUTED_VALUE"""),44098.4817346412)</f>
        <v>44098.48173</v>
      </c>
      <c r="B275" s="42" t="str">
        <f>IFERROR(__xludf.DUMMYFUNCTION("""COMPUTED_VALUE"""),"Ahmad Zaky")</f>
        <v>Ahmad Zaky</v>
      </c>
      <c r="C275" s="42" t="str">
        <f>IFERROR(__xludf.DUMMYFUNCTION("""COMPUTED_VALUE"""),"Online")</f>
        <v>Online</v>
      </c>
      <c r="D275" s="42" t="str">
        <f>IFERROR(__xludf.DUMMYFUNCTION("""COMPUTED_VALUE"""),"Fullstack Mobile Developer")</f>
        <v>Fullstack Mobile Developer</v>
      </c>
      <c r="E275" s="42">
        <f>IFERROR(__xludf.DUMMYFUNCTION("""COMPUTED_VALUE"""),17.0)</f>
        <v>17</v>
      </c>
      <c r="F275" s="42">
        <f>IFERROR(__xludf.DUMMYFUNCTION("""COMPUTED_VALUE"""),1.0)</f>
        <v>1</v>
      </c>
      <c r="G275" s="42" t="str">
        <f>IFERROR(__xludf.DUMMYFUNCTION("""COMPUTED_VALUE"""),"ARKWH10")</f>
        <v>ARKWH10</v>
      </c>
      <c r="H275" s="42"/>
      <c r="I275" s="46" t="str">
        <f>IFERROR(__xludf.DUMMYFUNCTION("""COMPUTED_VALUE"""),"http://playcode.io/677893/")</f>
        <v>http://playcode.io/677893/</v>
      </c>
      <c r="J275" s="42"/>
      <c r="K275" s="42"/>
      <c r="L275" s="42">
        <f>IFERROR(__xludf.DUMMYFUNCTION("""COMPUTED_VALUE"""),2.0)</f>
        <v>2</v>
      </c>
      <c r="M275" s="42"/>
    </row>
    <row r="276">
      <c r="A276" s="43">
        <f>IFERROR(__xludf.DUMMYFUNCTION("""COMPUTED_VALUE"""),44098.481915324075)</f>
        <v>44098.48192</v>
      </c>
      <c r="B276" s="42" t="str">
        <f>IFERROR(__xludf.DUMMYFUNCTION("""COMPUTED_VALUE"""),"Ghana Widya Afani")</f>
        <v>Ghana Widya Afani</v>
      </c>
      <c r="C276" s="42" t="str">
        <f>IFERROR(__xludf.DUMMYFUNCTION("""COMPUTED_VALUE"""),"Online")</f>
        <v>Online</v>
      </c>
      <c r="D276" s="42" t="str">
        <f>IFERROR(__xludf.DUMMYFUNCTION("""COMPUTED_VALUE"""),"Fullstack Mobile Developer")</f>
        <v>Fullstack Mobile Developer</v>
      </c>
      <c r="E276" s="42">
        <f>IFERROR(__xludf.DUMMYFUNCTION("""COMPUTED_VALUE"""),17.0)</f>
        <v>17</v>
      </c>
      <c r="F276" s="42">
        <f>IFERROR(__xludf.DUMMYFUNCTION("""COMPUTED_VALUE"""),1.0)</f>
        <v>1</v>
      </c>
      <c r="G276" s="42" t="str">
        <f>IFERROR(__xludf.DUMMYFUNCTION("""COMPUTED_VALUE"""),"ARKWH10")</f>
        <v>ARKWH10</v>
      </c>
      <c r="H276" s="42"/>
      <c r="I276" s="46" t="str">
        <f>IFERROR(__xludf.DUMMYFUNCTION("""COMPUTED_VALUE"""),"https://playcode.io/677879/")</f>
        <v>https://playcode.io/677879/</v>
      </c>
      <c r="J276" s="42"/>
      <c r="K276" s="42"/>
      <c r="L276" s="42">
        <f>IFERROR(__xludf.DUMMYFUNCTION("""COMPUTED_VALUE"""),0.5)</f>
        <v>0.5</v>
      </c>
      <c r="M276" s="42" t="str">
        <f>IFERROR(__xludf.DUMMYFUNCTION("""COMPUTED_VALUE"""),"hasil tidak tepat, belum ada space diantara bintang")</f>
        <v>hasil tidak tepat, belum ada space diantara bintang</v>
      </c>
    </row>
    <row r="277">
      <c r="A277" s="43">
        <f>IFERROR(__xludf.DUMMYFUNCTION("""COMPUTED_VALUE"""),44098.483365277774)</f>
        <v>44098.48337</v>
      </c>
      <c r="B277" s="42" t="str">
        <f>IFERROR(__xludf.DUMMYFUNCTION("""COMPUTED_VALUE"""),"Nawirudin")</f>
        <v>Nawirudin</v>
      </c>
      <c r="C277" s="42" t="str">
        <f>IFERROR(__xludf.DUMMYFUNCTION("""COMPUTED_VALUE"""),"Online")</f>
        <v>Online</v>
      </c>
      <c r="D277" s="42" t="str">
        <f>IFERROR(__xludf.DUMMYFUNCTION("""COMPUTED_VALUE"""),"Fullstack Mobile Developer")</f>
        <v>Fullstack Mobile Developer</v>
      </c>
      <c r="E277" s="42">
        <f>IFERROR(__xludf.DUMMYFUNCTION("""COMPUTED_VALUE"""),17.0)</f>
        <v>17</v>
      </c>
      <c r="F277" s="42">
        <f>IFERROR(__xludf.DUMMYFUNCTION("""COMPUTED_VALUE"""),1.0)</f>
        <v>1</v>
      </c>
      <c r="G277" s="42" t="str">
        <f>IFERROR(__xludf.DUMMYFUNCTION("""COMPUTED_VALUE"""),"ARKWH10")</f>
        <v>ARKWH10</v>
      </c>
      <c r="H277" s="42"/>
      <c r="I277" s="42"/>
      <c r="J277" s="46" t="str">
        <f>IFERROR(__xludf.DUMMYFUNCTION("""COMPUTED_VALUE"""),"https://playcode.io/677877")</f>
        <v>https://playcode.io/677877</v>
      </c>
      <c r="K277" s="42"/>
      <c r="L277" s="42">
        <f>IFERROR(__xludf.DUMMYFUNCTION("""COMPUTED_VALUE"""),0.0)</f>
        <v>0</v>
      </c>
      <c r="M277" s="42" t="str">
        <f>IFERROR(__xludf.DUMMYFUNCTION("""COMPUTED_VALUE"""),"hasil error")</f>
        <v>hasil error</v>
      </c>
    </row>
    <row r="278">
      <c r="A278" s="43">
        <f>IFERROR(__xludf.DUMMYFUNCTION("""COMPUTED_VALUE"""),44098.48348736111)</f>
        <v>44098.48349</v>
      </c>
      <c r="B278" s="42" t="str">
        <f>IFERROR(__xludf.DUMMYFUNCTION("""COMPUTED_VALUE"""),"Faiz Sulistyawan")</f>
        <v>Faiz Sulistyawan</v>
      </c>
      <c r="C278" s="42" t="str">
        <f>IFERROR(__xludf.DUMMYFUNCTION("""COMPUTED_VALUE"""),"Online")</f>
        <v>Online</v>
      </c>
      <c r="D278" s="42" t="str">
        <f>IFERROR(__xludf.DUMMYFUNCTION("""COMPUTED_VALUE"""),"Fullstack Mobile Developer")</f>
        <v>Fullstack Mobile Developer</v>
      </c>
      <c r="E278" s="42">
        <f>IFERROR(__xludf.DUMMYFUNCTION("""COMPUTED_VALUE"""),17.0)</f>
        <v>17</v>
      </c>
      <c r="F278" s="42">
        <f>IFERROR(__xludf.DUMMYFUNCTION("""COMPUTED_VALUE"""),1.0)</f>
        <v>1</v>
      </c>
      <c r="G278" s="42" t="str">
        <f>IFERROR(__xludf.DUMMYFUNCTION("""COMPUTED_VALUE"""),"ARKWH10")</f>
        <v>ARKWH10</v>
      </c>
      <c r="H278" s="42"/>
      <c r="I278" s="46" t="str">
        <f>IFERROR(__xludf.DUMMYFUNCTION("""COMPUTED_VALUE"""),"https://playcode.io/677872/")</f>
        <v>https://playcode.io/677872/</v>
      </c>
      <c r="J278" s="42"/>
      <c r="K278" s="42"/>
      <c r="L278" s="42">
        <f>IFERROR(__xludf.DUMMYFUNCTION("""COMPUTED_VALUE"""),0.0)</f>
        <v>0</v>
      </c>
      <c r="M278" s="42" t="str">
        <f>IFERROR(__xludf.DUMMYFUNCTION("""COMPUTED_VALUE"""),"hasil berasal dari console.log")</f>
        <v>hasil berasal dari console.log</v>
      </c>
    </row>
    <row r="279">
      <c r="A279" s="43">
        <f>IFERROR(__xludf.DUMMYFUNCTION("""COMPUTED_VALUE"""),44098.483826550924)</f>
        <v>44098.48383</v>
      </c>
      <c r="B279" s="42" t="str">
        <f>IFERROR(__xludf.DUMMYFUNCTION("""COMPUTED_VALUE"""),"yusup junaedi")</f>
        <v>yusup junaedi</v>
      </c>
      <c r="C279" s="42" t="str">
        <f>IFERROR(__xludf.DUMMYFUNCTION("""COMPUTED_VALUE"""),"Online")</f>
        <v>Online</v>
      </c>
      <c r="D279" s="42" t="str">
        <f>IFERROR(__xludf.DUMMYFUNCTION("""COMPUTED_VALUE"""),"Fullstack Mobile Developer")</f>
        <v>Fullstack Mobile Developer</v>
      </c>
      <c r="E279" s="42">
        <f>IFERROR(__xludf.DUMMYFUNCTION("""COMPUTED_VALUE"""),17.0)</f>
        <v>17</v>
      </c>
      <c r="F279" s="42">
        <f>IFERROR(__xludf.DUMMYFUNCTION("""COMPUTED_VALUE"""),1.0)</f>
        <v>1</v>
      </c>
      <c r="G279" s="42" t="str">
        <f>IFERROR(__xludf.DUMMYFUNCTION("""COMPUTED_VALUE"""),"ARKWH10")</f>
        <v>ARKWH10</v>
      </c>
      <c r="H279" s="42"/>
      <c r="I279" s="46" t="str">
        <f>IFERROR(__xludf.DUMMYFUNCTION("""COMPUTED_VALUE"""),"https://repl.it/join/hzorxeen-yusupjunaedi")</f>
        <v>https://repl.it/join/hzorxeen-yusupjunaedi</v>
      </c>
      <c r="J279" s="42"/>
      <c r="K279" s="42"/>
      <c r="L279" s="42">
        <f>IFERROR(__xludf.DUMMYFUNCTION("""COMPUTED_VALUE"""),2.0)</f>
        <v>2</v>
      </c>
      <c r="M279" s="42"/>
    </row>
    <row r="280">
      <c r="A280" s="43">
        <f>IFERROR(__xludf.DUMMYFUNCTION("""COMPUTED_VALUE"""),44098.48421303241)</f>
        <v>44098.48421</v>
      </c>
      <c r="B280" s="42" t="str">
        <f>IFERROR(__xludf.DUMMYFUNCTION("""COMPUTED_VALUE"""),"Gusti Amelia")</f>
        <v>Gusti Amelia</v>
      </c>
      <c r="C280" s="42" t="str">
        <f>IFERROR(__xludf.DUMMYFUNCTION("""COMPUTED_VALUE"""),"Online")</f>
        <v>Online</v>
      </c>
      <c r="D280" s="42" t="str">
        <f>IFERROR(__xludf.DUMMYFUNCTION("""COMPUTED_VALUE"""),"Fullstack Mobile Developer")</f>
        <v>Fullstack Mobile Developer</v>
      </c>
      <c r="E280" s="42">
        <f>IFERROR(__xludf.DUMMYFUNCTION("""COMPUTED_VALUE"""),17.0)</f>
        <v>17</v>
      </c>
      <c r="F280" s="42">
        <f>IFERROR(__xludf.DUMMYFUNCTION("""COMPUTED_VALUE"""),1.0)</f>
        <v>1</v>
      </c>
      <c r="G280" s="42" t="str">
        <f>IFERROR(__xludf.DUMMYFUNCTION("""COMPUTED_VALUE"""),"ARKWH10")</f>
        <v>ARKWH10</v>
      </c>
      <c r="H280" s="42"/>
      <c r="I280" s="46" t="str">
        <f>IFERROR(__xludf.DUMMYFUNCTION("""COMPUTED_VALUE"""),"https://repl.it/@GustiAmelia/quiz-10")</f>
        <v>https://repl.it/@GustiAmelia/quiz-10</v>
      </c>
      <c r="J280" s="42"/>
      <c r="K280" s="42"/>
      <c r="L280" s="42">
        <f>IFERROR(__xludf.DUMMYFUNCTION("""COMPUTED_VALUE"""),1.0)</f>
        <v>1</v>
      </c>
      <c r="M280" s="42" t="str">
        <f>IFERROR(__xludf.DUMMYFUNCTION("""COMPUTED_VALUE"""),"hasil kurang tepat, belum ada space diantara bintang")</f>
        <v>hasil kurang tepat, belum ada space diantara bintang</v>
      </c>
    </row>
    <row r="281">
      <c r="A281" s="43">
        <f>IFERROR(__xludf.DUMMYFUNCTION("""COMPUTED_VALUE"""),44098.485303194444)</f>
        <v>44098.4853</v>
      </c>
      <c r="B281" s="42" t="str">
        <f>IFERROR(__xludf.DUMMYFUNCTION("""COMPUTED_VALUE"""),"wildan dhya ulhaq hidayat")</f>
        <v>wildan dhya ulhaq hidayat</v>
      </c>
      <c r="C281" s="42" t="str">
        <f>IFERROR(__xludf.DUMMYFUNCTION("""COMPUTED_VALUE"""),"Online")</f>
        <v>Online</v>
      </c>
      <c r="D281" s="42" t="str">
        <f>IFERROR(__xludf.DUMMYFUNCTION("""COMPUTED_VALUE"""),"Fullstack Mobile Developer")</f>
        <v>Fullstack Mobile Developer</v>
      </c>
      <c r="E281" s="42">
        <f>IFERROR(__xludf.DUMMYFUNCTION("""COMPUTED_VALUE"""),17.0)</f>
        <v>17</v>
      </c>
      <c r="F281" s="42">
        <f>IFERROR(__xludf.DUMMYFUNCTION("""COMPUTED_VALUE"""),1.0)</f>
        <v>1</v>
      </c>
      <c r="G281" s="42" t="str">
        <f>IFERROR(__xludf.DUMMYFUNCTION("""COMPUTED_VALUE"""),"ARKWH10")</f>
        <v>ARKWH10</v>
      </c>
      <c r="H281" s="42"/>
      <c r="I281" s="46" t="str">
        <f>IFERROR(__xludf.DUMMYFUNCTION("""COMPUTED_VALUE"""),"https://playcode.io/677897")</f>
        <v>https://playcode.io/677897</v>
      </c>
      <c r="J281" s="42"/>
      <c r="K281" s="42"/>
      <c r="L281" s="42">
        <f>IFERROR(__xludf.DUMMYFUNCTION("""COMPUTED_VALUE"""),2.0)</f>
        <v>2</v>
      </c>
      <c r="M281" s="42"/>
    </row>
    <row r="282">
      <c r="A282" s="43">
        <f>IFERROR(__xludf.DUMMYFUNCTION("""COMPUTED_VALUE"""),44098.6775256713)</f>
        <v>44098.67753</v>
      </c>
      <c r="B282" s="42" t="str">
        <f>IFERROR(__xludf.DUMMYFUNCTION("""COMPUTED_VALUE"""),"Solehudin")</f>
        <v>Solehudin</v>
      </c>
      <c r="C282" s="42" t="str">
        <f>IFERROR(__xludf.DUMMYFUNCTION("""COMPUTED_VALUE"""),"Online")</f>
        <v>Online</v>
      </c>
      <c r="D282" s="42" t="str">
        <f>IFERROR(__xludf.DUMMYFUNCTION("""COMPUTED_VALUE"""),"Fullstack Mobile Developer")</f>
        <v>Fullstack Mobile Developer</v>
      </c>
      <c r="E282" s="42">
        <f>IFERROR(__xludf.DUMMYFUNCTION("""COMPUTED_VALUE"""),17.0)</f>
        <v>17</v>
      </c>
      <c r="F282" s="42">
        <f>IFERROR(__xludf.DUMMYFUNCTION("""COMPUTED_VALUE"""),1.0)</f>
        <v>1</v>
      </c>
      <c r="G282" s="42" t="str">
        <f>IFERROR(__xludf.DUMMYFUNCTION("""COMPUTED_VALUE"""),"ARKWH10")</f>
        <v>ARKWH10</v>
      </c>
      <c r="H282" s="42"/>
      <c r="I282" s="46" t="str">
        <f>IFERROR(__xludf.DUMMYFUNCTION("""COMPUTED_VALUE"""),"https://playcode.io/677888/")</f>
        <v>https://playcode.io/677888/</v>
      </c>
      <c r="J282" s="42"/>
      <c r="K282" s="42"/>
      <c r="L282" s="42">
        <f>IFERROR(__xludf.DUMMYFUNCTION("""COMPUTED_VALUE"""),2.0)</f>
        <v>2</v>
      </c>
      <c r="M282" s="42"/>
    </row>
    <row r="283">
      <c r="A283" s="43">
        <f>IFERROR(__xludf.DUMMYFUNCTION("""COMPUTED_VALUE"""),44099.61746868056)</f>
        <v>44099.61747</v>
      </c>
      <c r="B283" s="42" t="str">
        <f>IFERROR(__xludf.DUMMYFUNCTION("""COMPUTED_VALUE"""),"Ahmad Asrofi")</f>
        <v>Ahmad Asrofi</v>
      </c>
      <c r="C283" s="42" t="str">
        <f>IFERROR(__xludf.DUMMYFUNCTION("""COMPUTED_VALUE"""),"Online")</f>
        <v>Online</v>
      </c>
      <c r="D283" s="42" t="str">
        <f>IFERROR(__xludf.DUMMYFUNCTION("""COMPUTED_VALUE"""),"Fullstack Mobile Developer")</f>
        <v>Fullstack Mobile Developer</v>
      </c>
      <c r="E283" s="42">
        <f>IFERROR(__xludf.DUMMYFUNCTION("""COMPUTED_VALUE"""),17.0)</f>
        <v>17</v>
      </c>
      <c r="F283" s="42">
        <f>IFERROR(__xludf.DUMMYFUNCTION("""COMPUTED_VALUE"""),2.0)</f>
        <v>2</v>
      </c>
      <c r="G283" s="42" t="str">
        <f>IFERROR(__xludf.DUMMYFUNCTION("""COMPUTED_VALUE"""),"ARKWH1")</f>
        <v>ARKWH1</v>
      </c>
      <c r="H283" s="42"/>
      <c r="I283" s="46" t="str">
        <f>IFERROR(__xludf.DUMMYFUNCTION("""COMPUTED_VALUE"""),"https://repl.it/@asrofhy/arkFood#index.js")</f>
        <v>https://repl.it/@asrofhy/arkFood#index.js</v>
      </c>
      <c r="J283" s="46" t="str">
        <f>IFERROR(__xludf.DUMMYFUNCTION("""COMPUTED_VALUE"""),"https://drive.google.com/drive/folders/1e7jzL5HQHqFNeY927pHF0-Cqwdaz55FF?usp=sharing")</f>
        <v>https://drive.google.com/drive/folders/1e7jzL5HQHqFNeY927pHF0-Cqwdaz55FF?usp=sharing</v>
      </c>
      <c r="K283" s="42"/>
      <c r="L283" s="42"/>
      <c r="M283" s="42"/>
    </row>
    <row r="284">
      <c r="A284" s="43">
        <f>IFERROR(__xludf.DUMMYFUNCTION("""COMPUTED_VALUE"""),44099.617476168976)</f>
        <v>44099.61748</v>
      </c>
      <c r="B284" s="42" t="str">
        <f>IFERROR(__xludf.DUMMYFUNCTION("""COMPUTED_VALUE"""),"Muhammad Abdurasyid")</f>
        <v>Muhammad Abdurasyid</v>
      </c>
      <c r="C284" s="42" t="str">
        <f>IFERROR(__xludf.DUMMYFUNCTION("""COMPUTED_VALUE"""),"Online")</f>
        <v>Online</v>
      </c>
      <c r="D284" s="42" t="str">
        <f>IFERROR(__xludf.DUMMYFUNCTION("""COMPUTED_VALUE"""),"Fullstack Mobile Developer")</f>
        <v>Fullstack Mobile Developer</v>
      </c>
      <c r="E284" s="42">
        <f>IFERROR(__xludf.DUMMYFUNCTION("""COMPUTED_VALUE"""),17.0)</f>
        <v>17</v>
      </c>
      <c r="F284" s="42">
        <f>IFERROR(__xludf.DUMMYFUNCTION("""COMPUTED_VALUE"""),2.0)</f>
        <v>2</v>
      </c>
      <c r="G284" s="42" t="str">
        <f>IFERROR(__xludf.DUMMYFUNCTION("""COMPUTED_VALUE"""),"ARKWH1")</f>
        <v>ARKWH1</v>
      </c>
      <c r="H284" s="42"/>
      <c r="I284" s="46" t="str">
        <f>IFERROR(__xludf.DUMMYFUNCTION("""COMPUTED_VALUE"""),"https://repl.it/@mhdabdurasyid/Quiz")</f>
        <v>https://repl.it/@mhdabdurasyid/Quiz</v>
      </c>
      <c r="J284" s="46" t="str">
        <f>IFERROR(__xludf.DUMMYFUNCTION("""COMPUTED_VALUE"""),"https://drive.google.com/file/d/1XJbCtk_ru2TVSdRkayGYIiavu273_08q/view?usp=sharing")</f>
        <v>https://drive.google.com/file/d/1XJbCtk_ru2TVSdRkayGYIiavu273_08q/view?usp=sharing</v>
      </c>
      <c r="K284" s="42"/>
      <c r="L284" s="42"/>
      <c r="M284" s="42"/>
    </row>
    <row r="285">
      <c r="A285" s="43">
        <f>IFERROR(__xludf.DUMMYFUNCTION("""COMPUTED_VALUE"""),44099.617805243055)</f>
        <v>44099.61781</v>
      </c>
      <c r="B285" s="42" t="str">
        <f>IFERROR(__xludf.DUMMYFUNCTION("""COMPUTED_VALUE"""),"M Faris Alkodri")</f>
        <v>M Faris Alkodri</v>
      </c>
      <c r="C285" s="42" t="str">
        <f>IFERROR(__xludf.DUMMYFUNCTION("""COMPUTED_VALUE"""),"Online")</f>
        <v>Online</v>
      </c>
      <c r="D285" s="42" t="str">
        <f>IFERROR(__xludf.DUMMYFUNCTION("""COMPUTED_VALUE"""),"Fullstack Mobile Developer")</f>
        <v>Fullstack Mobile Developer</v>
      </c>
      <c r="E285" s="42">
        <f>IFERROR(__xludf.DUMMYFUNCTION("""COMPUTED_VALUE"""),17.0)</f>
        <v>17</v>
      </c>
      <c r="F285" s="42">
        <f>IFERROR(__xludf.DUMMYFUNCTION("""COMPUTED_VALUE"""),2.0)</f>
        <v>2</v>
      </c>
      <c r="G285" s="42" t="str">
        <f>IFERROR(__xludf.DUMMYFUNCTION("""COMPUTED_VALUE"""),"ARKWH1")</f>
        <v>ARKWH1</v>
      </c>
      <c r="H285" s="42"/>
      <c r="I285" s="46" t="str">
        <f>IFERROR(__xludf.DUMMYFUNCTION("""COMPUTED_VALUE"""),"https://repl.it/join/krcxvfbi-alkodrimuhfaris")</f>
        <v>https://repl.it/join/krcxvfbi-alkodrimuhfaris</v>
      </c>
      <c r="J285" s="46" t="str">
        <f>IFERROR(__xludf.DUMMYFUNCTION("""COMPUTED_VALUE"""),"https://drive.google.com/file/d/1HWKr43t1blj8vI83d3U5oLCLgACB6cr5/view?usp=sharing")</f>
        <v>https://drive.google.com/file/d/1HWKr43t1blj8vI83d3U5oLCLgACB6cr5/view?usp=sharing</v>
      </c>
      <c r="K285" s="42"/>
      <c r="L285" s="42"/>
      <c r="M285" s="42"/>
    </row>
    <row r="286">
      <c r="A286" s="43">
        <f>IFERROR(__xludf.DUMMYFUNCTION("""COMPUTED_VALUE"""),44099.61805975695)</f>
        <v>44099.61806</v>
      </c>
      <c r="B286" s="42" t="str">
        <f>IFERROR(__xludf.DUMMYFUNCTION("""COMPUTED_VALUE"""),"Furoidah Chilmi")</f>
        <v>Furoidah Chilmi</v>
      </c>
      <c r="C286" s="42" t="str">
        <f>IFERROR(__xludf.DUMMYFUNCTION("""COMPUTED_VALUE"""),"Online")</f>
        <v>Online</v>
      </c>
      <c r="D286" s="42" t="str">
        <f>IFERROR(__xludf.DUMMYFUNCTION("""COMPUTED_VALUE"""),"Fullstack Mobile Developer")</f>
        <v>Fullstack Mobile Developer</v>
      </c>
      <c r="E286" s="42">
        <f>IFERROR(__xludf.DUMMYFUNCTION("""COMPUTED_VALUE"""),17.0)</f>
        <v>17</v>
      </c>
      <c r="F286" s="42">
        <f>IFERROR(__xludf.DUMMYFUNCTION("""COMPUTED_VALUE"""),2.0)</f>
        <v>2</v>
      </c>
      <c r="G286" s="42" t="str">
        <f>IFERROR(__xludf.DUMMYFUNCTION("""COMPUTED_VALUE"""),"ARKWH1")</f>
        <v>ARKWH1</v>
      </c>
      <c r="H286" s="42"/>
      <c r="I286" s="46" t="str">
        <f>IFERROR(__xludf.DUMMYFUNCTION("""COMPUTED_VALUE"""),"https://repl.it/@fchilmi/quiz#script.js")</f>
        <v>https://repl.it/@fchilmi/quiz#script.js</v>
      </c>
      <c r="J286" s="46" t="str">
        <f>IFERROR(__xludf.DUMMYFUNCTION("""COMPUTED_VALUE"""),"https://app.diagrams.net/#Hf-chilmi%2Fexpress-backend%2Fmaster%2Fflowchart%2FarkFood%20flowchard.png")</f>
        <v>https://app.diagrams.net/#Hf-chilmi%2Fexpress-backend%2Fmaster%2Fflowchart%2FarkFood%20flowchard.png</v>
      </c>
      <c r="K286" s="42"/>
      <c r="L286" s="42"/>
      <c r="M286" s="42"/>
    </row>
    <row r="287">
      <c r="A287" s="43">
        <f>IFERROR(__xludf.DUMMYFUNCTION("""COMPUTED_VALUE"""),44099.6185355787)</f>
        <v>44099.61854</v>
      </c>
      <c r="B287" s="42" t="str">
        <f>IFERROR(__xludf.DUMMYFUNCTION("""COMPUTED_VALUE"""),"A. Fatkhul Amam")</f>
        <v>A. Fatkhul Amam</v>
      </c>
      <c r="C287" s="42" t="str">
        <f>IFERROR(__xludf.DUMMYFUNCTION("""COMPUTED_VALUE"""),"Online")</f>
        <v>Online</v>
      </c>
      <c r="D287" s="42" t="str">
        <f>IFERROR(__xludf.DUMMYFUNCTION("""COMPUTED_VALUE"""),"Fullstack Mobile Developer")</f>
        <v>Fullstack Mobile Developer</v>
      </c>
      <c r="E287" s="42">
        <f>IFERROR(__xludf.DUMMYFUNCTION("""COMPUTED_VALUE"""),17.0)</f>
        <v>17</v>
      </c>
      <c r="F287" s="42">
        <f>IFERROR(__xludf.DUMMYFUNCTION("""COMPUTED_VALUE"""),2.0)</f>
        <v>2</v>
      </c>
      <c r="G287" s="42" t="str">
        <f>IFERROR(__xludf.DUMMYFUNCTION("""COMPUTED_VALUE"""),"ARKWH1")</f>
        <v>ARKWH1</v>
      </c>
      <c r="H287" s="42"/>
      <c r="I287" s="46" t="str">
        <f>IFERROR(__xludf.DUMMYFUNCTION("""COMPUTED_VALUE"""),"https://repl.it/join/qmqgdxtt-ahmadamam")</f>
        <v>https://repl.it/join/qmqgdxtt-ahmadamam</v>
      </c>
      <c r="J287" s="46" t="str">
        <f>IFERROR(__xludf.DUMMYFUNCTION("""COMPUTED_VALUE"""),"https://drive.google.com/file/d/1PguHOjrTSE_pbXdNlFwMl8zqOPgvgWSW/view?usp=sharing")</f>
        <v>https://drive.google.com/file/d/1PguHOjrTSE_pbXdNlFwMl8zqOPgvgWSW/view?usp=sharing</v>
      </c>
      <c r="K287" s="42"/>
      <c r="L287" s="42"/>
      <c r="M287" s="42"/>
    </row>
    <row r="288">
      <c r="A288" s="43">
        <f>IFERROR(__xludf.DUMMYFUNCTION("""COMPUTED_VALUE"""),44099.618592314815)</f>
        <v>44099.61859</v>
      </c>
      <c r="B288" s="42" t="str">
        <f>IFERROR(__xludf.DUMMYFUNCTION("""COMPUTED_VALUE"""),"Pramesti Regita Cahyani")</f>
        <v>Pramesti Regita Cahyani</v>
      </c>
      <c r="C288" s="42" t="str">
        <f>IFERROR(__xludf.DUMMYFUNCTION("""COMPUTED_VALUE"""),"Online")</f>
        <v>Online</v>
      </c>
      <c r="D288" s="42" t="str">
        <f>IFERROR(__xludf.DUMMYFUNCTION("""COMPUTED_VALUE"""),"Fullstack Mobile Developer")</f>
        <v>Fullstack Mobile Developer</v>
      </c>
      <c r="E288" s="42">
        <f>IFERROR(__xludf.DUMMYFUNCTION("""COMPUTED_VALUE"""),17.0)</f>
        <v>17</v>
      </c>
      <c r="F288" s="42">
        <f>IFERROR(__xludf.DUMMYFUNCTION("""COMPUTED_VALUE"""),2.0)</f>
        <v>2</v>
      </c>
      <c r="G288" s="42" t="str">
        <f>IFERROR(__xludf.DUMMYFUNCTION("""COMPUTED_VALUE"""),"ARKWH1")</f>
        <v>ARKWH1</v>
      </c>
      <c r="H288" s="42"/>
      <c r="I288" s="46" t="str">
        <f>IFERROR(__xludf.DUMMYFUNCTION("""COMPUTED_VALUE"""),"https://repl.it/join/jhwungfv-pramestiregita")</f>
        <v>https://repl.it/join/jhwungfv-pramestiregita</v>
      </c>
      <c r="J288" s="46" t="str">
        <f>IFERROR(__xludf.DUMMYFUNCTION("""COMPUTED_VALUE"""),"https://drive.google.com/file/d/1q2QscxuQd7uv4soM80cwOeF1gpBpimf6/view?usp=sharing")</f>
        <v>https://drive.google.com/file/d/1q2QscxuQd7uv4soM80cwOeF1gpBpimf6/view?usp=sharing</v>
      </c>
      <c r="K288" s="42"/>
      <c r="L288" s="42"/>
      <c r="M288" s="42"/>
    </row>
    <row r="289">
      <c r="A289" s="43">
        <f>IFERROR(__xludf.DUMMYFUNCTION("""COMPUTED_VALUE"""),44099.61874864584)</f>
        <v>44099.61875</v>
      </c>
      <c r="B289" s="42" t="str">
        <f>IFERROR(__xludf.DUMMYFUNCTION("""COMPUTED_VALUE"""),"Fahmi Aziz Ismail")</f>
        <v>Fahmi Aziz Ismail</v>
      </c>
      <c r="C289" s="42" t="str">
        <f>IFERROR(__xludf.DUMMYFUNCTION("""COMPUTED_VALUE"""),"Online")</f>
        <v>Online</v>
      </c>
      <c r="D289" s="42" t="str">
        <f>IFERROR(__xludf.DUMMYFUNCTION("""COMPUTED_VALUE"""),"Fullstack Mobile Developer")</f>
        <v>Fullstack Mobile Developer</v>
      </c>
      <c r="E289" s="42">
        <f>IFERROR(__xludf.DUMMYFUNCTION("""COMPUTED_VALUE"""),17.0)</f>
        <v>17</v>
      </c>
      <c r="F289" s="42">
        <f>IFERROR(__xludf.DUMMYFUNCTION("""COMPUTED_VALUE"""),2.0)</f>
        <v>2</v>
      </c>
      <c r="G289" s="42" t="str">
        <f>IFERROR(__xludf.DUMMYFUNCTION("""COMPUTED_VALUE"""),"ARKWH1")</f>
        <v>ARKWH1</v>
      </c>
      <c r="H289" s="42"/>
      <c r="I289" s="46" t="str">
        <f>IFERROR(__xludf.DUMMYFUNCTION("""COMPUTED_VALUE"""),"https://repl.it/join/zvsqmahr-fahmiazis")</f>
        <v>https://repl.it/join/zvsqmahr-fahmiazis</v>
      </c>
      <c r="J289" s="46" t="str">
        <f>IFERROR(__xludf.DUMMYFUNCTION("""COMPUTED_VALUE"""),"https://drive.google.com/drive/folders/14f_ktL52ouQgf7CYUOwJiAN4BZ1IkAGZ?fbclid=IwAR1PQhAwNI_H3_nRxGa66d5c1uBZjXCKHJxU2OD2NskTxta_AMaivQfm-gs")</f>
        <v>https://drive.google.com/drive/folders/14f_ktL52ouQgf7CYUOwJiAN4BZ1IkAGZ?fbclid=IwAR1PQhAwNI_H3_nRxGa66d5c1uBZjXCKHJxU2OD2NskTxta_AMaivQfm-gs</v>
      </c>
      <c r="K289" s="42"/>
      <c r="L289" s="42"/>
      <c r="M289" s="42"/>
    </row>
    <row r="290">
      <c r="A290" s="43">
        <f>IFERROR(__xludf.DUMMYFUNCTION("""COMPUTED_VALUE"""),44099.61904608796)</f>
        <v>44099.61905</v>
      </c>
      <c r="B290" s="42" t="str">
        <f>IFERROR(__xludf.DUMMYFUNCTION("""COMPUTED_VALUE"""),"Iqbal Athorid")</f>
        <v>Iqbal Athorid</v>
      </c>
      <c r="C290" s="42" t="str">
        <f>IFERROR(__xludf.DUMMYFUNCTION("""COMPUTED_VALUE"""),"Online")</f>
        <v>Online</v>
      </c>
      <c r="D290" s="42" t="str">
        <f>IFERROR(__xludf.DUMMYFUNCTION("""COMPUTED_VALUE"""),"Fullstack Mobile Developer")</f>
        <v>Fullstack Mobile Developer</v>
      </c>
      <c r="E290" s="42">
        <f>IFERROR(__xludf.DUMMYFUNCTION("""COMPUTED_VALUE"""),17.0)</f>
        <v>17</v>
      </c>
      <c r="F290" s="42">
        <f>IFERROR(__xludf.DUMMYFUNCTION("""COMPUTED_VALUE"""),2.0)</f>
        <v>2</v>
      </c>
      <c r="G290" s="42" t="str">
        <f>IFERROR(__xludf.DUMMYFUNCTION("""COMPUTED_VALUE"""),"ARKWH1")</f>
        <v>ARKWH1</v>
      </c>
      <c r="H290" s="42"/>
      <c r="I290" s="46" t="str">
        <f>IFERROR(__xludf.DUMMYFUNCTION("""COMPUTED_VALUE"""),"https://repl.it/@IqbalAthorid/quiz1")</f>
        <v>https://repl.it/@IqbalAthorid/quiz1</v>
      </c>
      <c r="J290" s="46" t="str">
        <f>IFERROR(__xludf.DUMMYFUNCTION("""COMPUTED_VALUE"""),"https://drive.google.com/drive/folders/1VnFKu2BUx9GIyvGmnAyyPEyNfk9EbrMZ?usp=sharing")</f>
        <v>https://drive.google.com/drive/folders/1VnFKu2BUx9GIyvGmnAyyPEyNfk9EbrMZ?usp=sharing</v>
      </c>
      <c r="K290" s="42"/>
      <c r="L290" s="42"/>
      <c r="M290" s="42"/>
    </row>
    <row r="291">
      <c r="A291" s="43">
        <f>IFERROR(__xludf.DUMMYFUNCTION("""COMPUTED_VALUE"""),44099.61911329861)</f>
        <v>44099.61911</v>
      </c>
      <c r="B291" s="42" t="str">
        <f>IFERROR(__xludf.DUMMYFUNCTION("""COMPUTED_VALUE"""),"Wahyu Ramadan")</f>
        <v>Wahyu Ramadan</v>
      </c>
      <c r="C291" s="42" t="str">
        <f>IFERROR(__xludf.DUMMYFUNCTION("""COMPUTED_VALUE"""),"Online")</f>
        <v>Online</v>
      </c>
      <c r="D291" s="42" t="str">
        <f>IFERROR(__xludf.DUMMYFUNCTION("""COMPUTED_VALUE"""),"Fullstack Mobile Developer")</f>
        <v>Fullstack Mobile Developer</v>
      </c>
      <c r="E291" s="42">
        <f>IFERROR(__xludf.DUMMYFUNCTION("""COMPUTED_VALUE"""),17.0)</f>
        <v>17</v>
      </c>
      <c r="F291" s="42">
        <f>IFERROR(__xludf.DUMMYFUNCTION("""COMPUTED_VALUE"""),2.0)</f>
        <v>2</v>
      </c>
      <c r="G291" s="42" t="str">
        <f>IFERROR(__xludf.DUMMYFUNCTION("""COMPUTED_VALUE"""),"ARKWH1")</f>
        <v>ARKWH1</v>
      </c>
      <c r="H291" s="42"/>
      <c r="I291" s="46" t="str">
        <f>IFERROR(__xludf.DUMMYFUNCTION("""COMPUTED_VALUE"""),"https://repl.it/join/faaukygt-wramadan7")</f>
        <v>https://repl.it/join/faaukygt-wramadan7</v>
      </c>
      <c r="J291" s="46" t="str">
        <f>IFERROR(__xludf.DUMMYFUNCTION("""COMPUTED_VALUE"""),"https://drive.google.com/drive/folders/1ZTqDRBl3SyzNFRBgzDUdVag8wlWu5Pji?usp=sharing")</f>
        <v>https://drive.google.com/drive/folders/1ZTqDRBl3SyzNFRBgzDUdVag8wlWu5Pji?usp=sharing</v>
      </c>
      <c r="K291" s="42"/>
      <c r="L291" s="42"/>
      <c r="M291" s="42"/>
    </row>
    <row r="292">
      <c r="A292" s="43">
        <f>IFERROR(__xludf.DUMMYFUNCTION("""COMPUTED_VALUE"""),44099.61963736112)</f>
        <v>44099.61964</v>
      </c>
      <c r="B292" s="42" t="str">
        <f>IFERROR(__xludf.DUMMYFUNCTION("""COMPUTED_VALUE"""),"rezha maulana jaya")</f>
        <v>rezha maulana jaya</v>
      </c>
      <c r="C292" s="42" t="str">
        <f>IFERROR(__xludf.DUMMYFUNCTION("""COMPUTED_VALUE"""),"Online")</f>
        <v>Online</v>
      </c>
      <c r="D292" s="42" t="str">
        <f>IFERROR(__xludf.DUMMYFUNCTION("""COMPUTED_VALUE"""),"Fullstack Mobile Developer")</f>
        <v>Fullstack Mobile Developer</v>
      </c>
      <c r="E292" s="42">
        <f>IFERROR(__xludf.DUMMYFUNCTION("""COMPUTED_VALUE"""),17.0)</f>
        <v>17</v>
      </c>
      <c r="F292" s="42">
        <f>IFERROR(__xludf.DUMMYFUNCTION("""COMPUTED_VALUE"""),2.0)</f>
        <v>2</v>
      </c>
      <c r="G292" s="42" t="str">
        <f>IFERROR(__xludf.DUMMYFUNCTION("""COMPUTED_VALUE"""),"ARKWH1")</f>
        <v>ARKWH1</v>
      </c>
      <c r="H292" s="42"/>
      <c r="I292" s="46" t="str">
        <f>IFERROR(__xludf.DUMMYFUNCTION("""COMPUTED_VALUE"""),"https://repl.it/@rezhamaulana/quiz#index.js")</f>
        <v>https://repl.it/@rezhamaulana/quiz#index.js</v>
      </c>
      <c r="J292" s="46" t="str">
        <f>IFERROR(__xludf.DUMMYFUNCTION("""COMPUTED_VALUE"""),"https://drive.google.com/drive/folders/1s3u-IBBP2MP0LwlO2RZDKJshVqG6GLmO?usp=sharing")</f>
        <v>https://drive.google.com/drive/folders/1s3u-IBBP2MP0LwlO2RZDKJshVqG6GLmO?usp=sharing</v>
      </c>
      <c r="K292" s="42"/>
      <c r="L292" s="42"/>
      <c r="M292" s="42"/>
    </row>
    <row r="293">
      <c r="A293" s="43">
        <f>IFERROR(__xludf.DUMMYFUNCTION("""COMPUTED_VALUE"""),44099.62124929398)</f>
        <v>44099.62125</v>
      </c>
      <c r="B293" s="42" t="str">
        <f>IFERROR(__xludf.DUMMYFUNCTION("""COMPUTED_VALUE"""),"Muhammad")</f>
        <v>Muhammad</v>
      </c>
      <c r="C293" s="42" t="str">
        <f>IFERROR(__xludf.DUMMYFUNCTION("""COMPUTED_VALUE"""),"Online")</f>
        <v>Online</v>
      </c>
      <c r="D293" s="42" t="str">
        <f>IFERROR(__xludf.DUMMYFUNCTION("""COMPUTED_VALUE"""),"Fullstack Mobile Developer")</f>
        <v>Fullstack Mobile Developer</v>
      </c>
      <c r="E293" s="42">
        <f>IFERROR(__xludf.DUMMYFUNCTION("""COMPUTED_VALUE"""),17.0)</f>
        <v>17</v>
      </c>
      <c r="F293" s="42">
        <f>IFERROR(__xludf.DUMMYFUNCTION("""COMPUTED_VALUE"""),2.0)</f>
        <v>2</v>
      </c>
      <c r="G293" s="42" t="str">
        <f>IFERROR(__xludf.DUMMYFUNCTION("""COMPUTED_VALUE"""),"ARKWH1")</f>
        <v>ARKWH1</v>
      </c>
      <c r="H293" s="42"/>
      <c r="I293" s="46" t="str">
        <f>IFERROR(__xludf.DUMMYFUNCTION("""COMPUTED_VALUE"""),"https://repl.it/@Wazieer/quizWeekly")</f>
        <v>https://repl.it/@Wazieer/quizWeekly</v>
      </c>
      <c r="J293" s="42"/>
      <c r="K293" s="42"/>
      <c r="L293" s="42"/>
      <c r="M293" s="42"/>
    </row>
    <row r="294">
      <c r="A294" s="43">
        <f>IFERROR(__xludf.DUMMYFUNCTION("""COMPUTED_VALUE"""),44099.62303427083)</f>
        <v>44099.62303</v>
      </c>
      <c r="B294" s="42" t="str">
        <f>IFERROR(__xludf.DUMMYFUNCTION("""COMPUTED_VALUE"""),"Satrio Nugroho")</f>
        <v>Satrio Nugroho</v>
      </c>
      <c r="C294" s="42" t="str">
        <f>IFERROR(__xludf.DUMMYFUNCTION("""COMPUTED_VALUE"""),"Online")</f>
        <v>Online</v>
      </c>
      <c r="D294" s="42" t="str">
        <f>IFERROR(__xludf.DUMMYFUNCTION("""COMPUTED_VALUE"""),"Fullstack Mobile Developer")</f>
        <v>Fullstack Mobile Developer</v>
      </c>
      <c r="E294" s="42">
        <f>IFERROR(__xludf.DUMMYFUNCTION("""COMPUTED_VALUE"""),17.0)</f>
        <v>17</v>
      </c>
      <c r="F294" s="42">
        <f>IFERROR(__xludf.DUMMYFUNCTION("""COMPUTED_VALUE"""),2.0)</f>
        <v>2</v>
      </c>
      <c r="G294" s="42" t="str">
        <f>IFERROR(__xludf.DUMMYFUNCTION("""COMPUTED_VALUE"""),"ARKWH1")</f>
        <v>ARKWH1</v>
      </c>
      <c r="H294" s="42"/>
      <c r="I294" s="46" t="str">
        <f>IFERROR(__xludf.DUMMYFUNCTION("""COMPUTED_VALUE"""),"https://repl.it/@SatrioNugroho/Arkafood#index.js")</f>
        <v>https://repl.it/@SatrioNugroho/Arkafood#index.js</v>
      </c>
      <c r="J294" s="42"/>
      <c r="K294" s="42"/>
      <c r="L294" s="42"/>
      <c r="M294" s="42"/>
    </row>
    <row r="295">
      <c r="A295" s="43">
        <f>IFERROR(__xludf.DUMMYFUNCTION("""COMPUTED_VALUE"""),44099.629489432875)</f>
        <v>44099.62949</v>
      </c>
      <c r="B295" s="42" t="str">
        <f>IFERROR(__xludf.DUMMYFUNCTION("""COMPUTED_VALUE"""),"Deni Irawan Nugraha")</f>
        <v>Deni Irawan Nugraha</v>
      </c>
      <c r="C295" s="42" t="str">
        <f>IFERROR(__xludf.DUMMYFUNCTION("""COMPUTED_VALUE"""),"Online")</f>
        <v>Online</v>
      </c>
      <c r="D295" s="42" t="str">
        <f>IFERROR(__xludf.DUMMYFUNCTION("""COMPUTED_VALUE"""),"Fullstack Web Developer")</f>
        <v>Fullstack Web Developer</v>
      </c>
      <c r="E295" s="42">
        <f>IFERROR(__xludf.DUMMYFUNCTION("""COMPUTED_VALUE"""),1.0)</f>
        <v>1</v>
      </c>
      <c r="F295" s="42">
        <f>IFERROR(__xludf.DUMMYFUNCTION("""COMPUTED_VALUE"""),1.0)</f>
        <v>1</v>
      </c>
      <c r="G295" s="42" t="str">
        <f>IFERROR(__xludf.DUMMYFUNCTION("""COMPUTED_VALUE"""),"ARKWH10")</f>
        <v>ARKWH10</v>
      </c>
      <c r="H295" s="42"/>
      <c r="I295" s="46" t="str">
        <f>IFERROR(__xludf.DUMMYFUNCTION("""COMPUTED_VALUE"""),"https://repl.it/join/eoxqunyg-denycode")</f>
        <v>https://repl.it/join/eoxqunyg-denycode</v>
      </c>
      <c r="J295" s="42"/>
      <c r="K295" s="42"/>
      <c r="L295" s="42">
        <f>IFERROR(__xludf.DUMMYFUNCTION("""COMPUTED_VALUE"""),1.0)</f>
        <v>1</v>
      </c>
      <c r="M295" s="42" t="str">
        <f>IFERROR(__xludf.DUMMYFUNCTION("""COMPUTED_VALUE"""),"very good")</f>
        <v>very good</v>
      </c>
    </row>
    <row r="296">
      <c r="A296" s="43">
        <f>IFERROR(__xludf.DUMMYFUNCTION("""COMPUTED_VALUE"""),44099.636323645835)</f>
        <v>44099.63632</v>
      </c>
      <c r="B296" s="42" t="str">
        <f>IFERROR(__xludf.DUMMYFUNCTION("""COMPUTED_VALUE"""),"Cep Guna Widodo")</f>
        <v>Cep Guna Widodo</v>
      </c>
      <c r="C296" s="42" t="str">
        <f>IFERROR(__xludf.DUMMYFUNCTION("""COMPUTED_VALUE"""),"Online")</f>
        <v>Online</v>
      </c>
      <c r="D296" s="42" t="str">
        <f>IFERROR(__xludf.DUMMYFUNCTION("""COMPUTED_VALUE"""),"Fullstack Web Developer")</f>
        <v>Fullstack Web Developer</v>
      </c>
      <c r="E296" s="42">
        <f>IFERROR(__xludf.DUMMYFUNCTION("""COMPUTED_VALUE"""),2.0)</f>
        <v>2</v>
      </c>
      <c r="F296" s="42">
        <f>IFERROR(__xludf.DUMMYFUNCTION("""COMPUTED_VALUE"""),1.0)</f>
        <v>1</v>
      </c>
      <c r="G296" s="42" t="str">
        <f>IFERROR(__xludf.DUMMYFUNCTION("""COMPUTED_VALUE"""),"ARKWH10")</f>
        <v>ARKWH10</v>
      </c>
      <c r="H296" s="42"/>
      <c r="I296" s="46" t="str">
        <f>IFERROR(__xludf.DUMMYFUNCTION("""COMPUTED_VALUE"""),"https://repl.it/@cepguna/Quiz5")</f>
        <v>https://repl.it/@cepguna/Quiz5</v>
      </c>
      <c r="J296" s="42"/>
      <c r="K296" s="42"/>
      <c r="L296" s="42">
        <f>IFERROR(__xludf.DUMMYFUNCTION("""COMPUTED_VALUE"""),1.0)</f>
        <v>1</v>
      </c>
      <c r="M296" s="42" t="str">
        <f>IFERROR(__xludf.DUMMYFUNCTION("""COMPUTED_VALUE"""),"good")</f>
        <v>good</v>
      </c>
    </row>
    <row r="297">
      <c r="A297" s="43">
        <f>IFERROR(__xludf.DUMMYFUNCTION("""COMPUTED_VALUE"""),44099.63856952546)</f>
        <v>44099.63857</v>
      </c>
      <c r="B297" s="42" t="str">
        <f>IFERROR(__xludf.DUMMYFUNCTION("""COMPUTED_VALUE"""),"Ervin Nurhediyanto")</f>
        <v>Ervin Nurhediyanto</v>
      </c>
      <c r="C297" s="42" t="str">
        <f>IFERROR(__xludf.DUMMYFUNCTION("""COMPUTED_VALUE"""),"Online")</f>
        <v>Online</v>
      </c>
      <c r="D297" s="42" t="str">
        <f>IFERROR(__xludf.DUMMYFUNCTION("""COMPUTED_VALUE"""),"Fullstack Web Developer")</f>
        <v>Fullstack Web Developer</v>
      </c>
      <c r="E297" s="42">
        <f>IFERROR(__xludf.DUMMYFUNCTION("""COMPUTED_VALUE"""),2.0)</f>
        <v>2</v>
      </c>
      <c r="F297" s="42">
        <f>IFERROR(__xludf.DUMMYFUNCTION("""COMPUTED_VALUE"""),1.0)</f>
        <v>1</v>
      </c>
      <c r="G297" s="42" t="str">
        <f>IFERROR(__xludf.DUMMYFUNCTION("""COMPUTED_VALUE"""),"ARKWH10")</f>
        <v>ARKWH10</v>
      </c>
      <c r="H297" s="42"/>
      <c r="I297" s="46" t="str">
        <f>IFERROR(__xludf.DUMMYFUNCTION("""COMPUTED_VALUE"""),"https://repl.it/join/bsulbzka-coffeebreak")</f>
        <v>https://repl.it/join/bsulbzka-coffeebreak</v>
      </c>
      <c r="J297" s="42"/>
      <c r="K297" s="42"/>
      <c r="L297" s="42">
        <f>IFERROR(__xludf.DUMMYFUNCTION("""COMPUTED_VALUE"""),0.75)</f>
        <v>0.75</v>
      </c>
      <c r="M297" s="42" t="str">
        <f>IFERROR(__xludf.DUMMYFUNCTION("""COMPUTED_VALUE"""),"outputnya belum sesuai")</f>
        <v>outputnya belum sesuai</v>
      </c>
    </row>
    <row r="298">
      <c r="A298" s="43">
        <f>IFERROR(__xludf.DUMMYFUNCTION("""COMPUTED_VALUE"""),44099.64003328704)</f>
        <v>44099.64003</v>
      </c>
      <c r="B298" s="42" t="str">
        <f>IFERROR(__xludf.DUMMYFUNCTION("""COMPUTED_VALUE"""),"Andria Bakti Mahendra")</f>
        <v>Andria Bakti Mahendra</v>
      </c>
      <c r="C298" s="42" t="str">
        <f>IFERROR(__xludf.DUMMYFUNCTION("""COMPUTED_VALUE"""),"Online")</f>
        <v>Online</v>
      </c>
      <c r="D298" s="42" t="str">
        <f>IFERROR(__xludf.DUMMYFUNCTION("""COMPUTED_VALUE"""),"Fullstack Web Developer")</f>
        <v>Fullstack Web Developer</v>
      </c>
      <c r="E298" s="42">
        <f>IFERROR(__xludf.DUMMYFUNCTION("""COMPUTED_VALUE"""),2.0)</f>
        <v>2</v>
      </c>
      <c r="F298" s="42">
        <f>IFERROR(__xludf.DUMMYFUNCTION("""COMPUTED_VALUE"""),1.0)</f>
        <v>1</v>
      </c>
      <c r="G298" s="42" t="str">
        <f>IFERROR(__xludf.DUMMYFUNCTION("""COMPUTED_VALUE"""),"ARKWH10")</f>
        <v>ARKWH10</v>
      </c>
      <c r="H298" s="42"/>
      <c r="I298" s="46" t="str">
        <f>IFERROR(__xludf.DUMMYFUNCTION("""COMPUTED_VALUE"""),"https://repl.it/@Arimahen8/Quiz5#index.js")</f>
        <v>https://repl.it/@Arimahen8/Quiz5#index.js</v>
      </c>
      <c r="J298" s="42"/>
      <c r="K298" s="42"/>
      <c r="L298" s="42">
        <f>IFERROR(__xludf.DUMMYFUNCTION("""COMPUTED_VALUE"""),0.75)</f>
        <v>0.75</v>
      </c>
      <c r="M298" s="42" t="str">
        <f>IFERROR(__xludf.DUMMYFUNCTION("""COMPUTED_VALUE"""),"masih ada sedikit kesalahan")</f>
        <v>masih ada sedikit kesalahan</v>
      </c>
    </row>
    <row r="299">
      <c r="A299" s="43">
        <f>IFERROR(__xludf.DUMMYFUNCTION("""COMPUTED_VALUE"""),44099.642601134256)</f>
        <v>44099.6426</v>
      </c>
      <c r="B299" s="42" t="str">
        <f>IFERROR(__xludf.DUMMYFUNCTION("""COMPUTED_VALUE"""),"Alan Ardiyanto")</f>
        <v>Alan Ardiyanto</v>
      </c>
      <c r="C299" s="42" t="str">
        <f>IFERROR(__xludf.DUMMYFUNCTION("""COMPUTED_VALUE"""),"Online")</f>
        <v>Online</v>
      </c>
      <c r="D299" s="42" t="str">
        <f>IFERROR(__xludf.DUMMYFUNCTION("""COMPUTED_VALUE"""),"Fullstack Web Developer")</f>
        <v>Fullstack Web Developer</v>
      </c>
      <c r="E299" s="42">
        <f>IFERROR(__xludf.DUMMYFUNCTION("""COMPUTED_VALUE"""),2.0)</f>
        <v>2</v>
      </c>
      <c r="F299" s="42">
        <f>IFERROR(__xludf.DUMMYFUNCTION("""COMPUTED_VALUE"""),1.0)</f>
        <v>1</v>
      </c>
      <c r="G299" s="42" t="str">
        <f>IFERROR(__xludf.DUMMYFUNCTION("""COMPUTED_VALUE"""),"ARKWH10")</f>
        <v>ARKWH10</v>
      </c>
      <c r="H299" s="42"/>
      <c r="I299" s="46" t="str">
        <f>IFERROR(__xludf.DUMMYFUNCTION("""COMPUTED_VALUE"""),"https://repl.it/@alanard/DiamondPaternjs")</f>
        <v>https://repl.it/@alanard/DiamondPaternjs</v>
      </c>
      <c r="J299" s="42"/>
      <c r="K299" s="42"/>
      <c r="L299" s="42">
        <f>IFERROR(__xludf.DUMMYFUNCTION("""COMPUTED_VALUE"""),0.75)</f>
        <v>0.75</v>
      </c>
      <c r="M299" s="42" t="str">
        <f>IFERROR(__xludf.DUMMYFUNCTION("""COMPUTED_VALUE"""),"outputnya belum sesuai")</f>
        <v>outputnya belum sesuai</v>
      </c>
    </row>
    <row r="300">
      <c r="A300" s="43">
        <f>IFERROR(__xludf.DUMMYFUNCTION("""COMPUTED_VALUE"""),44099.644294756945)</f>
        <v>44099.64429</v>
      </c>
      <c r="B300" s="42" t="str">
        <f>IFERROR(__xludf.DUMMYFUNCTION("""COMPUTED_VALUE"""),"Regina Putri Arinda")</f>
        <v>Regina Putri Arinda</v>
      </c>
      <c r="C300" s="42" t="str">
        <f>IFERROR(__xludf.DUMMYFUNCTION("""COMPUTED_VALUE"""),"Online")</f>
        <v>Online</v>
      </c>
      <c r="D300" s="42" t="str">
        <f>IFERROR(__xludf.DUMMYFUNCTION("""COMPUTED_VALUE"""),"Fullstack Web Developer")</f>
        <v>Fullstack Web Developer</v>
      </c>
      <c r="E300" s="42">
        <f>IFERROR(__xludf.DUMMYFUNCTION("""COMPUTED_VALUE"""),2.0)</f>
        <v>2</v>
      </c>
      <c r="F300" s="42">
        <f>IFERROR(__xludf.DUMMYFUNCTION("""COMPUTED_VALUE"""),1.0)</f>
        <v>1</v>
      </c>
      <c r="G300" s="42" t="str">
        <f>IFERROR(__xludf.DUMMYFUNCTION("""COMPUTED_VALUE"""),"ARKWH10")</f>
        <v>ARKWH10</v>
      </c>
      <c r="H300" s="42"/>
      <c r="I300" s="46" t="str">
        <f>IFERROR(__xludf.DUMMYFUNCTION("""COMPUTED_VALUE"""),"https://repl.it/@ReginaPutri/quiz#index.js")</f>
        <v>https://repl.it/@ReginaPutri/quiz#index.js</v>
      </c>
      <c r="J300" s="42"/>
      <c r="K300" s="42"/>
      <c r="L300" s="42">
        <f>IFERROR(__xludf.DUMMYFUNCTION("""COMPUTED_VALUE"""),1.0)</f>
        <v>1</v>
      </c>
      <c r="M300" s="42" t="str">
        <f>IFERROR(__xludf.DUMMYFUNCTION("""COMPUTED_VALUE"""),"good")</f>
        <v>good</v>
      </c>
    </row>
    <row r="301">
      <c r="A301" s="43">
        <f>IFERROR(__xludf.DUMMYFUNCTION("""COMPUTED_VALUE"""),44099.64866226852)</f>
        <v>44099.64866</v>
      </c>
      <c r="B301" s="42" t="str">
        <f>IFERROR(__xludf.DUMMYFUNCTION("""COMPUTED_VALUE"""),"Kemal reza")</f>
        <v>Kemal reza</v>
      </c>
      <c r="C301" s="42" t="str">
        <f>IFERROR(__xludf.DUMMYFUNCTION("""COMPUTED_VALUE"""),"Online")</f>
        <v>Online</v>
      </c>
      <c r="D301" s="42" t="str">
        <f>IFERROR(__xludf.DUMMYFUNCTION("""COMPUTED_VALUE"""),"Fullstack Web Developer")</f>
        <v>Fullstack Web Developer</v>
      </c>
      <c r="E301" s="42">
        <f>IFERROR(__xludf.DUMMYFUNCTION("""COMPUTED_VALUE"""),2.0)</f>
        <v>2</v>
      </c>
      <c r="F301" s="42">
        <f>IFERROR(__xludf.DUMMYFUNCTION("""COMPUTED_VALUE"""),1.0)</f>
        <v>1</v>
      </c>
      <c r="G301" s="42" t="str">
        <f>IFERROR(__xludf.DUMMYFUNCTION("""COMPUTED_VALUE"""),"ARKWH10")</f>
        <v>ARKWH10</v>
      </c>
      <c r="H301" s="42"/>
      <c r="I301" s="46" t="str">
        <f>IFERROR(__xludf.DUMMYFUNCTION("""COMPUTED_VALUE"""),"https://repl.it/@kemalreza/printDiamond#index.js")</f>
        <v>https://repl.it/@kemalreza/printDiamond#index.js</v>
      </c>
      <c r="J301" s="42"/>
      <c r="K301" s="42"/>
      <c r="L301" s="42">
        <f>IFERROR(__xludf.DUMMYFUNCTION("""COMPUTED_VALUE"""),0.75)</f>
        <v>0.75</v>
      </c>
      <c r="M301" s="42" t="str">
        <f>IFERROR(__xludf.DUMMYFUNCTION("""COMPUTED_VALUE"""),"outputnya belum sesuai")</f>
        <v>outputnya belum sesuai</v>
      </c>
    </row>
    <row r="302">
      <c r="A302" s="43">
        <f>IFERROR(__xludf.DUMMYFUNCTION("""COMPUTED_VALUE"""),44099.649215833335)</f>
        <v>44099.64922</v>
      </c>
      <c r="B302" s="42" t="str">
        <f>IFERROR(__xludf.DUMMYFUNCTION("""COMPUTED_VALUE"""),"Dewondo Friemorn")</f>
        <v>Dewondo Friemorn</v>
      </c>
      <c r="C302" s="42" t="str">
        <f>IFERROR(__xludf.DUMMYFUNCTION("""COMPUTED_VALUE"""),"Online")</f>
        <v>Online</v>
      </c>
      <c r="D302" s="42" t="str">
        <f>IFERROR(__xludf.DUMMYFUNCTION("""COMPUTED_VALUE"""),"Fullstack Web Developer")</f>
        <v>Fullstack Web Developer</v>
      </c>
      <c r="E302" s="42">
        <f>IFERROR(__xludf.DUMMYFUNCTION("""COMPUTED_VALUE"""),2.0)</f>
        <v>2</v>
      </c>
      <c r="F302" s="42">
        <f>IFERROR(__xludf.DUMMYFUNCTION("""COMPUTED_VALUE"""),1.0)</f>
        <v>1</v>
      </c>
      <c r="G302" s="42" t="str">
        <f>IFERROR(__xludf.DUMMYFUNCTION("""COMPUTED_VALUE"""),"ARKWH10")</f>
        <v>ARKWH10</v>
      </c>
      <c r="H302" s="42"/>
      <c r="I302" s="46" t="str">
        <f>IFERROR(__xludf.DUMMYFUNCTION("""COMPUTED_VALUE"""),"https://repl.it/@Friemorn/StarDiamond#index.js")</f>
        <v>https://repl.it/@Friemorn/StarDiamond#index.js</v>
      </c>
      <c r="J302" s="42"/>
      <c r="K302" s="42"/>
      <c r="L302" s="42">
        <f>IFERROR(__xludf.DUMMYFUNCTION("""COMPUTED_VALUE"""),1.0)</f>
        <v>1</v>
      </c>
      <c r="M302" s="42" t="str">
        <f>IFERROR(__xludf.DUMMYFUNCTION("""COMPUTED_VALUE"""),"good")</f>
        <v>good</v>
      </c>
    </row>
    <row r="303">
      <c r="A303" s="43">
        <f>IFERROR(__xludf.DUMMYFUNCTION("""COMPUTED_VALUE"""),44099.65201628472)</f>
        <v>44099.65202</v>
      </c>
      <c r="B303" s="42" t="str">
        <f>IFERROR(__xludf.DUMMYFUNCTION("""COMPUTED_VALUE"""),"Erlangga Jatikusuma")</f>
        <v>Erlangga Jatikusuma</v>
      </c>
      <c r="C303" s="42" t="str">
        <f>IFERROR(__xludf.DUMMYFUNCTION("""COMPUTED_VALUE"""),"Online")</f>
        <v>Online</v>
      </c>
      <c r="D303" s="42" t="str">
        <f>IFERROR(__xludf.DUMMYFUNCTION("""COMPUTED_VALUE"""),"Fullstack Web Developer")</f>
        <v>Fullstack Web Developer</v>
      </c>
      <c r="E303" s="42">
        <f>IFERROR(__xludf.DUMMYFUNCTION("""COMPUTED_VALUE"""),2.0)</f>
        <v>2</v>
      </c>
      <c r="F303" s="42">
        <f>IFERROR(__xludf.DUMMYFUNCTION("""COMPUTED_VALUE"""),1.0)</f>
        <v>1</v>
      </c>
      <c r="G303" s="42" t="str">
        <f>IFERROR(__xludf.DUMMYFUNCTION("""COMPUTED_VALUE"""),"ARKWH10")</f>
        <v>ARKWH10</v>
      </c>
      <c r="H303" s="42"/>
      <c r="I303" s="46" t="str">
        <f>IFERROR(__xludf.DUMMYFUNCTION("""COMPUTED_VALUE"""),"https://repl.it/repls/MajorIdleValue#index.js")</f>
        <v>https://repl.it/repls/MajorIdleValue#index.js</v>
      </c>
      <c r="J303" s="42"/>
      <c r="K303" s="42"/>
      <c r="L303" s="42">
        <f>IFERROR(__xludf.DUMMYFUNCTION("""COMPUTED_VALUE"""),0.25)</f>
        <v>0.25</v>
      </c>
      <c r="M303" s="42" t="str">
        <f>IFERROR(__xludf.DUMMYFUNCTION("""COMPUTED_VALUE"""),"logicnya masih salah")</f>
        <v>logicnya masih salah</v>
      </c>
    </row>
    <row r="304">
      <c r="A304" s="43">
        <f>IFERROR(__xludf.DUMMYFUNCTION("""COMPUTED_VALUE"""),44099.65450984954)</f>
        <v>44099.65451</v>
      </c>
      <c r="B304" s="42" t="str">
        <f>IFERROR(__xludf.DUMMYFUNCTION("""COMPUTED_VALUE"""),"Hamdan")</f>
        <v>Hamdan</v>
      </c>
      <c r="C304" s="42" t="str">
        <f>IFERROR(__xludf.DUMMYFUNCTION("""COMPUTED_VALUE"""),"Online")</f>
        <v>Online</v>
      </c>
      <c r="D304" s="42" t="str">
        <f>IFERROR(__xludf.DUMMYFUNCTION("""COMPUTED_VALUE"""),"Fullstack Web Developer")</f>
        <v>Fullstack Web Developer</v>
      </c>
      <c r="E304" s="42">
        <f>IFERROR(__xludf.DUMMYFUNCTION("""COMPUTED_VALUE"""),2.0)</f>
        <v>2</v>
      </c>
      <c r="F304" s="42">
        <f>IFERROR(__xludf.DUMMYFUNCTION("""COMPUTED_VALUE"""),1.0)</f>
        <v>1</v>
      </c>
      <c r="G304" s="42" t="str">
        <f>IFERROR(__xludf.DUMMYFUNCTION("""COMPUTED_VALUE"""),"ARKWH8")</f>
        <v>ARKWH8</v>
      </c>
      <c r="H304" s="42"/>
      <c r="I304" s="46" t="str">
        <f>IFERROR(__xludf.DUMMYFUNCTION("""COMPUTED_VALUE"""),"https://repl.it/join/jzokywgi-hamdanhamdani")</f>
        <v>https://repl.it/join/jzokywgi-hamdanhamdani</v>
      </c>
      <c r="J304" s="42"/>
      <c r="K304" s="42"/>
      <c r="L304" s="42">
        <f>IFERROR(__xludf.DUMMYFUNCTION("""COMPUTED_VALUE"""),0.25)</f>
        <v>0.25</v>
      </c>
      <c r="M304" s="42" t="str">
        <f>IFERROR(__xludf.DUMMYFUNCTION("""COMPUTED_VALUE"""),"loigicnya masih salah")</f>
        <v>loigicnya masih salah</v>
      </c>
    </row>
    <row r="305">
      <c r="A305" s="43">
        <f>IFERROR(__xludf.DUMMYFUNCTION("""COMPUTED_VALUE"""),44102.462923287036)</f>
        <v>44102.46292</v>
      </c>
      <c r="B305" s="42" t="str">
        <f>IFERROR(__xludf.DUMMYFUNCTION("""COMPUTED_VALUE"""),"Rifqi Malik Iskandar")</f>
        <v>Rifqi Malik Iskandar</v>
      </c>
      <c r="C305" s="42" t="str">
        <f>IFERROR(__xludf.DUMMYFUNCTION("""COMPUTED_VALUE"""),"Online")</f>
        <v>Online</v>
      </c>
      <c r="D305" s="42" t="str">
        <f>IFERROR(__xludf.DUMMYFUNCTION("""COMPUTED_VALUE"""),"Fullstack Mobile Developer")</f>
        <v>Fullstack Mobile Developer</v>
      </c>
      <c r="E305" s="42">
        <f>IFERROR(__xludf.DUMMYFUNCTION("""COMPUTED_VALUE"""),18.0)</f>
        <v>18</v>
      </c>
      <c r="F305" s="42">
        <f>IFERROR(__xludf.DUMMYFUNCTION("""COMPUTED_VALUE"""),1.0)</f>
        <v>1</v>
      </c>
      <c r="G305" s="42" t="str">
        <f>IFERROR(__xludf.DUMMYFUNCTION("""COMPUTED_VALUE"""),"ARKWH1")</f>
        <v>ARKWH1</v>
      </c>
      <c r="H305" s="42"/>
      <c r="I305" s="46" t="str">
        <f>IFERROR(__xludf.DUMMYFUNCTION("""COMPUTED_VALUE"""),"https://repl.it/@Rifqi56/VerticalStarkKeyboard#index.js")</f>
        <v>https://repl.it/@Rifqi56/VerticalStarkKeyboard#index.js</v>
      </c>
      <c r="J305" s="46" t="str">
        <f>IFERROR(__xludf.DUMMYFUNCTION("""COMPUTED_VALUE"""),"https://drive.google.com/file/d/1ldbwIqqcIlAGblcDBnuo2HFjXzeaUtW6/view?usp=sharing")</f>
        <v>https://drive.google.com/file/d/1ldbwIqqcIlAGblcDBnuo2HFjXzeaUtW6/view?usp=sharing</v>
      </c>
      <c r="K305" s="46" t="str">
        <f>IFERROR(__xludf.DUMMYFUNCTION("""COMPUTED_VALUE"""),"https://drive.google.com/open?id=1GJ28Si-L9LPPoO0cH68iI_i0ai5ji8Ng")</f>
        <v>https://drive.google.com/open?id=1GJ28Si-L9LPPoO0cH68iI_i0ai5ji8Ng</v>
      </c>
      <c r="L305" s="42"/>
      <c r="M305" s="42"/>
    </row>
    <row r="306">
      <c r="A306" s="43">
        <f>IFERROR(__xludf.DUMMYFUNCTION("""COMPUTED_VALUE"""),44102.462994409725)</f>
        <v>44102.46299</v>
      </c>
      <c r="B306" s="42" t="str">
        <f>IFERROR(__xludf.DUMMYFUNCTION("""COMPUTED_VALUE"""),"Hanif Maghfur")</f>
        <v>Hanif Maghfur</v>
      </c>
      <c r="C306" s="42" t="str">
        <f>IFERROR(__xludf.DUMMYFUNCTION("""COMPUTED_VALUE"""),"Online")</f>
        <v>Online</v>
      </c>
      <c r="D306" s="42" t="str">
        <f>IFERROR(__xludf.DUMMYFUNCTION("""COMPUTED_VALUE"""),"Fullstack Mobile Developer")</f>
        <v>Fullstack Mobile Developer</v>
      </c>
      <c r="E306" s="42">
        <f>IFERROR(__xludf.DUMMYFUNCTION("""COMPUTED_VALUE"""),18.0)</f>
        <v>18</v>
      </c>
      <c r="F306" s="42">
        <f>IFERROR(__xludf.DUMMYFUNCTION("""COMPUTED_VALUE"""),1.0)</f>
        <v>1</v>
      </c>
      <c r="G306" s="42" t="str">
        <f>IFERROR(__xludf.DUMMYFUNCTION("""COMPUTED_VALUE"""),"ARKWH1")</f>
        <v>ARKWH1</v>
      </c>
      <c r="H306" s="42"/>
      <c r="I306" s="46" t="str">
        <f>IFERROR(__xludf.DUMMYFUNCTION("""COMPUTED_VALUE"""),"https://repl.it/@hnifmaghfur/KuisARKWH1")</f>
        <v>https://repl.it/@hnifmaghfur/KuisARKWH1</v>
      </c>
      <c r="J306" s="46" t="str">
        <f>IFERROR(__xludf.DUMMYFUNCTION("""COMPUTED_VALUE"""),"https://drive.google.com/file/d/1EqURar19eadtR26hXeNzqggsBJqZoP4T/view?usp=sharing")</f>
        <v>https://drive.google.com/file/d/1EqURar19eadtR26hXeNzqggsBJqZoP4T/view?usp=sharing</v>
      </c>
      <c r="K306" s="42"/>
      <c r="L306" s="42"/>
      <c r="M306" s="42"/>
    </row>
    <row r="307">
      <c r="A307" s="43">
        <f>IFERROR(__xludf.DUMMYFUNCTION("""COMPUTED_VALUE"""),44102.463490995375)</f>
        <v>44102.46349</v>
      </c>
      <c r="B307" s="42" t="str">
        <f>IFERROR(__xludf.DUMMYFUNCTION("""COMPUTED_VALUE"""),"Rizky Agung Pratama")</f>
        <v>Rizky Agung Pratama</v>
      </c>
      <c r="C307" s="42" t="str">
        <f>IFERROR(__xludf.DUMMYFUNCTION("""COMPUTED_VALUE"""),"Online")</f>
        <v>Online</v>
      </c>
      <c r="D307" s="42" t="str">
        <f>IFERROR(__xludf.DUMMYFUNCTION("""COMPUTED_VALUE"""),"Fullstack Mobile Developer")</f>
        <v>Fullstack Mobile Developer</v>
      </c>
      <c r="E307" s="42">
        <f>IFERROR(__xludf.DUMMYFUNCTION("""COMPUTED_VALUE"""),18.0)</f>
        <v>18</v>
      </c>
      <c r="F307" s="42">
        <f>IFERROR(__xludf.DUMMYFUNCTION("""COMPUTED_VALUE"""),1.0)</f>
        <v>1</v>
      </c>
      <c r="G307" s="42" t="str">
        <f>IFERROR(__xludf.DUMMYFUNCTION("""COMPUTED_VALUE"""),"ARKWH1")</f>
        <v>ARKWH1</v>
      </c>
      <c r="H307" s="42"/>
      <c r="I307" s="46" t="str">
        <f>IFERROR(__xludf.DUMMYFUNCTION("""COMPUTED_VALUE"""),"https://repl.it/@rizkyagung18/CoolMulticoloredBoard#index.js")</f>
        <v>https://repl.it/@rizkyagung18/CoolMulticoloredBoard#index.js</v>
      </c>
      <c r="J307" s="46" t="str">
        <f>IFERROR(__xludf.DUMMYFUNCTION("""COMPUTED_VALUE"""),"https://drive.google.com/file/d/1x-qz2tEMOl2MzwAbhw1VvBM4nNWiK8BW/view?usp=sharing")</f>
        <v>https://drive.google.com/file/d/1x-qz2tEMOl2MzwAbhw1VvBM4nNWiK8BW/view?usp=sharing</v>
      </c>
      <c r="K307" s="46" t="str">
        <f>IFERROR(__xludf.DUMMYFUNCTION("""COMPUTED_VALUE"""),"https://drive.google.com/open?id=1aZplWtcHOCStECp7rvo9gR2r8BjVMpJf")</f>
        <v>https://drive.google.com/open?id=1aZplWtcHOCStECp7rvo9gR2r8BjVMpJf</v>
      </c>
      <c r="L307" s="42"/>
      <c r="M307" s="42"/>
    </row>
    <row r="308">
      <c r="A308" s="43">
        <f>IFERROR(__xludf.DUMMYFUNCTION("""COMPUTED_VALUE"""),44102.46570314815)</f>
        <v>44102.4657</v>
      </c>
      <c r="B308" s="42" t="str">
        <f>IFERROR(__xludf.DUMMYFUNCTION("""COMPUTED_VALUE"""),"Dyaksa Jauharuddin Nour")</f>
        <v>Dyaksa Jauharuddin Nour</v>
      </c>
      <c r="C308" s="42" t="str">
        <f>IFERROR(__xludf.DUMMYFUNCTION("""COMPUTED_VALUE"""),"Online")</f>
        <v>Online</v>
      </c>
      <c r="D308" s="42" t="str">
        <f>IFERROR(__xludf.DUMMYFUNCTION("""COMPUTED_VALUE"""),"Fullstack Mobile Developer")</f>
        <v>Fullstack Mobile Developer</v>
      </c>
      <c r="E308" s="42">
        <f>IFERROR(__xludf.DUMMYFUNCTION("""COMPUTED_VALUE"""),18.0)</f>
        <v>18</v>
      </c>
      <c r="F308" s="42">
        <f>IFERROR(__xludf.DUMMYFUNCTION("""COMPUTED_VALUE"""),1.0)</f>
        <v>1</v>
      </c>
      <c r="G308" s="42" t="str">
        <f>IFERROR(__xludf.DUMMYFUNCTION("""COMPUTED_VALUE"""),"ARKWH1")</f>
        <v>ARKWH1</v>
      </c>
      <c r="H308" s="42"/>
      <c r="I308" s="46" t="str">
        <f>IFERROR(__xludf.DUMMYFUNCTION("""COMPUTED_VALUE"""),"https://repl.it/@dyaksanour/quizark")</f>
        <v>https://repl.it/@dyaksanour/quizark</v>
      </c>
      <c r="J308" s="46" t="str">
        <f>IFERROR(__xludf.DUMMYFUNCTION("""COMPUTED_VALUE"""),"https://drive.google.com/file/d/1VQjBVD1I1bf_lJtEI0qK13cqKb57lG1N/view?usp=sharing")</f>
        <v>https://drive.google.com/file/d/1VQjBVD1I1bf_lJtEI0qK13cqKb57lG1N/view?usp=sharing</v>
      </c>
      <c r="K308" s="46" t="str">
        <f>IFERROR(__xludf.DUMMYFUNCTION("""COMPUTED_VALUE"""),"https://drive.google.com/open?id=1yW3-88dL2u2-XzDwCKxOBvUzwngYVsgu")</f>
        <v>https://drive.google.com/open?id=1yW3-88dL2u2-XzDwCKxOBvUzwngYVsgu</v>
      </c>
      <c r="L308" s="42"/>
      <c r="M308" s="42"/>
    </row>
    <row r="309">
      <c r="A309" s="43">
        <f>IFERROR(__xludf.DUMMYFUNCTION("""COMPUTED_VALUE"""),44102.46647561343)</f>
        <v>44102.46648</v>
      </c>
      <c r="B309" s="42" t="str">
        <f>IFERROR(__xludf.DUMMYFUNCTION("""COMPUTED_VALUE"""),"Arungi Cahaya")</f>
        <v>Arungi Cahaya</v>
      </c>
      <c r="C309" s="42" t="str">
        <f>IFERROR(__xludf.DUMMYFUNCTION("""COMPUTED_VALUE"""),"Online")</f>
        <v>Online</v>
      </c>
      <c r="D309" s="42" t="str">
        <f>IFERROR(__xludf.DUMMYFUNCTION("""COMPUTED_VALUE"""),"Fullstack Mobile Developer")</f>
        <v>Fullstack Mobile Developer</v>
      </c>
      <c r="E309" s="42">
        <f>IFERROR(__xludf.DUMMYFUNCTION("""COMPUTED_VALUE"""),18.0)</f>
        <v>18</v>
      </c>
      <c r="F309" s="42">
        <f>IFERROR(__xludf.DUMMYFUNCTION("""COMPUTED_VALUE"""),1.0)</f>
        <v>1</v>
      </c>
      <c r="G309" s="42" t="str">
        <f>IFERROR(__xludf.DUMMYFUNCTION("""COMPUTED_VALUE"""),"ARKWH1")</f>
        <v>ARKWH1</v>
      </c>
      <c r="H309" s="42"/>
      <c r="I309" s="46" t="str">
        <f>IFERROR(__xludf.DUMMYFUNCTION("""COMPUTED_VALUE"""),"https://repl.it/@ArungiCahaya/discounter#index.js")</f>
        <v>https://repl.it/@ArungiCahaya/discounter#index.js</v>
      </c>
      <c r="J309" s="42"/>
      <c r="K309" s="42"/>
      <c r="L309" s="42"/>
      <c r="M309" s="42"/>
    </row>
    <row r="310">
      <c r="A310" s="43">
        <f>IFERROR(__xludf.DUMMYFUNCTION("""COMPUTED_VALUE"""),44102.46688142361)</f>
        <v>44102.46688</v>
      </c>
      <c r="B310" s="42" t="str">
        <f>IFERROR(__xludf.DUMMYFUNCTION("""COMPUTED_VALUE"""),"Saidina Hamzah")</f>
        <v>Saidina Hamzah</v>
      </c>
      <c r="C310" s="42" t="str">
        <f>IFERROR(__xludf.DUMMYFUNCTION("""COMPUTED_VALUE"""),"Online")</f>
        <v>Online</v>
      </c>
      <c r="D310" s="42" t="str">
        <f>IFERROR(__xludf.DUMMYFUNCTION("""COMPUTED_VALUE"""),"Fullstack Mobile Developer")</f>
        <v>Fullstack Mobile Developer</v>
      </c>
      <c r="E310" s="42">
        <f>IFERROR(__xludf.DUMMYFUNCTION("""COMPUTED_VALUE"""),18.0)</f>
        <v>18</v>
      </c>
      <c r="F310" s="42">
        <f>IFERROR(__xludf.DUMMYFUNCTION("""COMPUTED_VALUE"""),1.0)</f>
        <v>1</v>
      </c>
      <c r="G310" s="42" t="str">
        <f>IFERROR(__xludf.DUMMYFUNCTION("""COMPUTED_VALUE"""),"ARKWH1")</f>
        <v>ARKWH1</v>
      </c>
      <c r="H310" s="42"/>
      <c r="I310" s="46" t="str">
        <f>IFERROR(__xludf.DUMMYFUNCTION("""COMPUTED_VALUE"""),"https://repl.it/@hamzahsaid/Quiz-arkwh1")</f>
        <v>https://repl.it/@hamzahsaid/Quiz-arkwh1</v>
      </c>
      <c r="J310" s="42"/>
      <c r="K310" s="42"/>
      <c r="L310" s="42"/>
      <c r="M310" s="42"/>
    </row>
    <row r="311">
      <c r="A311" s="43">
        <f>IFERROR(__xludf.DUMMYFUNCTION("""COMPUTED_VALUE"""),44102.468144108796)</f>
        <v>44102.46814</v>
      </c>
      <c r="B311" s="42" t="str">
        <f>IFERROR(__xludf.DUMMYFUNCTION("""COMPUTED_VALUE"""),"Ahmad Maulana Yusup")</f>
        <v>Ahmad Maulana Yusup</v>
      </c>
      <c r="C311" s="42" t="str">
        <f>IFERROR(__xludf.DUMMYFUNCTION("""COMPUTED_VALUE"""),"Online")</f>
        <v>Online</v>
      </c>
      <c r="D311" s="42" t="str">
        <f>IFERROR(__xludf.DUMMYFUNCTION("""COMPUTED_VALUE"""),"Fullstack Mobile Developer")</f>
        <v>Fullstack Mobile Developer</v>
      </c>
      <c r="E311" s="42">
        <f>IFERROR(__xludf.DUMMYFUNCTION("""COMPUTED_VALUE"""),18.0)</f>
        <v>18</v>
      </c>
      <c r="F311" s="42">
        <f>IFERROR(__xludf.DUMMYFUNCTION("""COMPUTED_VALUE"""),1.0)</f>
        <v>1</v>
      </c>
      <c r="G311" s="42" t="str">
        <f>IFERROR(__xludf.DUMMYFUNCTION("""COMPUTED_VALUE"""),"ARKWH1")</f>
        <v>ARKWH1</v>
      </c>
      <c r="H311" s="42"/>
      <c r="I311" s="46" t="str">
        <f>IFERROR(__xludf.DUMMYFUNCTION("""COMPUTED_VALUE"""),"https://repl.it/@AhmadMaulanaMau/QUIZW4#index.js")</f>
        <v>https://repl.it/@AhmadMaulanaMau/QUIZW4#index.js</v>
      </c>
      <c r="J311" s="46" t="str">
        <f>IFERROR(__xludf.DUMMYFUNCTION("""COMPUTED_VALUE"""),"https://drive.google.com/drive/folders/1VS9apM-j2Ur-g2EmxQ8K_LF01T8Lk7NR?usp=sharing")</f>
        <v>https://drive.google.com/drive/folders/1VS9apM-j2Ur-g2EmxQ8K_LF01T8Lk7NR?usp=sharing</v>
      </c>
      <c r="K311" s="46" t="str">
        <f>IFERROR(__xludf.DUMMYFUNCTION("""COMPUTED_VALUE"""),"https://drive.google.com/open?id=1tHMzNa0yC0o0IHyIMbO6yazn6xHaic3A")</f>
        <v>https://drive.google.com/open?id=1tHMzNa0yC0o0IHyIMbO6yazn6xHaic3A</v>
      </c>
      <c r="L311" s="42"/>
      <c r="M311" s="42"/>
    </row>
    <row r="312">
      <c r="A312" s="43">
        <f>IFERROR(__xludf.DUMMYFUNCTION("""COMPUTED_VALUE"""),44102.46962628472)</f>
        <v>44102.46963</v>
      </c>
      <c r="B312" s="42" t="str">
        <f>IFERROR(__xludf.DUMMYFUNCTION("""COMPUTED_VALUE"""),"Denny Wahyudi Marzuk")</f>
        <v>Denny Wahyudi Marzuk</v>
      </c>
      <c r="C312" s="42" t="str">
        <f>IFERROR(__xludf.DUMMYFUNCTION("""COMPUTED_VALUE"""),"Online")</f>
        <v>Online</v>
      </c>
      <c r="D312" s="42" t="str">
        <f>IFERROR(__xludf.DUMMYFUNCTION("""COMPUTED_VALUE"""),"Fullstack Mobile Developer")</f>
        <v>Fullstack Mobile Developer</v>
      </c>
      <c r="E312" s="42">
        <f>IFERROR(__xludf.DUMMYFUNCTION("""COMPUTED_VALUE"""),18.0)</f>
        <v>18</v>
      </c>
      <c r="F312" s="42">
        <f>IFERROR(__xludf.DUMMYFUNCTION("""COMPUTED_VALUE"""),1.0)</f>
        <v>1</v>
      </c>
      <c r="G312" s="42" t="str">
        <f>IFERROR(__xludf.DUMMYFUNCTION("""COMPUTED_VALUE"""),"ARKWH1")</f>
        <v>ARKWH1</v>
      </c>
      <c r="H312" s="42"/>
      <c r="I312" s="46" t="str">
        <f>IFERROR(__xludf.DUMMYFUNCTION("""COMPUTED_VALUE"""),"https://repl.it/@dennywm/KUIS-ARKWH1#index.js")</f>
        <v>https://repl.it/@dennywm/KUIS-ARKWH1#index.js</v>
      </c>
      <c r="J312" s="46" t="str">
        <f>IFERROR(__xludf.DUMMYFUNCTION("""COMPUTED_VALUE"""),"https://drive.google.com/file/d/1gqvxp7RwCyeRDv06HeTq0apZeb0r-T19/view?usp=sharing")</f>
        <v>https://drive.google.com/file/d/1gqvxp7RwCyeRDv06HeTq0apZeb0r-T19/view?usp=sharing</v>
      </c>
      <c r="K312" s="46" t="str">
        <f>IFERROR(__xludf.DUMMYFUNCTION("""COMPUTED_VALUE"""),"https://drive.google.com/open?id=11Vgk7sNsxy_vDTMWNGitEgtNYmB4JYWs")</f>
        <v>https://drive.google.com/open?id=11Vgk7sNsxy_vDTMWNGitEgtNYmB4JYWs</v>
      </c>
      <c r="L312" s="42"/>
      <c r="M312" s="42"/>
    </row>
    <row r="313">
      <c r="A313" s="43">
        <f>IFERROR(__xludf.DUMMYFUNCTION("""COMPUTED_VALUE"""),44102.47146373843)</f>
        <v>44102.47146</v>
      </c>
      <c r="B313" s="42" t="str">
        <f>IFERROR(__xludf.DUMMYFUNCTION("""COMPUTED_VALUE"""),"Muhammad Ihsan Anshory")</f>
        <v>Muhammad Ihsan Anshory</v>
      </c>
      <c r="C313" s="42" t="str">
        <f>IFERROR(__xludf.DUMMYFUNCTION("""COMPUTED_VALUE"""),"Online")</f>
        <v>Online</v>
      </c>
      <c r="D313" s="42" t="str">
        <f>IFERROR(__xludf.DUMMYFUNCTION("""COMPUTED_VALUE"""),"Fullstack Mobile Developer")</f>
        <v>Fullstack Mobile Developer</v>
      </c>
      <c r="E313" s="42">
        <f>IFERROR(__xludf.DUMMYFUNCTION("""COMPUTED_VALUE"""),18.0)</f>
        <v>18</v>
      </c>
      <c r="F313" s="42">
        <f>IFERROR(__xludf.DUMMYFUNCTION("""COMPUTED_VALUE"""),1.0)</f>
        <v>1</v>
      </c>
      <c r="G313" s="42" t="str">
        <f>IFERROR(__xludf.DUMMYFUNCTION("""COMPUTED_VALUE"""),"ARKWH1")</f>
        <v>ARKWH1</v>
      </c>
      <c r="H313" s="42"/>
      <c r="I313" s="46" t="str">
        <f>IFERROR(__xludf.DUMMYFUNCTION("""COMPUTED_VALUE"""),"https://repl.it/join/vxwfwyri-anshoryihsan")</f>
        <v>https://repl.it/join/vxwfwyri-anshoryihsan</v>
      </c>
      <c r="J313" s="42"/>
      <c r="K313" s="46" t="str">
        <f>IFERROR(__xludf.DUMMYFUNCTION("""COMPUTED_VALUE"""),"https://drive.google.com/open?id=1Kt0Z3rRuUI71D7H8_3-Qx9DvCLQ5IZJ8")</f>
        <v>https://drive.google.com/open?id=1Kt0Z3rRuUI71D7H8_3-Qx9DvCLQ5IZJ8</v>
      </c>
      <c r="L313" s="42"/>
      <c r="M313" s="42"/>
    </row>
    <row r="314">
      <c r="A314" s="43">
        <f>IFERROR(__xludf.DUMMYFUNCTION("""COMPUTED_VALUE"""),44102.471659999996)</f>
        <v>44102.47166</v>
      </c>
      <c r="B314" s="42" t="str">
        <f>IFERROR(__xludf.DUMMYFUNCTION("""COMPUTED_VALUE"""),"Api Al Rahman")</f>
        <v>Api Al Rahman</v>
      </c>
      <c r="C314" s="42" t="str">
        <f>IFERROR(__xludf.DUMMYFUNCTION("""COMPUTED_VALUE"""),"Online")</f>
        <v>Online</v>
      </c>
      <c r="D314" s="42" t="str">
        <f>IFERROR(__xludf.DUMMYFUNCTION("""COMPUTED_VALUE"""),"Fullstack Mobile Developer")</f>
        <v>Fullstack Mobile Developer</v>
      </c>
      <c r="E314" s="42">
        <f>IFERROR(__xludf.DUMMYFUNCTION("""COMPUTED_VALUE"""),18.0)</f>
        <v>18</v>
      </c>
      <c r="F314" s="42">
        <f>IFERROR(__xludf.DUMMYFUNCTION("""COMPUTED_VALUE"""),1.0)</f>
        <v>1</v>
      </c>
      <c r="G314" s="42" t="str">
        <f>IFERROR(__xludf.DUMMYFUNCTION("""COMPUTED_VALUE"""),"ARKWH1")</f>
        <v>ARKWH1</v>
      </c>
      <c r="H314" s="42"/>
      <c r="I314" s="46" t="str">
        <f>IFERROR(__xludf.DUMMYFUNCTION("""COMPUTED_VALUE"""),"https://playcode.io/680825/")</f>
        <v>https://playcode.io/680825/</v>
      </c>
      <c r="J314" s="46" t="str">
        <f>IFERROR(__xludf.DUMMYFUNCTION("""COMPUTED_VALUE"""),"https://drive.google.com/file/d/1aL_VYzrzIIk_7TJgiW-rREzfkpbympZA/view?usp=sharing")</f>
        <v>https://drive.google.com/file/d/1aL_VYzrzIIk_7TJgiW-rREzfkpbympZA/view?usp=sharing</v>
      </c>
      <c r="K314" s="42"/>
      <c r="L314" s="42"/>
      <c r="M314" s="42"/>
    </row>
    <row r="315">
      <c r="A315" s="43">
        <f>IFERROR(__xludf.DUMMYFUNCTION("""COMPUTED_VALUE"""),44102.4719712963)</f>
        <v>44102.47197</v>
      </c>
      <c r="B315" s="42" t="str">
        <f>IFERROR(__xludf.DUMMYFUNCTION("""COMPUTED_VALUE"""),"Muhammad Khoirul Wafa")</f>
        <v>Muhammad Khoirul Wafa</v>
      </c>
      <c r="C315" s="42" t="str">
        <f>IFERROR(__xludf.DUMMYFUNCTION("""COMPUTED_VALUE"""),"Online")</f>
        <v>Online</v>
      </c>
      <c r="D315" s="42" t="str">
        <f>IFERROR(__xludf.DUMMYFUNCTION("""COMPUTED_VALUE"""),"Fullstack Mobile Developer")</f>
        <v>Fullstack Mobile Developer</v>
      </c>
      <c r="E315" s="42">
        <f>IFERROR(__xludf.DUMMYFUNCTION("""COMPUTED_VALUE"""),18.0)</f>
        <v>18</v>
      </c>
      <c r="F315" s="42">
        <f>IFERROR(__xludf.DUMMYFUNCTION("""COMPUTED_VALUE"""),1.0)</f>
        <v>1</v>
      </c>
      <c r="G315" s="42" t="str">
        <f>IFERROR(__xludf.DUMMYFUNCTION("""COMPUTED_VALUE"""),"ARKWH1")</f>
        <v>ARKWH1</v>
      </c>
      <c r="H315" s="42"/>
      <c r="I315" s="46" t="str">
        <f>IFERROR(__xludf.DUMMYFUNCTION("""COMPUTED_VALUE"""),"https://repl.it/@mkhoirulwafa/arkFood#index.js")</f>
        <v>https://repl.it/@mkhoirulwafa/arkFood#index.js</v>
      </c>
      <c r="J315" s="46" t="str">
        <f>IFERROR(__xludf.DUMMYFUNCTION("""COMPUTED_VALUE"""),"https://drive.google.com/file/d/1ptxS4n0DSjnMEePzxmVV0NqrK0AC7iZJ/view?usp=sharing")</f>
        <v>https://drive.google.com/file/d/1ptxS4n0DSjnMEePzxmVV0NqrK0AC7iZJ/view?usp=sharing</v>
      </c>
      <c r="K315" s="46" t="str">
        <f>IFERROR(__xludf.DUMMYFUNCTION("""COMPUTED_VALUE"""),"https://drive.google.com/open?id=1PbO8FIDfvaytxpmhMtF81wzLsaOJwKT-")</f>
        <v>https://drive.google.com/open?id=1PbO8FIDfvaytxpmhMtF81wzLsaOJwKT-</v>
      </c>
      <c r="L315" s="42"/>
      <c r="M315" s="42"/>
    </row>
    <row r="316">
      <c r="A316" s="43">
        <f>IFERROR(__xludf.DUMMYFUNCTION("""COMPUTED_VALUE"""),44102.4720621875)</f>
        <v>44102.47206</v>
      </c>
      <c r="B316" s="42" t="str">
        <f>IFERROR(__xludf.DUMMYFUNCTION("""COMPUTED_VALUE"""),"Drajat Fikri Alfianto")</f>
        <v>Drajat Fikri Alfianto</v>
      </c>
      <c r="C316" s="42" t="str">
        <f>IFERROR(__xludf.DUMMYFUNCTION("""COMPUTED_VALUE"""),"Online")</f>
        <v>Online</v>
      </c>
      <c r="D316" s="42" t="str">
        <f>IFERROR(__xludf.DUMMYFUNCTION("""COMPUTED_VALUE"""),"Fullstack Mobile Developer")</f>
        <v>Fullstack Mobile Developer</v>
      </c>
      <c r="E316" s="42">
        <f>IFERROR(__xludf.DUMMYFUNCTION("""COMPUTED_VALUE"""),18.0)</f>
        <v>18</v>
      </c>
      <c r="F316" s="42">
        <f>IFERROR(__xludf.DUMMYFUNCTION("""COMPUTED_VALUE"""),1.0)</f>
        <v>1</v>
      </c>
      <c r="G316" s="42" t="str">
        <f>IFERROR(__xludf.DUMMYFUNCTION("""COMPUTED_VALUE"""),"ARKWH1")</f>
        <v>ARKWH1</v>
      </c>
      <c r="H316" s="42"/>
      <c r="I316" s="46" t="str">
        <f>IFERROR(__xludf.DUMMYFUNCTION("""COMPUTED_VALUE"""),"https://repl.it/@drajat824/quis2")</f>
        <v>https://repl.it/@drajat824/quis2</v>
      </c>
      <c r="J316" s="46" t="str">
        <f>IFERROR(__xludf.DUMMYFUNCTION("""COMPUTED_VALUE"""),"https://drive.google.com/file/d/1idPlIMo3B8J7LPHu1L4wdbPYIA2cQ4PR/view?usp=sharing")</f>
        <v>https://drive.google.com/file/d/1idPlIMo3B8J7LPHu1L4wdbPYIA2cQ4PR/view?usp=sharing</v>
      </c>
      <c r="K316" s="42"/>
      <c r="L316" s="42"/>
      <c r="M316" s="42"/>
    </row>
    <row r="317">
      <c r="A317" s="43">
        <f>IFERROR(__xludf.DUMMYFUNCTION("""COMPUTED_VALUE"""),44102.47214008102)</f>
        <v>44102.47214</v>
      </c>
      <c r="B317" s="42" t="str">
        <f>IFERROR(__xludf.DUMMYFUNCTION("""COMPUTED_VALUE"""),"sinta herena")</f>
        <v>sinta herena</v>
      </c>
      <c r="C317" s="42" t="str">
        <f>IFERROR(__xludf.DUMMYFUNCTION("""COMPUTED_VALUE"""),"Online")</f>
        <v>Online</v>
      </c>
      <c r="D317" s="42" t="str">
        <f>IFERROR(__xludf.DUMMYFUNCTION("""COMPUTED_VALUE"""),"Fullstack Mobile Developer")</f>
        <v>Fullstack Mobile Developer</v>
      </c>
      <c r="E317" s="42">
        <f>IFERROR(__xludf.DUMMYFUNCTION("""COMPUTED_VALUE"""),18.0)</f>
        <v>18</v>
      </c>
      <c r="F317" s="42">
        <f>IFERROR(__xludf.DUMMYFUNCTION("""COMPUTED_VALUE"""),1.0)</f>
        <v>1</v>
      </c>
      <c r="G317" s="42" t="str">
        <f>IFERROR(__xludf.DUMMYFUNCTION("""COMPUTED_VALUE"""),"ARKWH1")</f>
        <v>ARKWH1</v>
      </c>
      <c r="H317" s="42"/>
      <c r="I317" s="46" t="str">
        <f>IFERROR(__xludf.DUMMYFUNCTION("""COMPUTED_VALUE"""),"https://repl.it/@herenacreative/ark1")</f>
        <v>https://repl.it/@herenacreative/ark1</v>
      </c>
      <c r="J317" s="42"/>
      <c r="K317" s="42"/>
      <c r="L317" s="42"/>
      <c r="M317" s="42"/>
    </row>
    <row r="318">
      <c r="A318" s="43">
        <f>IFERROR(__xludf.DUMMYFUNCTION("""COMPUTED_VALUE"""),44102.472372337965)</f>
        <v>44102.47237</v>
      </c>
      <c r="B318" s="42" t="str">
        <f>IFERROR(__xludf.DUMMYFUNCTION("""COMPUTED_VALUE"""),"Rani Suprianti")</f>
        <v>Rani Suprianti</v>
      </c>
      <c r="C318" s="42" t="str">
        <f>IFERROR(__xludf.DUMMYFUNCTION("""COMPUTED_VALUE"""),"Online")</f>
        <v>Online</v>
      </c>
      <c r="D318" s="42" t="str">
        <f>IFERROR(__xludf.DUMMYFUNCTION("""COMPUTED_VALUE"""),"Fullstack Mobile Developer")</f>
        <v>Fullstack Mobile Developer</v>
      </c>
      <c r="E318" s="42">
        <f>IFERROR(__xludf.DUMMYFUNCTION("""COMPUTED_VALUE"""),18.0)</f>
        <v>18</v>
      </c>
      <c r="F318" s="42">
        <f>IFERROR(__xludf.DUMMYFUNCTION("""COMPUTED_VALUE"""),1.0)</f>
        <v>1</v>
      </c>
      <c r="G318" s="42" t="str">
        <f>IFERROR(__xludf.DUMMYFUNCTION("""COMPUTED_VALUE"""),"ARKWH1")</f>
        <v>ARKWH1</v>
      </c>
      <c r="H318" s="42"/>
      <c r="I318" s="46" t="str">
        <f>IFERROR(__xludf.DUMMYFUNCTION("""COMPUTED_VALUE"""),"https://repl.it/@ranisup/quiz2js")</f>
        <v>https://repl.it/@ranisup/quiz2js</v>
      </c>
      <c r="J318" s="42"/>
      <c r="K318" s="42"/>
      <c r="L318" s="42"/>
      <c r="M318" s="42"/>
    </row>
    <row r="319">
      <c r="A319" s="43">
        <f>IFERROR(__xludf.DUMMYFUNCTION("""COMPUTED_VALUE"""),44102.47240486111)</f>
        <v>44102.4724</v>
      </c>
      <c r="B319" s="42" t="str">
        <f>IFERROR(__xludf.DUMMYFUNCTION("""COMPUTED_VALUE"""),"Diki Herliansyah")</f>
        <v>Diki Herliansyah</v>
      </c>
      <c r="C319" s="42" t="str">
        <f>IFERROR(__xludf.DUMMYFUNCTION("""COMPUTED_VALUE"""),"Online")</f>
        <v>Online</v>
      </c>
      <c r="D319" s="42" t="str">
        <f>IFERROR(__xludf.DUMMYFUNCTION("""COMPUTED_VALUE"""),"Fullstack Mobile Developer")</f>
        <v>Fullstack Mobile Developer</v>
      </c>
      <c r="E319" s="42">
        <f>IFERROR(__xludf.DUMMYFUNCTION("""COMPUTED_VALUE"""),18.0)</f>
        <v>18</v>
      </c>
      <c r="F319" s="42">
        <f>IFERROR(__xludf.DUMMYFUNCTION("""COMPUTED_VALUE"""),1.0)</f>
        <v>1</v>
      </c>
      <c r="G319" s="42" t="str">
        <f>IFERROR(__xludf.DUMMYFUNCTION("""COMPUTED_VALUE"""),"ARKWH1")</f>
        <v>ARKWH1</v>
      </c>
      <c r="H319" s="42"/>
      <c r="I319" s="46" t="str">
        <f>IFERROR(__xludf.DUMMYFUNCTION("""COMPUTED_VALUE"""),"https://repl.it/@dherliansyah/kuis2")</f>
        <v>https://repl.it/@dherliansyah/kuis2</v>
      </c>
      <c r="J319" s="46" t="str">
        <f>IFERROR(__xludf.DUMMYFUNCTION("""COMPUTED_VALUE"""),"https://drive.google.com/file/d/1t-plp20q4fMTlNldXASjYKCi5fT7mdVG/view?usp=sharing")</f>
        <v>https://drive.google.com/file/d/1t-plp20q4fMTlNldXASjYKCi5fT7mdVG/view?usp=sharing</v>
      </c>
      <c r="K319" s="46" t="str">
        <f>IFERROR(__xludf.DUMMYFUNCTION("""COMPUTED_VALUE"""),"https://drive.google.com/open?id=1yZOqZBIBc3ozLmbXzGb1RnibrYj_hJjI")</f>
        <v>https://drive.google.com/open?id=1yZOqZBIBc3ozLmbXzGb1RnibrYj_hJjI</v>
      </c>
      <c r="L319" s="42"/>
      <c r="M319" s="42"/>
    </row>
    <row r="320">
      <c r="A320" s="43">
        <f>IFERROR(__xludf.DUMMYFUNCTION("""COMPUTED_VALUE"""),44102.47300646991)</f>
        <v>44102.47301</v>
      </c>
      <c r="B320" s="42" t="str">
        <f>IFERROR(__xludf.DUMMYFUNCTION("""COMPUTED_VALUE"""),"Muhammad Ihsan Anshory")</f>
        <v>Muhammad Ihsan Anshory</v>
      </c>
      <c r="C320" s="42" t="str">
        <f>IFERROR(__xludf.DUMMYFUNCTION("""COMPUTED_VALUE"""),"Online")</f>
        <v>Online</v>
      </c>
      <c r="D320" s="42" t="str">
        <f>IFERROR(__xludf.DUMMYFUNCTION("""COMPUTED_VALUE"""),"Fullstack Mobile Developer")</f>
        <v>Fullstack Mobile Developer</v>
      </c>
      <c r="E320" s="42">
        <f>IFERROR(__xludf.DUMMYFUNCTION("""COMPUTED_VALUE"""),18.0)</f>
        <v>18</v>
      </c>
      <c r="F320" s="42">
        <f>IFERROR(__xludf.DUMMYFUNCTION("""COMPUTED_VALUE"""),1.0)</f>
        <v>1</v>
      </c>
      <c r="G320" s="42" t="str">
        <f>IFERROR(__xludf.DUMMYFUNCTION("""COMPUTED_VALUE"""),"ARKWH1")</f>
        <v>ARKWH1</v>
      </c>
      <c r="H320" s="42"/>
      <c r="I320" s="46" t="str">
        <f>IFERROR(__xludf.DUMMYFUNCTION("""COMPUTED_VALUE"""),"https://repl.it/join/vxwfwyri-anshoryihsan")</f>
        <v>https://repl.it/join/vxwfwyri-anshoryihsan</v>
      </c>
      <c r="J320" s="42"/>
      <c r="K320" s="46" t="str">
        <f>IFERROR(__xludf.DUMMYFUNCTION("""COMPUTED_VALUE"""),"https://drive.google.com/open?id=1xeuhtL0Y8xo7k-QT3ya0ImVaa2F5Jnnc")</f>
        <v>https://drive.google.com/open?id=1xeuhtL0Y8xo7k-QT3ya0ImVaa2F5Jnnc</v>
      </c>
      <c r="L320" s="42"/>
      <c r="M320" s="42"/>
    </row>
    <row r="321">
      <c r="A321" s="43">
        <f>IFERROR(__xludf.DUMMYFUNCTION("""COMPUTED_VALUE"""),44102.47323336806)</f>
        <v>44102.47323</v>
      </c>
      <c r="B321" s="42" t="str">
        <f>IFERROR(__xludf.DUMMYFUNCTION("""COMPUTED_VALUE"""),"Muhammad Riduwan")</f>
        <v>Muhammad Riduwan</v>
      </c>
      <c r="C321" s="42" t="str">
        <f>IFERROR(__xludf.DUMMYFUNCTION("""COMPUTED_VALUE"""),"Online")</f>
        <v>Online</v>
      </c>
      <c r="D321" s="42" t="str">
        <f>IFERROR(__xludf.DUMMYFUNCTION("""COMPUTED_VALUE"""),"Fullstack Mobile Developer")</f>
        <v>Fullstack Mobile Developer</v>
      </c>
      <c r="E321" s="42">
        <f>IFERROR(__xludf.DUMMYFUNCTION("""COMPUTED_VALUE"""),18.0)</f>
        <v>18</v>
      </c>
      <c r="F321" s="42">
        <f>IFERROR(__xludf.DUMMYFUNCTION("""COMPUTED_VALUE"""),1.0)</f>
        <v>1</v>
      </c>
      <c r="G321" s="42" t="str">
        <f>IFERROR(__xludf.DUMMYFUNCTION("""COMPUTED_VALUE"""),"ARKWH1")</f>
        <v>ARKWH1</v>
      </c>
      <c r="H321" s="42"/>
      <c r="I321" s="46" t="str">
        <f>IFERROR(__xludf.DUMMYFUNCTION("""COMPUTED_VALUE"""),"https://repl.it/@rolilaz47/count")</f>
        <v>https://repl.it/@rolilaz47/count</v>
      </c>
      <c r="J321" s="46" t="str">
        <f>IFERROR(__xludf.DUMMYFUNCTION("""COMPUTED_VALUE"""),"https://drive.google.com/file/d/1eEW0AmYmRhaprbKzbgb2mCo84gTAcZ9f/view?usp=sharing")</f>
        <v>https://drive.google.com/file/d/1eEW0AmYmRhaprbKzbgb2mCo84gTAcZ9f/view?usp=sharing</v>
      </c>
      <c r="K321" s="46" t="str">
        <f>IFERROR(__xludf.DUMMYFUNCTION("""COMPUTED_VALUE"""),"https://drive.google.com/open?id=1ZWwjabTGd-3FLfr2-2_j6G6V8cr0vZ3H")</f>
        <v>https://drive.google.com/open?id=1ZWwjabTGd-3FLfr2-2_j6G6V8cr0vZ3H</v>
      </c>
      <c r="L321" s="42"/>
      <c r="M321" s="42"/>
    </row>
    <row r="322">
      <c r="A322" s="43">
        <f>IFERROR(__xludf.DUMMYFUNCTION("""COMPUTED_VALUE"""),44102.473255046294)</f>
        <v>44102.47326</v>
      </c>
      <c r="B322" s="42" t="str">
        <f>IFERROR(__xludf.DUMMYFUNCTION("""COMPUTED_VALUE"""),"Rani Suprianti")</f>
        <v>Rani Suprianti</v>
      </c>
      <c r="C322" s="42" t="str">
        <f>IFERROR(__xludf.DUMMYFUNCTION("""COMPUTED_VALUE"""),"Online")</f>
        <v>Online</v>
      </c>
      <c r="D322" s="42" t="str">
        <f>IFERROR(__xludf.DUMMYFUNCTION("""COMPUTED_VALUE"""),"Fullstack Mobile Developer")</f>
        <v>Fullstack Mobile Developer</v>
      </c>
      <c r="E322" s="42">
        <f>IFERROR(__xludf.DUMMYFUNCTION("""COMPUTED_VALUE"""),18.0)</f>
        <v>18</v>
      </c>
      <c r="F322" s="42">
        <f>IFERROR(__xludf.DUMMYFUNCTION("""COMPUTED_VALUE"""),1.0)</f>
        <v>1</v>
      </c>
      <c r="G322" s="42" t="str">
        <f>IFERROR(__xludf.DUMMYFUNCTION("""COMPUTED_VALUE"""),"ARKWH1")</f>
        <v>ARKWH1</v>
      </c>
      <c r="H322" s="42"/>
      <c r="I322" s="46" t="str">
        <f>IFERROR(__xludf.DUMMYFUNCTION("""COMPUTED_VALUE"""),"https://repl.it/@ranisup/quiz2js")</f>
        <v>https://repl.it/@ranisup/quiz2js</v>
      </c>
      <c r="J322" s="42"/>
      <c r="K322" s="42"/>
      <c r="L322" s="42"/>
      <c r="M322" s="42"/>
    </row>
    <row r="323">
      <c r="A323" s="43">
        <f>IFERROR(__xludf.DUMMYFUNCTION("""COMPUTED_VALUE"""),44102.47465039352)</f>
        <v>44102.47465</v>
      </c>
      <c r="B323" s="42" t="str">
        <f>IFERROR(__xludf.DUMMYFUNCTION("""COMPUTED_VALUE"""),"Ayu Armadani Putri Mahirun")</f>
        <v>Ayu Armadani Putri Mahirun</v>
      </c>
      <c r="C323" s="42" t="str">
        <f>IFERROR(__xludf.DUMMYFUNCTION("""COMPUTED_VALUE"""),"Online")</f>
        <v>Online</v>
      </c>
      <c r="D323" s="42" t="str">
        <f>IFERROR(__xludf.DUMMYFUNCTION("""COMPUTED_VALUE"""),"Fullstack Mobile Developer")</f>
        <v>Fullstack Mobile Developer</v>
      </c>
      <c r="E323" s="42">
        <f>IFERROR(__xludf.DUMMYFUNCTION("""COMPUTED_VALUE"""),18.0)</f>
        <v>18</v>
      </c>
      <c r="F323" s="42">
        <f>IFERROR(__xludf.DUMMYFUNCTION("""COMPUTED_VALUE"""),1.0)</f>
        <v>1</v>
      </c>
      <c r="G323" s="42" t="str">
        <f>IFERROR(__xludf.DUMMYFUNCTION("""COMPUTED_VALUE"""),"ARKWH1")</f>
        <v>ARKWH1</v>
      </c>
      <c r="H323" s="42"/>
      <c r="I323" s="46" t="str">
        <f>IFERROR(__xludf.DUMMYFUNCTION("""COMPUTED_VALUE"""),"https://repl.it/@Ayuarmadani/quiz#index.js")</f>
        <v>https://repl.it/@Ayuarmadani/quiz#index.js</v>
      </c>
      <c r="J323" s="46" t="str">
        <f>IFERROR(__xludf.DUMMYFUNCTION("""COMPUTED_VALUE"""),"https://drive.google.com/file/d/1rWiSwziHsu0SVQIAH3FBtiDt1rEA8p9X/view?usp=sharing")</f>
        <v>https://drive.google.com/file/d/1rWiSwziHsu0SVQIAH3FBtiDt1rEA8p9X/view?usp=sharing</v>
      </c>
      <c r="K323" s="46" t="str">
        <f>IFERROR(__xludf.DUMMYFUNCTION("""COMPUTED_VALUE"""),"https://drive.google.com/open?id=1juS1pf5yqUbZHDD7DqT0c-oV6q8aRr90")</f>
        <v>https://drive.google.com/open?id=1juS1pf5yqUbZHDD7DqT0c-oV6q8aRr90</v>
      </c>
      <c r="L323" s="42"/>
      <c r="M323" s="42"/>
    </row>
    <row r="324">
      <c r="A324" s="43">
        <f>IFERROR(__xludf.DUMMYFUNCTION("""COMPUTED_VALUE"""),44102.503804328706)</f>
        <v>44102.5038</v>
      </c>
      <c r="B324" s="42" t="str">
        <f>IFERROR(__xludf.DUMMYFUNCTION("""COMPUTED_VALUE"""),"laili kumala")</f>
        <v>laili kumala</v>
      </c>
      <c r="C324" s="42" t="str">
        <f>IFERROR(__xludf.DUMMYFUNCTION("""COMPUTED_VALUE"""),"Online")</f>
        <v>Online</v>
      </c>
      <c r="D324" s="42" t="str">
        <f>IFERROR(__xludf.DUMMYFUNCTION("""COMPUTED_VALUE"""),"Fullstack Mobile Developer")</f>
        <v>Fullstack Mobile Developer</v>
      </c>
      <c r="E324" s="42">
        <f>IFERROR(__xludf.DUMMYFUNCTION("""COMPUTED_VALUE"""),18.0)</f>
        <v>18</v>
      </c>
      <c r="F324" s="42">
        <f>IFERROR(__xludf.DUMMYFUNCTION("""COMPUTED_VALUE"""),1.0)</f>
        <v>1</v>
      </c>
      <c r="G324" s="42" t="str">
        <f>IFERROR(__xludf.DUMMYFUNCTION("""COMPUTED_VALUE"""),"ARKWH1")</f>
        <v>ARKWH1</v>
      </c>
      <c r="H324" s="42"/>
      <c r="I324" s="46" t="str">
        <f>IFERROR(__xludf.DUMMYFUNCTION("""COMPUTED_VALUE"""),"https://repl.it/@lailikumala/WoodenCanineEntropy#index.js")</f>
        <v>https://repl.it/@lailikumala/WoodenCanineEntropy#index.js</v>
      </c>
      <c r="J324" s="46" t="str">
        <f>IFERROR(__xludf.DUMMYFUNCTION("""COMPUTED_VALUE"""),"https://drive.google.com/drive/folders/1ScM4o-iiG7Yq4YlMxRYbGyPpNJJe00ro")</f>
        <v>https://drive.google.com/drive/folders/1ScM4o-iiG7Yq4YlMxRYbGyPpNJJe00ro</v>
      </c>
      <c r="K324" s="42"/>
      <c r="L324" s="42"/>
      <c r="M324" s="42"/>
    </row>
    <row r="325">
      <c r="A325" s="43">
        <f>IFERROR(__xludf.DUMMYFUNCTION("""COMPUTED_VALUE"""),44103.602300694445)</f>
        <v>44103.6023</v>
      </c>
      <c r="B325" s="42" t="str">
        <f>IFERROR(__xludf.DUMMYFUNCTION("""COMPUTED_VALUE"""),"Mohamad Ali Farhan")</f>
        <v>Mohamad Ali Farhan</v>
      </c>
      <c r="C325" s="42" t="str">
        <f>IFERROR(__xludf.DUMMYFUNCTION("""COMPUTED_VALUE"""),"Online")</f>
        <v>Online</v>
      </c>
      <c r="D325" s="42" t="str">
        <f>IFERROR(__xludf.DUMMYFUNCTION("""COMPUTED_VALUE"""),"Fullstack Web Developer")</f>
        <v>Fullstack Web Developer</v>
      </c>
      <c r="E325" s="42">
        <f>IFERROR(__xludf.DUMMYFUNCTION("""COMPUTED_VALUE"""),4.0)</f>
        <v>4</v>
      </c>
      <c r="F325" s="42">
        <f>IFERROR(__xludf.DUMMYFUNCTION("""COMPUTED_VALUE"""),1.0)</f>
        <v>1</v>
      </c>
      <c r="G325" s="42" t="str">
        <f>IFERROR(__xludf.DUMMYFUNCTION("""COMPUTED_VALUE"""),"ARKWH4")</f>
        <v>ARKWH4</v>
      </c>
      <c r="H325" s="42"/>
      <c r="I325" s="46" t="str">
        <f>IFERROR(__xludf.DUMMYFUNCTION("""COMPUTED_VALUE"""),"https://repl.it/join/gcusxvpo-alfahan")</f>
        <v>https://repl.it/join/gcusxvpo-alfahan</v>
      </c>
      <c r="J325" s="42"/>
      <c r="K325" s="42"/>
      <c r="L325" s="42">
        <f>IFERROR(__xludf.DUMMYFUNCTION("""COMPUTED_VALUE"""),0.0)</f>
        <v>0</v>
      </c>
      <c r="M325" s="42" t="str">
        <f>IFERROR(__xludf.DUMMYFUNCTION("""COMPUTED_VALUE"""),"code tidak bisa di buka &amp; flowchart tidak ada")</f>
        <v>code tidak bisa di buka &amp; flowchart tidak ada</v>
      </c>
    </row>
    <row r="326">
      <c r="A326" s="43">
        <f>IFERROR(__xludf.DUMMYFUNCTION("""COMPUTED_VALUE"""),44103.60422188658)</f>
        <v>44103.60422</v>
      </c>
      <c r="B326" s="42" t="str">
        <f>IFERROR(__xludf.DUMMYFUNCTION("""COMPUTED_VALUE"""),"Reynaldi Putra Hertiansa")</f>
        <v>Reynaldi Putra Hertiansa</v>
      </c>
      <c r="C326" s="42" t="str">
        <f>IFERROR(__xludf.DUMMYFUNCTION("""COMPUTED_VALUE"""),"Online")</f>
        <v>Online</v>
      </c>
      <c r="D326" s="42" t="str">
        <f>IFERROR(__xludf.DUMMYFUNCTION("""COMPUTED_VALUE"""),"Fullstack Web Developer")</f>
        <v>Fullstack Web Developer</v>
      </c>
      <c r="E326" s="42">
        <f>IFERROR(__xludf.DUMMYFUNCTION("""COMPUTED_VALUE"""),4.0)</f>
        <v>4</v>
      </c>
      <c r="F326" s="42">
        <f>IFERROR(__xludf.DUMMYFUNCTION("""COMPUTED_VALUE"""),1.0)</f>
        <v>1</v>
      </c>
      <c r="G326" s="42" t="str">
        <f>IFERROR(__xludf.DUMMYFUNCTION("""COMPUTED_VALUE"""),"ARKWH4")</f>
        <v>ARKWH4</v>
      </c>
      <c r="H326" s="42"/>
      <c r="I326" s="46" t="str">
        <f>IFERROR(__xludf.DUMMYFUNCTION("""COMPUTED_VALUE"""),"https://repl.it/@rphertiansa/ARKWH4")</f>
        <v>https://repl.it/@rphertiansa/ARKWH4</v>
      </c>
      <c r="J326" s="46" t="str">
        <f>IFERROR(__xludf.DUMMYFUNCTION("""COMPUTED_VALUE"""),"https://drive.google.com/file/d/1gHjvsxc61sqWCHXVALhahEvYhas1bQ0_/view?usp=sharing")</f>
        <v>https://drive.google.com/file/d/1gHjvsxc61sqWCHXVALhahEvYhas1bQ0_/view?usp=sharing</v>
      </c>
      <c r="K326" s="46" t="str">
        <f>IFERROR(__xludf.DUMMYFUNCTION("""COMPUTED_VALUE"""),"https://drive.google.com/open?id=1CpMC-igndCOubK3SmLc4WsClV1Q1XUPW")</f>
        <v>https://drive.google.com/open?id=1CpMC-igndCOubK3SmLc4WsClV1Q1XUPW</v>
      </c>
      <c r="L326" s="42">
        <f>IFERROR(__xludf.DUMMYFUNCTION("""COMPUTED_VALUE"""),1.75)</f>
        <v>1.75</v>
      </c>
      <c r="M326" s="42" t="str">
        <f>IFERROR(__xludf.DUMMYFUNCTION("""COMPUTED_VALUE"""),"flowchart masih kurang sempurna")</f>
        <v>flowchart masih kurang sempurna</v>
      </c>
    </row>
    <row r="327">
      <c r="A327" s="43">
        <f>IFERROR(__xludf.DUMMYFUNCTION("""COMPUTED_VALUE"""),44103.61790570602)</f>
        <v>44103.61791</v>
      </c>
      <c r="B327" s="42" t="str">
        <f>IFERROR(__xludf.DUMMYFUNCTION("""COMPUTED_VALUE"""),"Mochamad Sofyan")</f>
        <v>Mochamad Sofyan</v>
      </c>
      <c r="C327" s="42" t="str">
        <f>IFERROR(__xludf.DUMMYFUNCTION("""COMPUTED_VALUE"""),"Online")</f>
        <v>Online</v>
      </c>
      <c r="D327" s="42" t="str">
        <f>IFERROR(__xludf.DUMMYFUNCTION("""COMPUTED_VALUE"""),"Fullstack Web Developer")</f>
        <v>Fullstack Web Developer</v>
      </c>
      <c r="E327" s="42">
        <f>IFERROR(__xludf.DUMMYFUNCTION("""COMPUTED_VALUE"""),4.0)</f>
        <v>4</v>
      </c>
      <c r="F327" s="42">
        <f>IFERROR(__xludf.DUMMYFUNCTION("""COMPUTED_VALUE"""),1.0)</f>
        <v>1</v>
      </c>
      <c r="G327" s="42" t="str">
        <f>IFERROR(__xludf.DUMMYFUNCTION("""COMPUTED_VALUE"""),"ARKWH4")</f>
        <v>ARKWH4</v>
      </c>
      <c r="H327" s="42"/>
      <c r="I327" s="46" t="str">
        <f>IFERROR(__xludf.DUMMYFUNCTION("""COMPUTED_VALUE"""),"https://repl.it/@mochsofyan17/RipeLimitedExternalcommand#index.js")</f>
        <v>https://repl.it/@mochsofyan17/RipeLimitedExternalcommand#index.js</v>
      </c>
      <c r="J327" s="46" t="str">
        <f>IFERROR(__xludf.DUMMYFUNCTION("""COMPUTED_VALUE"""),"https://drive.google.com/file/d/1SKozD1CO_XyA0hHcD63pl_1oDbLEVo9e/view?usp=sharing")</f>
        <v>https://drive.google.com/file/d/1SKozD1CO_XyA0hHcD63pl_1oDbLEVo9e/view?usp=sharing</v>
      </c>
      <c r="K327" s="42"/>
      <c r="L327" s="42">
        <f>IFERROR(__xludf.DUMMYFUNCTION("""COMPUTED_VALUE"""),0.75)</f>
        <v>0.75</v>
      </c>
      <c r="M327" s="42" t="str">
        <f>IFERROR(__xludf.DUMMYFUNCTION("""COMPUTED_VALUE"""),"code tidak sesuai, flowchart sudah lumayan")</f>
        <v>code tidak sesuai, flowchart sudah lumayan</v>
      </c>
    </row>
    <row r="328">
      <c r="A328" s="43">
        <f>IFERROR(__xludf.DUMMYFUNCTION("""COMPUTED_VALUE"""),44103.62437587963)</f>
        <v>44103.62438</v>
      </c>
      <c r="B328" s="42" t="str">
        <f>IFERROR(__xludf.DUMMYFUNCTION("""COMPUTED_VALUE"""),"farhan ammar dzakwan")</f>
        <v>farhan ammar dzakwan</v>
      </c>
      <c r="C328" s="42" t="str">
        <f>IFERROR(__xludf.DUMMYFUNCTION("""COMPUTED_VALUE"""),"Online")</f>
        <v>Online</v>
      </c>
      <c r="D328" s="42" t="str">
        <f>IFERROR(__xludf.DUMMYFUNCTION("""COMPUTED_VALUE"""),"Fullstack Web Developer")</f>
        <v>Fullstack Web Developer</v>
      </c>
      <c r="E328" s="42">
        <f>IFERROR(__xludf.DUMMYFUNCTION("""COMPUTED_VALUE"""),4.0)</f>
        <v>4</v>
      </c>
      <c r="F328" s="42">
        <f>IFERROR(__xludf.DUMMYFUNCTION("""COMPUTED_VALUE"""),1.0)</f>
        <v>1</v>
      </c>
      <c r="G328" s="42" t="str">
        <f>IFERROR(__xludf.DUMMYFUNCTION("""COMPUTED_VALUE"""),"ARKWH4")</f>
        <v>ARKWH4</v>
      </c>
      <c r="H328" s="42"/>
      <c r="I328" s="46" t="str">
        <f>IFERROR(__xludf.DUMMYFUNCTION("""COMPUTED_VALUE"""),"https://repl.it/join/nwhjvnkx-farhanammar")</f>
        <v>https://repl.it/join/nwhjvnkx-farhanammar</v>
      </c>
      <c r="J328" s="42" t="str">
        <f>IFERROR(__xludf.DUMMYFUNCTION("""COMPUTED_VALUE"""),"https://viewer.diagrams.net/?highlight=0000ff&amp;edit=_blank&amp;layers=1&amp;nav=1#R5VnLdtowEP0alunxA%2FNYJkDSRXJO2izaZCdsxRbIkivLgPP1HWH5zSs0QHK6SayRPJbu3DszNh17FK7uBIqCB%2B5h2rEMb9Wxxx3LMk2zD%2F%2BUJc0sfaOXGXxBPL2oNDyRN6yNhrYmxMNxbaHknEoS1Y0uZwy7smZDQvBlfdkrp%2FW"&amp;"nRsjHLcOTi2jb%2Bot4MsisA6tf2r9j4gf5k83eMJsJUb5YnyQOkMeXFZM96dgjwbnMrsLVCFMFXo5Ldt%2FtltliYwIzecgNqbO4Sr3xhA6I0fd%2BPHjPiXs10HuTaX5g7MH59ZALGXCfM0QnpfVG8IR5WHk1YFSuuec8AqMJxhmWMtXBRInkYApkSPVse%2Bf6MDFPhIt3bFejrvZYuVGf9w7zEEuRwgKBKZJkUY8h0lTwi3XFrY%2BcwFYs"&amp;"Q9N2qEOmOWvZRt2DRMLHUt9UQg4XlV2UpnUg3hEUfcoFook%2BQQxPlO1QUQoyUCFZBkTipwitwVuCEg8EfIGFxKudUOpZuw7JQA%2BXpSbMnOhBRQ89Yzv2Ndjei1GeH74Kc4cXYa5tnpe5wxZzCYsSmWGGICVioWoB8RBFoYINTxMUqLycMFcSzjpWD4WKvWwaRwXglSBDFo3UpfJHKabcB7%2BwMMKCwO7Bf2PusZzYJ5NXssJ5CTqNbCzjQ"&amp;"N10T6Yb61Pp5sx66FqH6WGvrvoNP5n%2BT6Yr0%2Fmfo%2BY01XBk1LqDM0et20qHFLAnzFf9IWa%2BnzA0Z%2Bu2VGDkBq0g10N49ipflI%2FLlfneRgjBQpFPqjAijSP8TZhM5noOSxQkpPBQKTl8OlMvDJ8M8iJDXQxy64t1VvkbZpYUdh3sTNnLNOoh7TfTzombMLP9%2FrCD5eZ5WO7UIOkNL81yc%2FipWH7yitr91ojAwDmyprY82Q1P"&amp;"J66qBflKemPmtaN5xpfj7hbB72N3MzEcw%2B7kJ%2BejW%2F%2FPy%2BzlcWj47P56Ob7qXoLcgJ9If1cHz8oZ0EUPxyvtPBulerRRAXtrwcZz518I95WCrK34cJW1ivmBjeu1ECitLIvUgnhHhek3GmQt5m2aba7vOkaDYtkOjtXprlhUZAqNl9rUnDOPxNCT9SjE6GYKLVvPV1czMkeVTq34FrCeBBcbyljAw2kSHyrylqI3sGyryK162nPyt"&amp;"FcVub1B5EU78OEqt1sIp6gFERxY1rFAlPgMrl04%2BPqziIKFuIhe64mQeF6WEnBM3tB07UopVfMS%2FDo3HWesfEEWiJtfTP4JZtNolBennUw3wdx8sz8AZRiWn98z2pc%2FYtiTvw%3D%3D")</f>
        <v>https://viewer.diagrams.net/?highlight=0000ff&amp;edit=_blank&amp;layers=1&amp;nav=1#R5VnLdtowEP0alunxA%2FNYJkDSRXJO2izaZCdsxRbIkivLgPP1HWH5zSs0QHK6SayRPJbu3DszNh17FK7uBIqCB%2B5h2rEMb9Wxxx3LMk2zD%2F%2BUJc0sfaOXGXxBPL2oNDyRN6yNhrYmxMNxbaHknEoS1Y0uZwy7smZDQvBlfdkrp%2FWnRsjHLcOTi2jb%2Bot4MsisA6tf2r9j4gf5k83eMJsJUb5YnyQOkMeXFZM96dgjwbnMrsLVCFMFXo5Ldt%2FtltliYwIzecgNqbO4Sr3xhA6I0fd%2BPHjPiXs10HuTaX5g7MH59ZALGXCfM0QnpfVG8IR5WHk1YFSuuec8AqMJxhmWMtXBRInkYApkSPVse%2Bf6MDFPhIt3bFejrvZYuVGf9w7zEEuRwgKBKZJkUY8h0lTwi3XFrY%2BcwFYsQ9N2qEOmOWvZRt2DRMLHUt9UQg4XlV2UpnUg3hEUfcoFook%2BQQxPlO1QUQoyUCFZBkTipwitwVuCEg8EfIGFxKudUOpZuw7JQA%2BXpSbMnOhBRQ89Yzv2Ndjei1GeH74Kc4cXYa5tnpe5wxZzCYsSmWGGICVioWoB8RBFoYINTxMUqLycMFcSzjpWD4WKvWwaRwXglSBDFo3UpfJHKabcB7%2BwMMKCwO7Bf2PusZzYJ5NXssJ5CTqNbCzjQN10T6Yb61Pp5sx66FqH6WGvrvoNP5n%2BT6Yr0%2Fmfo%2BY01XBk1LqDM0et20qHFLAnzFf9IWa%2BnzA0Z%2Bu2VGDkBq0g10N49ipflI%2FLlfneRgjBQpFPqjAijSP8TZhM5noOSxQkpPBQKTl8OlMvDJ8M8iJDXQxy64t1VvkbZpYUdh3sTNnLNOoh7TfTzombMLP9%2FrCD5eZ5WO7UIOkNL81yc%2FipWH7yitr91ojAwDmyprY82Q1PJ66qBflKemPmtaN5xpfj7hbB72N3MzEcw%2B7kJ%2BejW%2F%2FPy%2BzlcWj47P56Ob7qXoLcgJ9If1cHz8oZ0EUPxyvtPBulerRRAXtrwcZz518I95WCrK34cJW1ivmBjeu1ECitLIvUgnhHhek3GmQt5m2aba7vOkaDYtkOjtXprlhUZAqNl9rUnDOPxNCT9SjE6GYKLVvPV1czMkeVTq34FrCeBBcbyljAw2kSHyrylqI3sGyryK162nPytFcVub1B5EU78OEqt1sIp6gFERxY1rFAlPgMrl04%2BPqziIKFuIhe64mQeF6WEnBM3tB07UopVfMS%2FDo3HWesfEEWiJtfTP4JZtNolBennUw3wdx8sz8AZRiWn98z2pc%2FYtiTvw%3D%3D</v>
      </c>
      <c r="K328" s="42"/>
      <c r="L328" s="42">
        <f>IFERROR(__xludf.DUMMYFUNCTION("""COMPUTED_VALUE"""),0.0)</f>
        <v>0</v>
      </c>
      <c r="M328" s="42" t="str">
        <f>IFERROR(__xludf.DUMMYFUNCTION("""COMPUTED_VALUE"""),"code tidak bisa di buka &amp; flowchart tidak bisa di buka")</f>
        <v>code tidak bisa di buka &amp; flowchart tidak bisa di buka</v>
      </c>
    </row>
    <row r="329">
      <c r="A329" s="43">
        <f>IFERROR(__xludf.DUMMYFUNCTION("""COMPUTED_VALUE"""),44103.62572636574)</f>
        <v>44103.62573</v>
      </c>
      <c r="B329" s="42" t="str">
        <f>IFERROR(__xludf.DUMMYFUNCTION("""COMPUTED_VALUE"""),"Shofira Khairunnisa")</f>
        <v>Shofira Khairunnisa</v>
      </c>
      <c r="C329" s="42" t="str">
        <f>IFERROR(__xludf.DUMMYFUNCTION("""COMPUTED_VALUE"""),"Online")</f>
        <v>Online</v>
      </c>
      <c r="D329" s="42" t="str">
        <f>IFERROR(__xludf.DUMMYFUNCTION("""COMPUTED_VALUE"""),"Fullstack Web Developer")</f>
        <v>Fullstack Web Developer</v>
      </c>
      <c r="E329" s="42">
        <f>IFERROR(__xludf.DUMMYFUNCTION("""COMPUTED_VALUE"""),4.0)</f>
        <v>4</v>
      </c>
      <c r="F329" s="42">
        <f>IFERROR(__xludf.DUMMYFUNCTION("""COMPUTED_VALUE"""),1.0)</f>
        <v>1</v>
      </c>
      <c r="G329" s="42" t="str">
        <f>IFERROR(__xludf.DUMMYFUNCTION("""COMPUTED_VALUE"""),"ARKWH4")</f>
        <v>ARKWH4</v>
      </c>
      <c r="H329" s="42"/>
      <c r="I329" s="46" t="str">
        <f>IFERROR(__xludf.DUMMYFUNCTION("""COMPUTED_VALUE"""),"https://repl.it/@Shofira/quiz3#index.js")</f>
        <v>https://repl.it/@Shofira/quiz3#index.js</v>
      </c>
      <c r="J329" s="46" t="str">
        <f>IFERROR(__xludf.DUMMYFUNCTION("""COMPUTED_VALUE"""),"https://drive.google.com/file/d/112JWdzzzzi8S_p94kqR8AXsgVePBhmMf/view?usp=sharing")</f>
        <v>https://drive.google.com/file/d/112JWdzzzzi8S_p94kqR8AXsgVePBhmMf/view?usp=sharing</v>
      </c>
      <c r="K329" s="42"/>
      <c r="L329" s="42">
        <f>IFERROR(__xludf.DUMMYFUNCTION("""COMPUTED_VALUE"""),0.5)</f>
        <v>0.5</v>
      </c>
      <c r="M329" s="42" t="str">
        <f>IFERROR(__xludf.DUMMYFUNCTION("""COMPUTED_VALUE"""),"code belum selesai, flowchart tidak bisa di buka")</f>
        <v>code belum selesai, flowchart tidak bisa di buka</v>
      </c>
    </row>
    <row r="330">
      <c r="A330" s="43">
        <f>IFERROR(__xludf.DUMMYFUNCTION("""COMPUTED_VALUE"""),44103.6275387037)</f>
        <v>44103.62754</v>
      </c>
      <c r="B330" s="42" t="str">
        <f>IFERROR(__xludf.DUMMYFUNCTION("""COMPUTED_VALUE"""),"Riza Radia Rivaldo")</f>
        <v>Riza Radia Rivaldo</v>
      </c>
      <c r="C330" s="42" t="str">
        <f>IFERROR(__xludf.DUMMYFUNCTION("""COMPUTED_VALUE"""),"Online")</f>
        <v>Online</v>
      </c>
      <c r="D330" s="42" t="str">
        <f>IFERROR(__xludf.DUMMYFUNCTION("""COMPUTED_VALUE"""),"Fullstack Web Developer")</f>
        <v>Fullstack Web Developer</v>
      </c>
      <c r="E330" s="42">
        <f>IFERROR(__xludf.DUMMYFUNCTION("""COMPUTED_VALUE"""),4.0)</f>
        <v>4</v>
      </c>
      <c r="F330" s="42">
        <f>IFERROR(__xludf.DUMMYFUNCTION("""COMPUTED_VALUE"""),1.0)</f>
        <v>1</v>
      </c>
      <c r="G330" s="42" t="str">
        <f>IFERROR(__xludf.DUMMYFUNCTION("""COMPUTED_VALUE"""),"ARKWH4")</f>
        <v>ARKWH4</v>
      </c>
      <c r="H330" s="42"/>
      <c r="I330" s="46" t="str">
        <f>IFERROR(__xludf.DUMMYFUNCTION("""COMPUTED_VALUE"""),"https://repl.it/@RizaRadiaRadia/Quiz-3")</f>
        <v>https://repl.it/@RizaRadiaRadia/Quiz-3</v>
      </c>
      <c r="J330" s="46" t="str">
        <f>IFERROR(__xludf.DUMMYFUNCTION("""COMPUTED_VALUE"""),"https://drive.google.com/file/d/1WesZy_gkyQ9fiBujH8-SXcZ8lh5EbITF/view?usp=sharing")</f>
        <v>https://drive.google.com/file/d/1WesZy_gkyQ9fiBujH8-SXcZ8lh5EbITF/view?usp=sharing</v>
      </c>
      <c r="K330" s="42"/>
      <c r="L330" s="42">
        <f>IFERROR(__xludf.DUMMYFUNCTION("""COMPUTED_VALUE"""),0.5)</f>
        <v>0.5</v>
      </c>
      <c r="M330" s="42" t="str">
        <f>IFERROR(__xludf.DUMMYFUNCTION("""COMPUTED_VALUE"""),"code belum selesai, flowchart belum sempurna")</f>
        <v>code belum selesai, flowchart belum sempurna</v>
      </c>
    </row>
    <row r="331">
      <c r="A331" s="43">
        <f>IFERROR(__xludf.DUMMYFUNCTION("""COMPUTED_VALUE"""),44103.627637048616)</f>
        <v>44103.62764</v>
      </c>
      <c r="B331" s="42" t="str">
        <f>IFERROR(__xludf.DUMMYFUNCTION("""COMPUTED_VALUE"""),"Rido Maulana Solihin")</f>
        <v>Rido Maulana Solihin</v>
      </c>
      <c r="C331" s="42" t="str">
        <f>IFERROR(__xludf.DUMMYFUNCTION("""COMPUTED_VALUE"""),"Online")</f>
        <v>Online</v>
      </c>
      <c r="D331" s="42" t="str">
        <f>IFERROR(__xludf.DUMMYFUNCTION("""COMPUTED_VALUE"""),"Fullstack Web Developer")</f>
        <v>Fullstack Web Developer</v>
      </c>
      <c r="E331" s="42">
        <f>IFERROR(__xludf.DUMMYFUNCTION("""COMPUTED_VALUE"""),4.0)</f>
        <v>4</v>
      </c>
      <c r="F331" s="42">
        <f>IFERROR(__xludf.DUMMYFUNCTION("""COMPUTED_VALUE"""),1.0)</f>
        <v>1</v>
      </c>
      <c r="G331" s="42" t="str">
        <f>IFERROR(__xludf.DUMMYFUNCTION("""COMPUTED_VALUE"""),"ARKWH4")</f>
        <v>ARKWH4</v>
      </c>
      <c r="H331" s="42"/>
      <c r="I331" s="46" t="str">
        <f>IFERROR(__xludf.DUMMYFUNCTION("""COMPUTED_VALUE"""),"https://repl.it/@ridoNev1/arka-kuis-ARKWH4")</f>
        <v>https://repl.it/@ridoNev1/arka-kuis-ARKWH4</v>
      </c>
      <c r="J331" s="42"/>
      <c r="K331" s="42"/>
      <c r="L331" s="42">
        <f>IFERROR(__xludf.DUMMYFUNCTION("""COMPUTED_VALUE"""),1.25)</f>
        <v>1.25</v>
      </c>
      <c r="M331" s="42" t="str">
        <f>IFERROR(__xludf.DUMMYFUNCTION("""COMPUTED_VALUE"""),"flowchart nya mana?")</f>
        <v>flowchart nya mana?</v>
      </c>
    </row>
    <row r="332">
      <c r="A332" s="43">
        <f>IFERROR(__xludf.DUMMYFUNCTION("""COMPUTED_VALUE"""),44103.62858474537)</f>
        <v>44103.62858</v>
      </c>
      <c r="B332" s="42" t="str">
        <f>IFERROR(__xludf.DUMMYFUNCTION("""COMPUTED_VALUE"""),"Satria Adhi Nugraha")</f>
        <v>Satria Adhi Nugraha</v>
      </c>
      <c r="C332" s="42" t="str">
        <f>IFERROR(__xludf.DUMMYFUNCTION("""COMPUTED_VALUE"""),"Online")</f>
        <v>Online</v>
      </c>
      <c r="D332" s="42" t="str">
        <f>IFERROR(__xludf.DUMMYFUNCTION("""COMPUTED_VALUE"""),"Fullstack Web Developer")</f>
        <v>Fullstack Web Developer</v>
      </c>
      <c r="E332" s="42">
        <f>IFERROR(__xludf.DUMMYFUNCTION("""COMPUTED_VALUE"""),4.0)</f>
        <v>4</v>
      </c>
      <c r="F332" s="42">
        <f>IFERROR(__xludf.DUMMYFUNCTION("""COMPUTED_VALUE"""),1.0)</f>
        <v>1</v>
      </c>
      <c r="G332" s="42" t="str">
        <f>IFERROR(__xludf.DUMMYFUNCTION("""COMPUTED_VALUE"""),"ARKWH4")</f>
        <v>ARKWH4</v>
      </c>
      <c r="H332" s="42"/>
      <c r="I332" s="46" t="str">
        <f>IFERROR(__xludf.DUMMYFUNCTION("""COMPUTED_VALUE"""),"https://repl.it/@SATRIA05/Weekly-Quiz-4")</f>
        <v>https://repl.it/@SATRIA05/Weekly-Quiz-4</v>
      </c>
      <c r="J332" s="42"/>
      <c r="K332" s="46" t="str">
        <f>IFERROR(__xludf.DUMMYFUNCTION("""COMPUTED_VALUE"""),"https://drive.google.com/open?id=1U3EMvyNuTv2gzHfiAJDeFDHRoOFJE54E")</f>
        <v>https://drive.google.com/open?id=1U3EMvyNuTv2gzHfiAJDeFDHRoOFJE54E</v>
      </c>
      <c r="L332" s="42">
        <f>IFERROR(__xludf.DUMMYFUNCTION("""COMPUTED_VALUE"""),1.0)</f>
        <v>1</v>
      </c>
      <c r="M332" s="42" t="str">
        <f>IFERROR(__xludf.DUMMYFUNCTION("""COMPUTED_VALUE"""),"code dan flowchart belum selesai")</f>
        <v>code dan flowchart belum selesai</v>
      </c>
    </row>
    <row r="333">
      <c r="A333" s="43">
        <f>IFERROR(__xludf.DUMMYFUNCTION("""COMPUTED_VALUE"""),44103.62894101852)</f>
        <v>44103.62894</v>
      </c>
      <c r="B333" s="42" t="str">
        <f>IFERROR(__xludf.DUMMYFUNCTION("""COMPUTED_VALUE"""),"Bagaskara Ramadhan")</f>
        <v>Bagaskara Ramadhan</v>
      </c>
      <c r="C333" s="42" t="str">
        <f>IFERROR(__xludf.DUMMYFUNCTION("""COMPUTED_VALUE"""),"Online")</f>
        <v>Online</v>
      </c>
      <c r="D333" s="42" t="str">
        <f>IFERROR(__xludf.DUMMYFUNCTION("""COMPUTED_VALUE"""),"Fullstack Web Developer")</f>
        <v>Fullstack Web Developer</v>
      </c>
      <c r="E333" s="42">
        <f>IFERROR(__xludf.DUMMYFUNCTION("""COMPUTED_VALUE"""),4.0)</f>
        <v>4</v>
      </c>
      <c r="F333" s="42">
        <f>IFERROR(__xludf.DUMMYFUNCTION("""COMPUTED_VALUE"""),1.0)</f>
        <v>1</v>
      </c>
      <c r="G333" s="42" t="str">
        <f>IFERROR(__xludf.DUMMYFUNCTION("""COMPUTED_VALUE"""),"ARKWH4")</f>
        <v>ARKWH4</v>
      </c>
      <c r="H333" s="42"/>
      <c r="I333" s="46" t="str">
        <f>IFERROR(__xludf.DUMMYFUNCTION("""COMPUTED_VALUE"""),"https://repl.it/@bagaskaramadhan/findShoes#index.js")</f>
        <v>https://repl.it/@bagaskaramadhan/findShoes#index.js</v>
      </c>
      <c r="J333" s="46" t="str">
        <f>IFERROR(__xludf.DUMMYFUNCTION("""COMPUTED_VALUE"""),"https://drive.google.com/file/d/1XXL1iDF9L8fZM-B0p8P7ntAG-eRJ4dlE/view?usp=sharing")</f>
        <v>https://drive.google.com/file/d/1XXL1iDF9L8fZM-B0p8P7ntAG-eRJ4dlE/view?usp=sharing</v>
      </c>
      <c r="K333" s="46" t="str">
        <f>IFERROR(__xludf.DUMMYFUNCTION("""COMPUTED_VALUE"""),"https://drive.google.com/open?id=1PlmGBiZ5pHj6TEYocnCsFLU6af2VO9jW")</f>
        <v>https://drive.google.com/open?id=1PlmGBiZ5pHj6TEYocnCsFLU6af2VO9jW</v>
      </c>
      <c r="L333" s="42">
        <f>IFERROR(__xludf.DUMMYFUNCTION("""COMPUTED_VALUE"""),1.25)</f>
        <v>1.25</v>
      </c>
      <c r="M333" s="42" t="str">
        <f>IFERROR(__xludf.DUMMYFUNCTION("""COMPUTED_VALUE"""),"code masih kurang sesuai, flowchart masih belum sempurna")</f>
        <v>code masih kurang sesuai, flowchart masih belum sempurna</v>
      </c>
    </row>
    <row r="334">
      <c r="A334" s="43">
        <f>IFERROR(__xludf.DUMMYFUNCTION("""COMPUTED_VALUE"""),44103.62924738426)</f>
        <v>44103.62925</v>
      </c>
      <c r="B334" s="42" t="str">
        <f>IFERROR(__xludf.DUMMYFUNCTION("""COMPUTED_VALUE"""),"Rifqy Andika Al Akbar al akbar")</f>
        <v>Rifqy Andika Al Akbar al akbar</v>
      </c>
      <c r="C334" s="42" t="str">
        <f>IFERROR(__xludf.DUMMYFUNCTION("""COMPUTED_VALUE"""),"Online")</f>
        <v>Online</v>
      </c>
      <c r="D334" s="42" t="str">
        <f>IFERROR(__xludf.DUMMYFUNCTION("""COMPUTED_VALUE"""),"Fullstack Web Developer")</f>
        <v>Fullstack Web Developer</v>
      </c>
      <c r="E334" s="42">
        <f>IFERROR(__xludf.DUMMYFUNCTION("""COMPUTED_VALUE"""),4.0)</f>
        <v>4</v>
      </c>
      <c r="F334" s="42">
        <f>IFERROR(__xludf.DUMMYFUNCTION("""COMPUTED_VALUE"""),1.0)</f>
        <v>1</v>
      </c>
      <c r="G334" s="42" t="str">
        <f>IFERROR(__xludf.DUMMYFUNCTION("""COMPUTED_VALUE"""),"ARKWH4")</f>
        <v>ARKWH4</v>
      </c>
      <c r="H334" s="42"/>
      <c r="I334" s="46" t="str">
        <f>IFERROR(__xludf.DUMMYFUNCTION("""COMPUTED_VALUE"""),"https://repl.it/join/zwiggyzi-andikakiky")</f>
        <v>https://repl.it/join/zwiggyzi-andikakiky</v>
      </c>
      <c r="J334" s="42"/>
      <c r="K334" s="46" t="str">
        <f>IFERROR(__xludf.DUMMYFUNCTION("""COMPUTED_VALUE"""),"https://drive.google.com/open?id=1hAVTfMgQFpWLmu3Z1AfYWeRignMUwj9k")</f>
        <v>https://drive.google.com/open?id=1hAVTfMgQFpWLmu3Z1AfYWeRignMUwj9k</v>
      </c>
      <c r="L334" s="42">
        <f>IFERROR(__xludf.DUMMYFUNCTION("""COMPUTED_VALUE"""),1.0)</f>
        <v>1</v>
      </c>
      <c r="M334" s="42" t="str">
        <f>IFERROR(__xludf.DUMMYFUNCTION("""COMPUTED_VALUE"""),"code &amp; flowchart belum selesai")</f>
        <v>code &amp; flowchart belum selesai</v>
      </c>
    </row>
    <row r="335">
      <c r="A335" s="43">
        <f>IFERROR(__xludf.DUMMYFUNCTION("""COMPUTED_VALUE"""),44103.62965880787)</f>
        <v>44103.62966</v>
      </c>
      <c r="B335" s="42" t="str">
        <f>IFERROR(__xludf.DUMMYFUNCTION("""COMPUTED_VALUE"""),"Panji Kusumarizki")</f>
        <v>Panji Kusumarizki</v>
      </c>
      <c r="C335" s="42" t="str">
        <f>IFERROR(__xludf.DUMMYFUNCTION("""COMPUTED_VALUE"""),"Online")</f>
        <v>Online</v>
      </c>
      <c r="D335" s="42" t="str">
        <f>IFERROR(__xludf.DUMMYFUNCTION("""COMPUTED_VALUE"""),"Fullstack Web Developer")</f>
        <v>Fullstack Web Developer</v>
      </c>
      <c r="E335" s="42">
        <f>IFERROR(__xludf.DUMMYFUNCTION("""COMPUTED_VALUE"""),4.0)</f>
        <v>4</v>
      </c>
      <c r="F335" s="42">
        <f>IFERROR(__xludf.DUMMYFUNCTION("""COMPUTED_VALUE"""),1.0)</f>
        <v>1</v>
      </c>
      <c r="G335" s="42" t="str">
        <f>IFERROR(__xludf.DUMMYFUNCTION("""COMPUTED_VALUE"""),"ARKWH4")</f>
        <v>ARKWH4</v>
      </c>
      <c r="H335" s="42"/>
      <c r="I335" s="46" t="str">
        <f>IFERROR(__xludf.DUMMYFUNCTION("""COMPUTED_VALUE"""),"https://repl.it/@PanjiKusuma/quis4#index.js")</f>
        <v>https://repl.it/@PanjiKusuma/quis4#index.js</v>
      </c>
      <c r="J335" s="46" t="str">
        <f>IFERROR(__xludf.DUMMYFUNCTION("""COMPUTED_VALUE"""),"https://drive.google.com/file/d/112vHonlRWR4K8oNk5-gQAMb7-sWLLJkz/view?usp=sharing")</f>
        <v>https://drive.google.com/file/d/112vHonlRWR4K8oNk5-gQAMb7-sWLLJkz/view?usp=sharing</v>
      </c>
      <c r="K335" s="42"/>
      <c r="L335" s="42">
        <f>IFERROR(__xludf.DUMMYFUNCTION("""COMPUTED_VALUE"""),2.0)</f>
        <v>2</v>
      </c>
      <c r="M335" s="42"/>
    </row>
    <row r="336">
      <c r="A336" s="43">
        <f>IFERROR(__xludf.DUMMYFUNCTION("""COMPUTED_VALUE"""),44103.62973219907)</f>
        <v>44103.62973</v>
      </c>
      <c r="B336" s="42" t="str">
        <f>IFERROR(__xludf.DUMMYFUNCTION("""COMPUTED_VALUE"""),"Wisnu Giri")</f>
        <v>Wisnu Giri</v>
      </c>
      <c r="C336" s="42" t="str">
        <f>IFERROR(__xludf.DUMMYFUNCTION("""COMPUTED_VALUE"""),"Online")</f>
        <v>Online</v>
      </c>
      <c r="D336" s="42" t="str">
        <f>IFERROR(__xludf.DUMMYFUNCTION("""COMPUTED_VALUE"""),"Fullstack Web Developer")</f>
        <v>Fullstack Web Developer</v>
      </c>
      <c r="E336" s="42">
        <f>IFERROR(__xludf.DUMMYFUNCTION("""COMPUTED_VALUE"""),4.0)</f>
        <v>4</v>
      </c>
      <c r="F336" s="42">
        <f>IFERROR(__xludf.DUMMYFUNCTION("""COMPUTED_VALUE"""),1.0)</f>
        <v>1</v>
      </c>
      <c r="G336" s="42" t="str">
        <f>IFERROR(__xludf.DUMMYFUNCTION("""COMPUTED_VALUE"""),"ARKWH4")</f>
        <v>ARKWH4</v>
      </c>
      <c r="H336" s="42"/>
      <c r="I336" s="46" t="str">
        <f>IFERROR(__xludf.DUMMYFUNCTION("""COMPUTED_VALUE"""),"https://repl.it/@Wsngr/Quiz4")</f>
        <v>https://repl.it/@Wsngr/Quiz4</v>
      </c>
      <c r="J336" s="42"/>
      <c r="K336" s="42"/>
      <c r="L336" s="42">
        <f>IFERROR(__xludf.DUMMYFUNCTION("""COMPUTED_VALUE"""),1.0)</f>
        <v>1</v>
      </c>
      <c r="M336" s="42" t="str">
        <f>IFERROR(__xludf.DUMMYFUNCTION("""COMPUTED_VALUE"""),"code belum sesuai, flowchart nya mana?")</f>
        <v>code belum sesuai, flowchart nya mana?</v>
      </c>
    </row>
    <row r="337">
      <c r="A337" s="43">
        <f>IFERROR(__xludf.DUMMYFUNCTION("""COMPUTED_VALUE"""),44103.63117620371)</f>
        <v>44103.63118</v>
      </c>
      <c r="B337" s="42" t="str">
        <f>IFERROR(__xludf.DUMMYFUNCTION("""COMPUTED_VALUE"""),"Miftakh Ali Said")</f>
        <v>Miftakh Ali Said</v>
      </c>
      <c r="C337" s="42" t="str">
        <f>IFERROR(__xludf.DUMMYFUNCTION("""COMPUTED_VALUE"""),"Online")</f>
        <v>Online</v>
      </c>
      <c r="D337" s="42" t="str">
        <f>IFERROR(__xludf.DUMMYFUNCTION("""COMPUTED_VALUE"""),"Fullstack Web Developer")</f>
        <v>Fullstack Web Developer</v>
      </c>
      <c r="E337" s="42">
        <f>IFERROR(__xludf.DUMMYFUNCTION("""COMPUTED_VALUE"""),4.0)</f>
        <v>4</v>
      </c>
      <c r="F337" s="42">
        <f>IFERROR(__xludf.DUMMYFUNCTION("""COMPUTED_VALUE"""),1.0)</f>
        <v>1</v>
      </c>
      <c r="G337" s="42" t="str">
        <f>IFERROR(__xludf.DUMMYFUNCTION("""COMPUTED_VALUE"""),"ARKWH4")</f>
        <v>ARKWH4</v>
      </c>
      <c r="H337" s="42"/>
      <c r="I337" s="46" t="str">
        <f>IFERROR(__xludf.DUMMYFUNCTION("""COMPUTED_VALUE"""),"https://repl.it/@alisaidsm07/Quiz3#index.js")</f>
        <v>https://repl.it/@alisaidsm07/Quiz3#index.js</v>
      </c>
      <c r="J337" s="46" t="str">
        <f>IFERROR(__xludf.DUMMYFUNCTION("""COMPUTED_VALUE"""),"https://drive.google.com/file/d/1L_en70mskSoZne-lbw_nqvk_8hej1_2P/view?usp=sharing")</f>
        <v>https://drive.google.com/file/d/1L_en70mskSoZne-lbw_nqvk_8hej1_2P/view?usp=sharing</v>
      </c>
      <c r="K337" s="42"/>
      <c r="L337" s="42">
        <f>IFERROR(__xludf.DUMMYFUNCTION("""COMPUTED_VALUE"""),0.75)</f>
        <v>0.75</v>
      </c>
      <c r="M337" s="42" t="str">
        <f>IFERROR(__xludf.DUMMYFUNCTION("""COMPUTED_VALUE"""),"code belum selesai, flowchart belum sempurna")</f>
        <v>code belum selesai, flowchart belum sempurna</v>
      </c>
    </row>
    <row r="338">
      <c r="A338" s="43">
        <f>IFERROR(__xludf.DUMMYFUNCTION("""COMPUTED_VALUE"""),44103.63130190972)</f>
        <v>44103.6313</v>
      </c>
      <c r="B338" s="42" t="str">
        <f>IFERROR(__xludf.DUMMYFUNCTION("""COMPUTED_VALUE"""),"Dicky Firmansyah")</f>
        <v>Dicky Firmansyah</v>
      </c>
      <c r="C338" s="42" t="str">
        <f>IFERROR(__xludf.DUMMYFUNCTION("""COMPUTED_VALUE"""),"Online")</f>
        <v>Online</v>
      </c>
      <c r="D338" s="42" t="str">
        <f>IFERROR(__xludf.DUMMYFUNCTION("""COMPUTED_VALUE"""),"Fullstack Web Developer")</f>
        <v>Fullstack Web Developer</v>
      </c>
      <c r="E338" s="42">
        <f>IFERROR(__xludf.DUMMYFUNCTION("""COMPUTED_VALUE"""),4.0)</f>
        <v>4</v>
      </c>
      <c r="F338" s="42">
        <f>IFERROR(__xludf.DUMMYFUNCTION("""COMPUTED_VALUE"""),1.0)</f>
        <v>1</v>
      </c>
      <c r="G338" s="42" t="str">
        <f>IFERROR(__xludf.DUMMYFUNCTION("""COMPUTED_VALUE"""),"ARKWH4")</f>
        <v>ARKWH4</v>
      </c>
      <c r="H338" s="42"/>
      <c r="I338" s="46" t="str">
        <f>IFERROR(__xludf.DUMMYFUNCTION("""COMPUTED_VALUE"""),"https://repl.it/repls/BarrenWordyOutcomes#index2.js")</f>
        <v>https://repl.it/repls/BarrenWordyOutcomes#index2.js</v>
      </c>
      <c r="J338" s="42"/>
      <c r="K338" s="42"/>
      <c r="L338" s="42">
        <f>IFERROR(__xludf.DUMMYFUNCTION("""COMPUTED_VALUE"""),0.5)</f>
        <v>0.5</v>
      </c>
      <c r="M338" s="42" t="str">
        <f>IFERROR(__xludf.DUMMYFUNCTION("""COMPUTED_VALUE"""),"code belum selesai, flowchart nya mana?")</f>
        <v>code belum selesai, flowchart nya mana?</v>
      </c>
    </row>
    <row r="339">
      <c r="A339" s="43">
        <f>IFERROR(__xludf.DUMMYFUNCTION("""COMPUTED_VALUE"""),44103.63284290509)</f>
        <v>44103.63284</v>
      </c>
      <c r="B339" s="42" t="str">
        <f>IFERROR(__xludf.DUMMYFUNCTION("""COMPUTED_VALUE"""),"Raden Syamsa Nur Ashari Mahmud")</f>
        <v>Raden Syamsa Nur Ashari Mahmud</v>
      </c>
      <c r="C339" s="42" t="str">
        <f>IFERROR(__xludf.DUMMYFUNCTION("""COMPUTED_VALUE"""),"Online")</f>
        <v>Online</v>
      </c>
      <c r="D339" s="42" t="str">
        <f>IFERROR(__xludf.DUMMYFUNCTION("""COMPUTED_VALUE"""),"Fullstack Web Developer")</f>
        <v>Fullstack Web Developer</v>
      </c>
      <c r="E339" s="42">
        <f>IFERROR(__xludf.DUMMYFUNCTION("""COMPUTED_VALUE"""),4.0)</f>
        <v>4</v>
      </c>
      <c r="F339" s="42">
        <f>IFERROR(__xludf.DUMMYFUNCTION("""COMPUTED_VALUE"""),1.0)</f>
        <v>1</v>
      </c>
      <c r="G339" s="42" t="str">
        <f>IFERROR(__xludf.DUMMYFUNCTION("""COMPUTED_VALUE"""),"ARKWH4")</f>
        <v>ARKWH4</v>
      </c>
      <c r="H339" s="42"/>
      <c r="I339" s="46" t="str">
        <f>IFERROR(__xludf.DUMMYFUNCTION("""COMPUTED_VALUE"""),"https://repl.it/@syamsa/quiz4")</f>
        <v>https://repl.it/@syamsa/quiz4</v>
      </c>
      <c r="J339" s="46" t="str">
        <f>IFERROR(__xludf.DUMMYFUNCTION("""COMPUTED_VALUE"""),"https://drive.google.com/file/d/1IOfgyiACXpvJZXuSRtLjKiGQJyEIJt7z/view?usp=sharing")</f>
        <v>https://drive.google.com/file/d/1IOfgyiACXpvJZXuSRtLjKiGQJyEIJt7z/view?usp=sharing</v>
      </c>
      <c r="K339" s="42"/>
      <c r="L339" s="42">
        <f>IFERROR(__xludf.DUMMYFUNCTION("""COMPUTED_VALUE"""),1.5)</f>
        <v>1.5</v>
      </c>
      <c r="M339" s="42" t="str">
        <f>IFERROR(__xludf.DUMMYFUNCTION("""COMPUTED_VALUE"""),"code belum sempurna, flowchart kurang sempurna")</f>
        <v>code belum sempurna, flowchart kurang sempurna</v>
      </c>
    </row>
    <row r="340">
      <c r="A340" s="43">
        <f>IFERROR(__xludf.DUMMYFUNCTION("""COMPUTED_VALUE"""),44105.575334814814)</f>
        <v>44105.57533</v>
      </c>
      <c r="B340" s="42" t="str">
        <f>IFERROR(__xludf.DUMMYFUNCTION("""COMPUTED_VALUE"""),"Taufiq Widi Nugroho")</f>
        <v>Taufiq Widi Nugroho</v>
      </c>
      <c r="C340" s="42" t="str">
        <f>IFERROR(__xludf.DUMMYFUNCTION("""COMPUTED_VALUE"""),"Online")</f>
        <v>Online</v>
      </c>
      <c r="D340" s="42" t="str">
        <f>IFERROR(__xludf.DUMMYFUNCTION("""COMPUTED_VALUE"""),"Fullstack Mobile Developer")</f>
        <v>Fullstack Mobile Developer</v>
      </c>
      <c r="E340" s="42">
        <f>IFERROR(__xludf.DUMMYFUNCTION("""COMPUTED_VALUE"""),17.0)</f>
        <v>17</v>
      </c>
      <c r="F340" s="42">
        <f>IFERROR(__xludf.DUMMYFUNCTION("""COMPUTED_VALUE"""),1.0)</f>
        <v>1</v>
      </c>
      <c r="G340" s="42" t="str">
        <f>IFERROR(__xludf.DUMMYFUNCTION("""COMPUTED_VALUE"""),"ARKWH12")</f>
        <v>ARKWH12</v>
      </c>
      <c r="H340" s="42"/>
      <c r="I340" s="46" t="str">
        <f>IFERROR(__xludf.DUMMYFUNCTION("""COMPUTED_VALUE"""),"https://playcode.io/683611/")</f>
        <v>https://playcode.io/683611/</v>
      </c>
      <c r="J340" s="42"/>
      <c r="K340" s="42"/>
      <c r="L340" s="42">
        <f>IFERROR(__xludf.DUMMYFUNCTION("""COMPUTED_VALUE"""),2.0)</f>
        <v>2</v>
      </c>
      <c r="M340" s="42"/>
    </row>
    <row r="341">
      <c r="A341" s="43">
        <f>IFERROR(__xludf.DUMMYFUNCTION("""COMPUTED_VALUE"""),44105.58193884259)</f>
        <v>44105.58194</v>
      </c>
      <c r="B341" s="42" t="str">
        <f>IFERROR(__xludf.DUMMYFUNCTION("""COMPUTED_VALUE"""),"Yanral Apdy")</f>
        <v>Yanral Apdy</v>
      </c>
      <c r="C341" s="42" t="str">
        <f>IFERROR(__xludf.DUMMYFUNCTION("""COMPUTED_VALUE"""),"Jakarta")</f>
        <v>Jakarta</v>
      </c>
      <c r="D341" s="42" t="str">
        <f>IFERROR(__xludf.DUMMYFUNCTION("""COMPUTED_VALUE"""),"Fullstack Mobile Developer")</f>
        <v>Fullstack Mobile Developer</v>
      </c>
      <c r="E341" s="42">
        <f>IFERROR(__xludf.DUMMYFUNCTION("""COMPUTED_VALUE"""),12.0)</f>
        <v>12</v>
      </c>
      <c r="F341" s="42">
        <f>IFERROR(__xludf.DUMMYFUNCTION("""COMPUTED_VALUE"""),2.0)</f>
        <v>2</v>
      </c>
      <c r="G341" s="42" t="str">
        <f>IFERROR(__xludf.DUMMYFUNCTION("""COMPUTED_VALUE"""),"ARKWH12")</f>
        <v>ARKWH12</v>
      </c>
      <c r="H341" s="42"/>
      <c r="I341" s="46" t="str">
        <f>IFERROR(__xludf.DUMMYFUNCTION("""COMPUTED_VALUE"""),"https://playcode.io/683613/")</f>
        <v>https://playcode.io/683613/</v>
      </c>
      <c r="J341" s="42"/>
      <c r="K341" s="42"/>
      <c r="L341" s="42">
        <f>IFERROR(__xludf.DUMMYFUNCTION("""COMPUTED_VALUE"""),2.0)</f>
        <v>2</v>
      </c>
      <c r="M341" s="42"/>
    </row>
    <row r="342">
      <c r="A342" s="43">
        <f>IFERROR(__xludf.DUMMYFUNCTION("""COMPUTED_VALUE"""),44105.58544335648)</f>
        <v>44105.58544</v>
      </c>
      <c r="B342" s="42" t="str">
        <f>IFERROR(__xludf.DUMMYFUNCTION("""COMPUTED_VALUE"""),"Ahmad Zaky")</f>
        <v>Ahmad Zaky</v>
      </c>
      <c r="C342" s="42" t="str">
        <f>IFERROR(__xludf.DUMMYFUNCTION("""COMPUTED_VALUE"""),"Online")</f>
        <v>Online</v>
      </c>
      <c r="D342" s="42" t="str">
        <f>IFERROR(__xludf.DUMMYFUNCTION("""COMPUTED_VALUE"""),"Fullstack Mobile Developer")</f>
        <v>Fullstack Mobile Developer</v>
      </c>
      <c r="E342" s="42">
        <f>IFERROR(__xludf.DUMMYFUNCTION("""COMPUTED_VALUE"""),17.0)</f>
        <v>17</v>
      </c>
      <c r="F342" s="42">
        <f>IFERROR(__xludf.DUMMYFUNCTION("""COMPUTED_VALUE"""),1.0)</f>
        <v>1</v>
      </c>
      <c r="G342" s="42" t="str">
        <f>IFERROR(__xludf.DUMMYFUNCTION("""COMPUTED_VALUE"""),"ARKWH12")</f>
        <v>ARKWH12</v>
      </c>
      <c r="H342" s="42"/>
      <c r="I342" s="46" t="str">
        <f>IFERROR(__xludf.DUMMYFUNCTION("""COMPUTED_VALUE"""),"http://playcode.io/683616/")</f>
        <v>http://playcode.io/683616/</v>
      </c>
      <c r="J342" s="42"/>
      <c r="K342" s="42"/>
      <c r="L342" s="42">
        <f>IFERROR(__xludf.DUMMYFUNCTION("""COMPUTED_VALUE"""),2.0)</f>
        <v>2</v>
      </c>
      <c r="M342" s="42"/>
    </row>
    <row r="343">
      <c r="A343" s="43">
        <f>IFERROR(__xludf.DUMMYFUNCTION("""COMPUTED_VALUE"""),44105.585638159726)</f>
        <v>44105.58564</v>
      </c>
      <c r="B343" s="42" t="str">
        <f>IFERROR(__xludf.DUMMYFUNCTION("""COMPUTED_VALUE"""),"Yusup Junaedi")</f>
        <v>Yusup Junaedi</v>
      </c>
      <c r="C343" s="42" t="str">
        <f>IFERROR(__xludf.DUMMYFUNCTION("""COMPUTED_VALUE"""),"Online")</f>
        <v>Online</v>
      </c>
      <c r="D343" s="42" t="str">
        <f>IFERROR(__xludf.DUMMYFUNCTION("""COMPUTED_VALUE"""),"Fullstack Mobile Developer")</f>
        <v>Fullstack Mobile Developer</v>
      </c>
      <c r="E343" s="42">
        <f>IFERROR(__xludf.DUMMYFUNCTION("""COMPUTED_VALUE"""),17.0)</f>
        <v>17</v>
      </c>
      <c r="F343" s="42">
        <f>IFERROR(__xludf.DUMMYFUNCTION("""COMPUTED_VALUE"""),1.0)</f>
        <v>1</v>
      </c>
      <c r="G343" s="42" t="str">
        <f>IFERROR(__xludf.DUMMYFUNCTION("""COMPUTED_VALUE"""),"ARKWH12")</f>
        <v>ARKWH12</v>
      </c>
      <c r="H343" s="42"/>
      <c r="I343" s="46" t="str">
        <f>IFERROR(__xludf.DUMMYFUNCTION("""COMPUTED_VALUE"""),"https://repl.it/@yusupjunaedi/ARKWH12")</f>
        <v>https://repl.it/@yusupjunaedi/ARKWH12</v>
      </c>
      <c r="J343" s="42"/>
      <c r="K343" s="42"/>
      <c r="L343" s="42">
        <f>IFERROR(__xludf.DUMMYFUNCTION("""COMPUTED_VALUE"""),2.0)</f>
        <v>2</v>
      </c>
      <c r="M343" s="42"/>
    </row>
    <row r="344">
      <c r="A344" s="43">
        <f>IFERROR(__xludf.DUMMYFUNCTION("""COMPUTED_VALUE"""),44105.58589833333)</f>
        <v>44105.5859</v>
      </c>
      <c r="B344" s="42" t="str">
        <f>IFERROR(__xludf.DUMMYFUNCTION("""COMPUTED_VALUE"""),"Wildan dhya")</f>
        <v>Wildan dhya</v>
      </c>
      <c r="C344" s="42" t="str">
        <f>IFERROR(__xludf.DUMMYFUNCTION("""COMPUTED_VALUE"""),"Online")</f>
        <v>Online</v>
      </c>
      <c r="D344" s="42" t="str">
        <f>IFERROR(__xludf.DUMMYFUNCTION("""COMPUTED_VALUE"""),"Fullstack Mobile Developer")</f>
        <v>Fullstack Mobile Developer</v>
      </c>
      <c r="E344" s="42">
        <f>IFERROR(__xludf.DUMMYFUNCTION("""COMPUTED_VALUE"""),17.0)</f>
        <v>17</v>
      </c>
      <c r="F344" s="42">
        <f>IFERROR(__xludf.DUMMYFUNCTION("""COMPUTED_VALUE"""),1.0)</f>
        <v>1</v>
      </c>
      <c r="G344" s="42" t="str">
        <f>IFERROR(__xludf.DUMMYFUNCTION("""COMPUTED_VALUE"""),"ARKWH12")</f>
        <v>ARKWH12</v>
      </c>
      <c r="H344" s="42"/>
      <c r="I344" s="46" t="str">
        <f>IFERROR(__xludf.DUMMYFUNCTION("""COMPUTED_VALUE"""),"https://playcode.io/683615")</f>
        <v>https://playcode.io/683615</v>
      </c>
      <c r="J344" s="42"/>
      <c r="K344" s="42"/>
      <c r="L344" s="42">
        <f>IFERROR(__xludf.DUMMYFUNCTION("""COMPUTED_VALUE"""),2.0)</f>
        <v>2</v>
      </c>
      <c r="M344" s="42"/>
    </row>
    <row r="345">
      <c r="A345" s="43">
        <f>IFERROR(__xludf.DUMMYFUNCTION("""COMPUTED_VALUE"""),44105.58707366898)</f>
        <v>44105.58707</v>
      </c>
      <c r="B345" s="42" t="str">
        <f>IFERROR(__xludf.DUMMYFUNCTION("""COMPUTED_VALUE"""),"Gana")</f>
        <v>Gana</v>
      </c>
      <c r="C345" s="42" t="str">
        <f>IFERROR(__xludf.DUMMYFUNCTION("""COMPUTED_VALUE"""),"Jogja")</f>
        <v>Jogja</v>
      </c>
      <c r="D345" s="42" t="str">
        <f>IFERROR(__xludf.DUMMYFUNCTION("""COMPUTED_VALUE"""),"Fullstack Mobile Developer")</f>
        <v>Fullstack Mobile Developer</v>
      </c>
      <c r="E345" s="42">
        <f>IFERROR(__xludf.DUMMYFUNCTION("""COMPUTED_VALUE"""),17.0)</f>
        <v>17</v>
      </c>
      <c r="F345" s="42">
        <f>IFERROR(__xludf.DUMMYFUNCTION("""COMPUTED_VALUE"""),1.0)</f>
        <v>1</v>
      </c>
      <c r="G345" s="42" t="str">
        <f>IFERROR(__xludf.DUMMYFUNCTION("""COMPUTED_VALUE"""),"ARKWH12")</f>
        <v>ARKWH12</v>
      </c>
      <c r="H345" s="42"/>
      <c r="I345" s="46" t="str">
        <f>IFERROR(__xludf.DUMMYFUNCTION("""COMPUTED_VALUE"""),"https://playcode.io/683619/")</f>
        <v>https://playcode.io/683619/</v>
      </c>
      <c r="J345" s="42"/>
      <c r="K345" s="42"/>
      <c r="L345" s="42">
        <f>IFERROR(__xludf.DUMMYFUNCTION("""COMPUTED_VALUE"""),2.0)</f>
        <v>2</v>
      </c>
      <c r="M345" s="42"/>
    </row>
    <row r="346">
      <c r="A346" s="43">
        <f>IFERROR(__xludf.DUMMYFUNCTION("""COMPUTED_VALUE"""),44105.58737226852)</f>
        <v>44105.58737</v>
      </c>
      <c r="B346" s="42" t="str">
        <f>IFERROR(__xludf.DUMMYFUNCTION("""COMPUTED_VALUE"""),"Solehudin")</f>
        <v>Solehudin</v>
      </c>
      <c r="C346" s="42" t="str">
        <f>IFERROR(__xludf.DUMMYFUNCTION("""COMPUTED_VALUE"""),"Online")</f>
        <v>Online</v>
      </c>
      <c r="D346" s="42" t="str">
        <f>IFERROR(__xludf.DUMMYFUNCTION("""COMPUTED_VALUE"""),"Fullstack Mobile Developer")</f>
        <v>Fullstack Mobile Developer</v>
      </c>
      <c r="E346" s="42">
        <f>IFERROR(__xludf.DUMMYFUNCTION("""COMPUTED_VALUE"""),17.0)</f>
        <v>17</v>
      </c>
      <c r="F346" s="42">
        <f>IFERROR(__xludf.DUMMYFUNCTION("""COMPUTED_VALUE"""),1.0)</f>
        <v>1</v>
      </c>
      <c r="G346" s="42" t="str">
        <f>IFERROR(__xludf.DUMMYFUNCTION("""COMPUTED_VALUE"""),"ARKWH12")</f>
        <v>ARKWH12</v>
      </c>
      <c r="H346" s="42"/>
      <c r="I346" s="46" t="str">
        <f>IFERROR(__xludf.DUMMYFUNCTION("""COMPUTED_VALUE"""),"https://playcode.io/683624")</f>
        <v>https://playcode.io/683624</v>
      </c>
      <c r="J346" s="42"/>
      <c r="K346" s="42"/>
      <c r="L346" s="42">
        <f>IFERROR(__xludf.DUMMYFUNCTION("""COMPUTED_VALUE"""),2.0)</f>
        <v>2</v>
      </c>
      <c r="M346" s="42"/>
    </row>
    <row r="347">
      <c r="A347" s="43">
        <f>IFERROR(__xludf.DUMMYFUNCTION("""COMPUTED_VALUE"""),44105.589703668986)</f>
        <v>44105.5897</v>
      </c>
      <c r="B347" s="42" t="str">
        <f>IFERROR(__xludf.DUMMYFUNCTION("""COMPUTED_VALUE"""),"Gusti Amelia")</f>
        <v>Gusti Amelia</v>
      </c>
      <c r="C347" s="42" t="str">
        <f>IFERROR(__xludf.DUMMYFUNCTION("""COMPUTED_VALUE"""),"Online")</f>
        <v>Online</v>
      </c>
      <c r="D347" s="42" t="str">
        <f>IFERROR(__xludf.DUMMYFUNCTION("""COMPUTED_VALUE"""),"Fullstack Mobile Developer")</f>
        <v>Fullstack Mobile Developer</v>
      </c>
      <c r="E347" s="42">
        <f>IFERROR(__xludf.DUMMYFUNCTION("""COMPUTED_VALUE"""),17.0)</f>
        <v>17</v>
      </c>
      <c r="F347" s="42">
        <f>IFERROR(__xludf.DUMMYFUNCTION("""COMPUTED_VALUE"""),1.0)</f>
        <v>1</v>
      </c>
      <c r="G347" s="42" t="str">
        <f>IFERROR(__xludf.DUMMYFUNCTION("""COMPUTED_VALUE"""),"ARKWH12")</f>
        <v>ARKWH12</v>
      </c>
      <c r="H347" s="42"/>
      <c r="I347" s="46" t="str">
        <f>IFERROR(__xludf.DUMMYFUNCTION("""COMPUTED_VALUE"""),"https://repl.it/join/knazdcwb-gustiamelia")</f>
        <v>https://repl.it/join/knazdcwb-gustiamelia</v>
      </c>
      <c r="J347" s="42"/>
      <c r="K347" s="42"/>
      <c r="L347" s="42">
        <f>IFERROR(__xludf.DUMMYFUNCTION("""COMPUTED_VALUE"""),2.0)</f>
        <v>2</v>
      </c>
      <c r="M347" s="42"/>
    </row>
    <row r="348">
      <c r="A348" s="43">
        <f>IFERROR(__xludf.DUMMYFUNCTION("""COMPUTED_VALUE"""),44105.58999314815)</f>
        <v>44105.58999</v>
      </c>
      <c r="B348" s="42" t="str">
        <f>IFERROR(__xludf.DUMMYFUNCTION("""COMPUTED_VALUE"""),"faiz sulistyawan")</f>
        <v>faiz sulistyawan</v>
      </c>
      <c r="C348" s="42" t="str">
        <f>IFERROR(__xludf.DUMMYFUNCTION("""COMPUTED_VALUE"""),"Online")</f>
        <v>Online</v>
      </c>
      <c r="D348" s="42" t="str">
        <f>IFERROR(__xludf.DUMMYFUNCTION("""COMPUTED_VALUE"""),"Fullstack Mobile Developer")</f>
        <v>Fullstack Mobile Developer</v>
      </c>
      <c r="E348" s="42">
        <f>IFERROR(__xludf.DUMMYFUNCTION("""COMPUTED_VALUE"""),17.0)</f>
        <v>17</v>
      </c>
      <c r="F348" s="42">
        <f>IFERROR(__xludf.DUMMYFUNCTION("""COMPUTED_VALUE"""),1.0)</f>
        <v>1</v>
      </c>
      <c r="G348" s="42" t="str">
        <f>IFERROR(__xludf.DUMMYFUNCTION("""COMPUTED_VALUE"""),"ARKWH12")</f>
        <v>ARKWH12</v>
      </c>
      <c r="H348" s="42"/>
      <c r="I348" s="46" t="str">
        <f>IFERROR(__xludf.DUMMYFUNCTION("""COMPUTED_VALUE"""),"https://playcode.io/683638/")</f>
        <v>https://playcode.io/683638/</v>
      </c>
      <c r="J348" s="42"/>
      <c r="K348" s="42"/>
      <c r="L348" s="42">
        <f>IFERROR(__xludf.DUMMYFUNCTION("""COMPUTED_VALUE"""),2.0)</f>
        <v>2</v>
      </c>
      <c r="M348" s="42"/>
    </row>
    <row r="349">
      <c r="A349" s="43">
        <f>IFERROR(__xludf.DUMMYFUNCTION("""COMPUTED_VALUE"""),44105.60436678241)</f>
        <v>44105.60437</v>
      </c>
      <c r="B349" s="42" t="str">
        <f>IFERROR(__xludf.DUMMYFUNCTION("""COMPUTED_VALUE"""),"Nawirudin")</f>
        <v>Nawirudin</v>
      </c>
      <c r="C349" s="42" t="str">
        <f>IFERROR(__xludf.DUMMYFUNCTION("""COMPUTED_VALUE"""),"Online")</f>
        <v>Online</v>
      </c>
      <c r="D349" s="42" t="str">
        <f>IFERROR(__xludf.DUMMYFUNCTION("""COMPUTED_VALUE"""),"Fullstack Mobile Developer")</f>
        <v>Fullstack Mobile Developer</v>
      </c>
      <c r="E349" s="42">
        <f>IFERROR(__xludf.DUMMYFUNCTION("""COMPUTED_VALUE"""),17.0)</f>
        <v>17</v>
      </c>
      <c r="F349" s="42">
        <f>IFERROR(__xludf.DUMMYFUNCTION("""COMPUTED_VALUE"""),1.0)</f>
        <v>1</v>
      </c>
      <c r="G349" s="42" t="str">
        <f>IFERROR(__xludf.DUMMYFUNCTION("""COMPUTED_VALUE"""),"ARKWH12")</f>
        <v>ARKWH12</v>
      </c>
      <c r="H349" s="42"/>
      <c r="I349" s="46" t="str">
        <f>IFERROR(__xludf.DUMMYFUNCTION("""COMPUTED_VALUE"""),"https://playcode.io/683620")</f>
        <v>https://playcode.io/683620</v>
      </c>
      <c r="J349" s="42"/>
      <c r="K349" s="42"/>
      <c r="L349" s="42">
        <f>IFERROR(__xludf.DUMMYFUNCTION("""COMPUTED_VALUE"""),2.0)</f>
        <v>2</v>
      </c>
      <c r="M349" s="42"/>
    </row>
    <row r="350">
      <c r="A350" s="43">
        <f>IFERROR(__xludf.DUMMYFUNCTION("""COMPUTED_VALUE"""),44106.58613091435)</f>
        <v>44106.58613</v>
      </c>
      <c r="B350" s="42" t="str">
        <f>IFERROR(__xludf.DUMMYFUNCTION("""COMPUTED_VALUE"""),"Budi Darmawan")</f>
        <v>Budi Darmawan</v>
      </c>
      <c r="C350" s="42" t="str">
        <f>IFERROR(__xludf.DUMMYFUNCTION("""COMPUTED_VALUE"""),"Online")</f>
        <v>Online</v>
      </c>
      <c r="D350" s="42" t="str">
        <f>IFERROR(__xludf.DUMMYFUNCTION("""COMPUTED_VALUE"""),"Android Developer")</f>
        <v>Android Developer</v>
      </c>
      <c r="E350" s="42">
        <f>IFERROR(__xludf.DUMMYFUNCTION("""COMPUTED_VALUE"""),1.0)</f>
        <v>1</v>
      </c>
      <c r="F350" s="42">
        <f>IFERROR(__xludf.DUMMYFUNCTION("""COMPUTED_VALUE"""),1.0)</f>
        <v>1</v>
      </c>
      <c r="G350" s="42" t="str">
        <f>IFERROR(__xludf.DUMMYFUNCTION("""COMPUTED_VALUE"""),"ARKWH1")</f>
        <v>ARKWH1</v>
      </c>
      <c r="H350" s="42"/>
      <c r="I350" s="46" t="str">
        <f>IFERROR(__xludf.DUMMYFUNCTION("""COMPUTED_VALUE"""),"https://repl.it/join/emcgpmky-budidarmawan1")</f>
        <v>https://repl.it/join/emcgpmky-budidarmawan1</v>
      </c>
      <c r="J350" s="46" t="str">
        <f>IFERROR(__xludf.DUMMYFUNCTION("""COMPUTED_VALUE"""),"https://drive.google.com/file/d/1-bTwoxmDXPUMM01dKqVET0rHnmad3Luj/view?usp=sharing")</f>
        <v>https://drive.google.com/file/d/1-bTwoxmDXPUMM01dKqVET0rHnmad3Luj/view?usp=sharing</v>
      </c>
      <c r="K350" s="42"/>
      <c r="L350" s="42"/>
      <c r="M350" s="42"/>
    </row>
    <row r="351">
      <c r="A351" s="43">
        <f>IFERROR(__xludf.DUMMYFUNCTION("""COMPUTED_VALUE"""),44106.59178494213)</f>
        <v>44106.59178</v>
      </c>
      <c r="B351" s="42" t="str">
        <f>IFERROR(__xludf.DUMMYFUNCTION("""COMPUTED_VALUE"""),"Ardion Massaid")</f>
        <v>Ardion Massaid</v>
      </c>
      <c r="C351" s="42" t="str">
        <f>IFERROR(__xludf.DUMMYFUNCTION("""COMPUTED_VALUE"""),"Online")</f>
        <v>Online</v>
      </c>
      <c r="D351" s="42" t="str">
        <f>IFERROR(__xludf.DUMMYFUNCTION("""COMPUTED_VALUE"""),"Android Developer")</f>
        <v>Android Developer</v>
      </c>
      <c r="E351" s="42">
        <f>IFERROR(__xludf.DUMMYFUNCTION("""COMPUTED_VALUE"""),1.0)</f>
        <v>1</v>
      </c>
      <c r="F351" s="42">
        <f>IFERROR(__xludf.DUMMYFUNCTION("""COMPUTED_VALUE"""),1.0)</f>
        <v>1</v>
      </c>
      <c r="G351" s="42" t="str">
        <f>IFERROR(__xludf.DUMMYFUNCTION("""COMPUTED_VALUE"""),"ARKWH1")</f>
        <v>ARKWH1</v>
      </c>
      <c r="H351" s="42"/>
      <c r="I351" s="46" t="str">
        <f>IFERROR(__xludf.DUMMYFUNCTION("""COMPUTED_VALUE"""),"https://repl.it/@ArdionMassaid/kuis#main.kt")</f>
        <v>https://repl.it/@ArdionMassaid/kuis#main.kt</v>
      </c>
      <c r="J351" s="46" t="str">
        <f>IFERROR(__xludf.DUMMYFUNCTION("""COMPUTED_VALUE"""),"https://drive.google.com/drive/folders/1salI_oQf_eHreeGlIy18LVSHD1pix-is?usp=sharing")</f>
        <v>https://drive.google.com/drive/folders/1salI_oQf_eHreeGlIy18LVSHD1pix-is?usp=sharing</v>
      </c>
      <c r="K351" s="46" t="str">
        <f>IFERROR(__xludf.DUMMYFUNCTION("""COMPUTED_VALUE"""),"https://drive.google.com/open?id=1PZTnWwaBC-09fNz3hGqE8fqLg8q-1H4n")</f>
        <v>https://drive.google.com/open?id=1PZTnWwaBC-09fNz3hGqE8fqLg8q-1H4n</v>
      </c>
      <c r="L351" s="42"/>
      <c r="M351" s="42"/>
    </row>
    <row r="352">
      <c r="A352" s="43">
        <f>IFERROR(__xludf.DUMMYFUNCTION("""COMPUTED_VALUE"""),44106.5941666088)</f>
        <v>44106.59417</v>
      </c>
      <c r="B352" s="42" t="str">
        <f>IFERROR(__xludf.DUMMYFUNCTION("""COMPUTED_VALUE"""),"REIHAN BAYZAKY BAGUS MAHDY")</f>
        <v>REIHAN BAYZAKY BAGUS MAHDY</v>
      </c>
      <c r="C352" s="42" t="str">
        <f>IFERROR(__xludf.DUMMYFUNCTION("""COMPUTED_VALUE"""),"Online")</f>
        <v>Online</v>
      </c>
      <c r="D352" s="42" t="str">
        <f>IFERROR(__xludf.DUMMYFUNCTION("""COMPUTED_VALUE"""),"Android Developer")</f>
        <v>Android Developer</v>
      </c>
      <c r="E352" s="42">
        <f>IFERROR(__xludf.DUMMYFUNCTION("""COMPUTED_VALUE"""),1.0)</f>
        <v>1</v>
      </c>
      <c r="F352" s="42">
        <f>IFERROR(__xludf.DUMMYFUNCTION("""COMPUTED_VALUE"""),1.0)</f>
        <v>1</v>
      </c>
      <c r="G352" s="42" t="str">
        <f>IFERROR(__xludf.DUMMYFUNCTION("""COMPUTED_VALUE"""),"ARKWH1")</f>
        <v>ARKWH1</v>
      </c>
      <c r="H352" s="42"/>
      <c r="I352" s="46" t="str">
        <f>IFERROR(__xludf.DUMMYFUNCTION("""COMPUTED_VALUE"""),"https://repl.it/join/iakfxcag-reihanbayzaky")</f>
        <v>https://repl.it/join/iakfxcag-reihanbayzaky</v>
      </c>
      <c r="J352" s="42"/>
      <c r="K352" s="46" t="str">
        <f>IFERROR(__xludf.DUMMYFUNCTION("""COMPUTED_VALUE"""),"https://drive.google.com/open?id=12V3khrD2HTZD8qHvbc9OIzrWrTXG06Lh")</f>
        <v>https://drive.google.com/open?id=12V3khrD2HTZD8qHvbc9OIzrWrTXG06Lh</v>
      </c>
      <c r="L352" s="42"/>
      <c r="M352" s="42"/>
    </row>
    <row r="353">
      <c r="A353" s="43">
        <f>IFERROR(__xludf.DUMMYFUNCTION("""COMPUTED_VALUE"""),44106.59530483796)</f>
        <v>44106.5953</v>
      </c>
      <c r="B353" s="42" t="str">
        <f>IFERROR(__xludf.DUMMYFUNCTION("""COMPUTED_VALUE"""),"Wahyu Kurniawan")</f>
        <v>Wahyu Kurniawan</v>
      </c>
      <c r="C353" s="42" t="str">
        <f>IFERROR(__xludf.DUMMYFUNCTION("""COMPUTED_VALUE"""),"Online")</f>
        <v>Online</v>
      </c>
      <c r="D353" s="42" t="str">
        <f>IFERROR(__xludf.DUMMYFUNCTION("""COMPUTED_VALUE"""),"Android Developer")</f>
        <v>Android Developer</v>
      </c>
      <c r="E353" s="42">
        <f>IFERROR(__xludf.DUMMYFUNCTION("""COMPUTED_VALUE"""),1.0)</f>
        <v>1</v>
      </c>
      <c r="F353" s="42">
        <f>IFERROR(__xludf.DUMMYFUNCTION("""COMPUTED_VALUE"""),1.0)</f>
        <v>1</v>
      </c>
      <c r="G353" s="42" t="str">
        <f>IFERROR(__xludf.DUMMYFUNCTION("""COMPUTED_VALUE"""),"ARKWH1")</f>
        <v>ARKWH1</v>
      </c>
      <c r="H353" s="42"/>
      <c r="I353" s="46" t="str">
        <f>IFERROR(__xludf.DUMMYFUNCTION("""COMPUTED_VALUE"""),"https://repl.it/@wahyuKurniawan/Quiz")</f>
        <v>https://repl.it/@wahyuKurniawan/Quiz</v>
      </c>
      <c r="J353" s="46" t="str">
        <f>IFERROR(__xludf.DUMMYFUNCTION("""COMPUTED_VALUE"""),"https://drive.google.com/file/d/1nuYLVPirJ_ItZOfKoX80FihiGFQmvZua/view?usp=sharing")</f>
        <v>https://drive.google.com/file/d/1nuYLVPirJ_ItZOfKoX80FihiGFQmvZua/view?usp=sharing</v>
      </c>
      <c r="K353" s="46" t="str">
        <f>IFERROR(__xludf.DUMMYFUNCTION("""COMPUTED_VALUE"""),"https://drive.google.com/open?id=18Z9uU2nI6xzAoCCa8F5Rdh8OLavhLWVR")</f>
        <v>https://drive.google.com/open?id=18Z9uU2nI6xzAoCCa8F5Rdh8OLavhLWVR</v>
      </c>
      <c r="L353" s="42"/>
      <c r="M353" s="42"/>
    </row>
    <row r="354">
      <c r="A354" s="43">
        <f>IFERROR(__xludf.DUMMYFUNCTION("""COMPUTED_VALUE"""),44106.596210069445)</f>
        <v>44106.59621</v>
      </c>
      <c r="B354" s="42" t="str">
        <f>IFERROR(__xludf.DUMMYFUNCTION("""COMPUTED_VALUE"""),"Muhammad Rizki")</f>
        <v>Muhammad Rizki</v>
      </c>
      <c r="C354" s="42" t="str">
        <f>IFERROR(__xludf.DUMMYFUNCTION("""COMPUTED_VALUE"""),"Online")</f>
        <v>Online</v>
      </c>
      <c r="D354" s="42" t="str">
        <f>IFERROR(__xludf.DUMMYFUNCTION("""COMPUTED_VALUE"""),"Android Developer")</f>
        <v>Android Developer</v>
      </c>
      <c r="E354" s="42">
        <f>IFERROR(__xludf.DUMMYFUNCTION("""COMPUTED_VALUE"""),1.0)</f>
        <v>1</v>
      </c>
      <c r="F354" s="42">
        <f>IFERROR(__xludf.DUMMYFUNCTION("""COMPUTED_VALUE"""),1.0)</f>
        <v>1</v>
      </c>
      <c r="G354" s="42" t="str">
        <f>IFERROR(__xludf.DUMMYFUNCTION("""COMPUTED_VALUE"""),"ARKWH1")</f>
        <v>ARKWH1</v>
      </c>
      <c r="H354" s="42"/>
      <c r="I354" s="46" t="str">
        <f>IFERROR(__xludf.DUMMYFUNCTION("""COMPUTED_VALUE"""),"https://repl.it/join/kprwojlw-muhammadrizki2")</f>
        <v>https://repl.it/join/kprwojlw-muhammadrizki2</v>
      </c>
      <c r="J354" s="42"/>
      <c r="K354" s="42"/>
      <c r="L354" s="42"/>
      <c r="M354" s="42"/>
    </row>
    <row r="355">
      <c r="A355" s="43">
        <f>IFERROR(__xludf.DUMMYFUNCTION("""COMPUTED_VALUE"""),44106.59718489583)</f>
        <v>44106.59718</v>
      </c>
      <c r="B355" s="42" t="str">
        <f>IFERROR(__xludf.DUMMYFUNCTION("""COMPUTED_VALUE"""),"Muhammad Rizki")</f>
        <v>Muhammad Rizki</v>
      </c>
      <c r="C355" s="42" t="str">
        <f>IFERROR(__xludf.DUMMYFUNCTION("""COMPUTED_VALUE"""),"Online")</f>
        <v>Online</v>
      </c>
      <c r="D355" s="42" t="str">
        <f>IFERROR(__xludf.DUMMYFUNCTION("""COMPUTED_VALUE"""),"Android Developer")</f>
        <v>Android Developer</v>
      </c>
      <c r="E355" s="42">
        <f>IFERROR(__xludf.DUMMYFUNCTION("""COMPUTED_VALUE"""),1.0)</f>
        <v>1</v>
      </c>
      <c r="F355" s="42">
        <f>IFERROR(__xludf.DUMMYFUNCTION("""COMPUTED_VALUE"""),1.0)</f>
        <v>1</v>
      </c>
      <c r="G355" s="42" t="str">
        <f>IFERROR(__xludf.DUMMYFUNCTION("""COMPUTED_VALUE"""),"ARKWH1")</f>
        <v>ARKWH1</v>
      </c>
      <c r="H355" s="42"/>
      <c r="I355" s="46" t="str">
        <f>IFERROR(__xludf.DUMMYFUNCTION("""COMPUTED_VALUE"""),"https://repl.it/join/kprwojlw-muhammadrizki2")</f>
        <v>https://repl.it/join/kprwojlw-muhammadrizki2</v>
      </c>
      <c r="J355" s="42"/>
      <c r="K355" s="46" t="str">
        <f>IFERROR(__xludf.DUMMYFUNCTION("""COMPUTED_VALUE"""),"https://drive.google.com/open?id=16RxHxaDF9C-vVbB5ZxqrDM8Z4c9ujgPQ")</f>
        <v>https://drive.google.com/open?id=16RxHxaDF9C-vVbB5ZxqrDM8Z4c9ujgPQ</v>
      </c>
      <c r="L355" s="42"/>
      <c r="M355" s="42"/>
    </row>
    <row r="356">
      <c r="A356" s="43">
        <f>IFERROR(__xludf.DUMMYFUNCTION("""COMPUTED_VALUE"""),44106.597970925926)</f>
        <v>44106.59797</v>
      </c>
      <c r="B356" s="42" t="str">
        <f>IFERROR(__xludf.DUMMYFUNCTION("""COMPUTED_VALUE"""),"Khairul Ichsan")</f>
        <v>Khairul Ichsan</v>
      </c>
      <c r="C356" s="42" t="str">
        <f>IFERROR(__xludf.DUMMYFUNCTION("""COMPUTED_VALUE"""),"Online")</f>
        <v>Online</v>
      </c>
      <c r="D356" s="42" t="str">
        <f>IFERROR(__xludf.DUMMYFUNCTION("""COMPUTED_VALUE"""),"Android Developer")</f>
        <v>Android Developer</v>
      </c>
      <c r="E356" s="42">
        <f>IFERROR(__xludf.DUMMYFUNCTION("""COMPUTED_VALUE"""),1.0)</f>
        <v>1</v>
      </c>
      <c r="F356" s="42">
        <f>IFERROR(__xludf.DUMMYFUNCTION("""COMPUTED_VALUE"""),1.0)</f>
        <v>1</v>
      </c>
      <c r="G356" s="42" t="str">
        <f>IFERROR(__xludf.DUMMYFUNCTION("""COMPUTED_VALUE"""),"ARKWH1")</f>
        <v>ARKWH1</v>
      </c>
      <c r="H356" s="42"/>
      <c r="I356" s="46" t="str">
        <f>IFERROR(__xludf.DUMMYFUNCTION("""COMPUTED_VALUE"""),"https://repl.it/@Khairulichsan/Quiz1#main.kt")</f>
        <v>https://repl.it/@Khairulichsan/Quiz1#main.kt</v>
      </c>
      <c r="J356" s="42"/>
      <c r="K356" s="46" t="str">
        <f>IFERROR(__xludf.DUMMYFUNCTION("""COMPUTED_VALUE"""),"https://drive.google.com/open?id=1_3z0EZvxQQB-yxgexbE-6W-JcK8dxGl_")</f>
        <v>https://drive.google.com/open?id=1_3z0EZvxQQB-yxgexbE-6W-JcK8dxGl_</v>
      </c>
      <c r="L356" s="42"/>
      <c r="M356" s="42"/>
    </row>
    <row r="357">
      <c r="A357" s="43">
        <f>IFERROR(__xludf.DUMMYFUNCTION("""COMPUTED_VALUE"""),44106.60164655093)</f>
        <v>44106.60165</v>
      </c>
      <c r="B357" s="42" t="str">
        <f>IFERROR(__xludf.DUMMYFUNCTION("""COMPUTED_VALUE"""),"ilham aliyudin")</f>
        <v>ilham aliyudin</v>
      </c>
      <c r="C357" s="42" t="str">
        <f>IFERROR(__xludf.DUMMYFUNCTION("""COMPUTED_VALUE"""),"Online")</f>
        <v>Online</v>
      </c>
      <c r="D357" s="42" t="str">
        <f>IFERROR(__xludf.DUMMYFUNCTION("""COMPUTED_VALUE"""),"Android Developer")</f>
        <v>Android Developer</v>
      </c>
      <c r="E357" s="42">
        <f>IFERROR(__xludf.DUMMYFUNCTION("""COMPUTED_VALUE"""),1.0)</f>
        <v>1</v>
      </c>
      <c r="F357" s="42">
        <f>IFERROR(__xludf.DUMMYFUNCTION("""COMPUTED_VALUE"""),1.0)</f>
        <v>1</v>
      </c>
      <c r="G357" s="42" t="str">
        <f>IFERROR(__xludf.DUMMYFUNCTION("""COMPUTED_VALUE"""),"ARKWH1")</f>
        <v>ARKWH1</v>
      </c>
      <c r="H357" s="42"/>
      <c r="I357" s="46" t="str">
        <f>IFERROR(__xludf.DUMMYFUNCTION("""COMPUTED_VALUE"""),"https://drive.google.com/file/d/1c3yMp3QEY0FGyAhc2VweXm6-q9gKTeyM/view?usp=sharing")</f>
        <v>https://drive.google.com/file/d/1c3yMp3QEY0FGyAhc2VweXm6-q9gKTeyM/view?usp=sharing</v>
      </c>
      <c r="J357" s="42"/>
      <c r="K357" s="42"/>
      <c r="L357" s="42"/>
      <c r="M357" s="42"/>
    </row>
    <row r="358">
      <c r="A358" s="43">
        <f>IFERROR(__xludf.DUMMYFUNCTION("""COMPUTED_VALUE"""),44106.60415945602)</f>
        <v>44106.60416</v>
      </c>
      <c r="B358" s="42" t="str">
        <f>IFERROR(__xludf.DUMMYFUNCTION("""COMPUTED_VALUE"""),"ROSYIDA WIDADINA ULYA")</f>
        <v>ROSYIDA WIDADINA ULYA</v>
      </c>
      <c r="C358" s="42" t="str">
        <f>IFERROR(__xludf.DUMMYFUNCTION("""COMPUTED_VALUE"""),"Online")</f>
        <v>Online</v>
      </c>
      <c r="D358" s="42" t="str">
        <f>IFERROR(__xludf.DUMMYFUNCTION("""COMPUTED_VALUE"""),"Android Developer")</f>
        <v>Android Developer</v>
      </c>
      <c r="E358" s="42">
        <f>IFERROR(__xludf.DUMMYFUNCTION("""COMPUTED_VALUE"""),1.0)</f>
        <v>1</v>
      </c>
      <c r="F358" s="42">
        <f>IFERROR(__xludf.DUMMYFUNCTION("""COMPUTED_VALUE"""),1.0)</f>
        <v>1</v>
      </c>
      <c r="G358" s="42" t="str">
        <f>IFERROR(__xludf.DUMMYFUNCTION("""COMPUTED_VALUE"""),"ARKWH1")</f>
        <v>ARKWH1</v>
      </c>
      <c r="H358" s="42"/>
      <c r="I358" s="46" t="str">
        <f>IFERROR(__xludf.DUMMYFUNCTION("""COMPUTED_VALUE"""),"https://drive.google.com/drive/folders/1SQ7qU5VYMIo6l9bXnBnkpKHBJSSfhKd5?usp=sharing")</f>
        <v>https://drive.google.com/drive/folders/1SQ7qU5VYMIo6l9bXnBnkpKHBJSSfhKd5?usp=sharing</v>
      </c>
      <c r="J358" s="46" t="str">
        <f>IFERROR(__xludf.DUMMYFUNCTION("""COMPUTED_VALUE"""),"https://drive.google.com/drive/folders/1SQ7qU5VYMIo6l9bXnBnkpKHBJSSfhKd5?usp=sharing")</f>
        <v>https://drive.google.com/drive/folders/1SQ7qU5VYMIo6l9bXnBnkpKHBJSSfhKd5?usp=sharing</v>
      </c>
      <c r="K358" s="46" t="str">
        <f>IFERROR(__xludf.DUMMYFUNCTION("""COMPUTED_VALUE"""),"https://drive.google.com/open?id=1C4j6ZgzYZUnprIbIxVHoQXBEqxaaAcFm")</f>
        <v>https://drive.google.com/open?id=1C4j6ZgzYZUnprIbIxVHoQXBEqxaaAcFm</v>
      </c>
      <c r="L358" s="42"/>
      <c r="M358" s="42"/>
    </row>
    <row r="359">
      <c r="A359" s="43">
        <f>IFERROR(__xludf.DUMMYFUNCTION("""COMPUTED_VALUE"""),44106.618287233796)</f>
        <v>44106.61829</v>
      </c>
      <c r="B359" s="42" t="str">
        <f>IFERROR(__xludf.DUMMYFUNCTION("""COMPUTED_VALUE"""),"ilham aliyudin")</f>
        <v>ilham aliyudin</v>
      </c>
      <c r="C359" s="42" t="str">
        <f>IFERROR(__xludf.DUMMYFUNCTION("""COMPUTED_VALUE"""),"Online")</f>
        <v>Online</v>
      </c>
      <c r="D359" s="42" t="str">
        <f>IFERROR(__xludf.DUMMYFUNCTION("""COMPUTED_VALUE"""),"Android Developer")</f>
        <v>Android Developer</v>
      </c>
      <c r="E359" s="42">
        <f>IFERROR(__xludf.DUMMYFUNCTION("""COMPUTED_VALUE"""),1.0)</f>
        <v>1</v>
      </c>
      <c r="F359" s="42">
        <f>IFERROR(__xludf.DUMMYFUNCTION("""COMPUTED_VALUE"""),1.0)</f>
        <v>1</v>
      </c>
      <c r="G359" s="42" t="str">
        <f>IFERROR(__xludf.DUMMYFUNCTION("""COMPUTED_VALUE"""),"ARKWH1")</f>
        <v>ARKWH1</v>
      </c>
      <c r="H359" s="42"/>
      <c r="I359" s="42"/>
      <c r="J359" s="46" t="str">
        <f>IFERROR(__xludf.DUMMYFUNCTION("""COMPUTED_VALUE"""),"https://drive.google.com/drive/folders/19rIitz16TbLMLFDEJG_Wfxf3cUQzj-kj?usp=sharing")</f>
        <v>https://drive.google.com/drive/folders/19rIitz16TbLMLFDEJG_Wfxf3cUQzj-kj?usp=sharing</v>
      </c>
      <c r="K359" s="42"/>
      <c r="L359" s="42"/>
      <c r="M359" s="42"/>
    </row>
    <row r="360">
      <c r="A360" s="43">
        <f>IFERROR(__xludf.DUMMYFUNCTION("""COMPUTED_VALUE"""),44106.618928298616)</f>
        <v>44106.61893</v>
      </c>
      <c r="B360" s="42" t="str">
        <f>IFERROR(__xludf.DUMMYFUNCTION("""COMPUTED_VALUE"""),"Mohamad Ali Farhan")</f>
        <v>Mohamad Ali Farhan</v>
      </c>
      <c r="C360" s="42" t="str">
        <f>IFERROR(__xludf.DUMMYFUNCTION("""COMPUTED_VALUE"""),"Online")</f>
        <v>Online</v>
      </c>
      <c r="D360" s="42" t="str">
        <f>IFERROR(__xludf.DUMMYFUNCTION("""COMPUTED_VALUE"""),"Fullstack Web Developer")</f>
        <v>Fullstack Web Developer</v>
      </c>
      <c r="E360" s="42">
        <f>IFERROR(__xludf.DUMMYFUNCTION("""COMPUTED_VALUE"""),4.0)</f>
        <v>4</v>
      </c>
      <c r="F360" s="42">
        <f>IFERROR(__xludf.DUMMYFUNCTION("""COMPUTED_VALUE"""),1.0)</f>
        <v>1</v>
      </c>
      <c r="G360" s="42" t="str">
        <f>IFERROR(__xludf.DUMMYFUNCTION("""COMPUTED_VALUE"""),"ARKWH5")</f>
        <v>ARKWH5</v>
      </c>
      <c r="H360" s="42"/>
      <c r="I360" s="46" t="str">
        <f>IFERROR(__xludf.DUMMYFUNCTION("""COMPUTED_VALUE"""),"https://repl.it/join/xvjpzzey-alfahan")</f>
        <v>https://repl.it/join/xvjpzzey-alfahan</v>
      </c>
      <c r="J360" s="42"/>
      <c r="K360" s="42"/>
      <c r="L360" s="42">
        <f>IFERROR(__xludf.DUMMYFUNCTION("""COMPUTED_VALUE"""),0.25)</f>
        <v>0.25</v>
      </c>
      <c r="M360" s="42" t="str">
        <f>IFERROR(__xludf.DUMMYFUNCTION("""COMPUTED_VALUE"""),"belum selesai")</f>
        <v>belum selesai</v>
      </c>
    </row>
    <row r="361">
      <c r="A361" s="43">
        <f>IFERROR(__xludf.DUMMYFUNCTION("""COMPUTED_VALUE"""),44106.638473576386)</f>
        <v>44106.63847</v>
      </c>
      <c r="B361" s="42" t="str">
        <f>IFERROR(__xludf.DUMMYFUNCTION("""COMPUTED_VALUE"""),"Rido Maulana Solihin")</f>
        <v>Rido Maulana Solihin</v>
      </c>
      <c r="C361" s="42" t="str">
        <f>IFERROR(__xludf.DUMMYFUNCTION("""COMPUTED_VALUE"""),"Online")</f>
        <v>Online</v>
      </c>
      <c r="D361" s="42" t="str">
        <f>IFERROR(__xludf.DUMMYFUNCTION("""COMPUTED_VALUE"""),"Fullstack Web Developer")</f>
        <v>Fullstack Web Developer</v>
      </c>
      <c r="E361" s="42">
        <f>IFERROR(__xludf.DUMMYFUNCTION("""COMPUTED_VALUE"""),4.0)</f>
        <v>4</v>
      </c>
      <c r="F361" s="42">
        <f>IFERROR(__xludf.DUMMYFUNCTION("""COMPUTED_VALUE"""),1.0)</f>
        <v>1</v>
      </c>
      <c r="G361" s="42" t="str">
        <f>IFERROR(__xludf.DUMMYFUNCTION("""COMPUTED_VALUE"""),"ARKWH5")</f>
        <v>ARKWH5</v>
      </c>
      <c r="H361" s="42"/>
      <c r="I361" s="46" t="str">
        <f>IFERROR(__xludf.DUMMYFUNCTION("""COMPUTED_VALUE"""),"https://repl.it/@ridoNev1/ARKWH5")</f>
        <v>https://repl.it/@ridoNev1/ARKWH5</v>
      </c>
      <c r="J361" s="42"/>
      <c r="K361" s="42"/>
      <c r="L361" s="42">
        <f>IFERROR(__xludf.DUMMYFUNCTION("""COMPUTED_VALUE"""),2.0)</f>
        <v>2</v>
      </c>
      <c r="M361" s="42" t="str">
        <f>IFERROR(__xludf.DUMMYFUNCTION("""COMPUTED_VALUE"""),"mantap")</f>
        <v>mantap</v>
      </c>
    </row>
    <row r="362">
      <c r="A362" s="43">
        <f>IFERROR(__xludf.DUMMYFUNCTION("""COMPUTED_VALUE"""),44106.64050009259)</f>
        <v>44106.6405</v>
      </c>
      <c r="B362" s="42" t="str">
        <f>IFERROR(__xludf.DUMMYFUNCTION("""COMPUTED_VALUE"""),"Mochamad Sofyan")</f>
        <v>Mochamad Sofyan</v>
      </c>
      <c r="C362" s="42" t="str">
        <f>IFERROR(__xludf.DUMMYFUNCTION("""COMPUTED_VALUE"""),"Online")</f>
        <v>Online</v>
      </c>
      <c r="D362" s="42" t="str">
        <f>IFERROR(__xludf.DUMMYFUNCTION("""COMPUTED_VALUE"""),"Fullstack Web Developer")</f>
        <v>Fullstack Web Developer</v>
      </c>
      <c r="E362" s="42">
        <f>IFERROR(__xludf.DUMMYFUNCTION("""COMPUTED_VALUE"""),4.0)</f>
        <v>4</v>
      </c>
      <c r="F362" s="42">
        <f>IFERROR(__xludf.DUMMYFUNCTION("""COMPUTED_VALUE"""),1.0)</f>
        <v>1</v>
      </c>
      <c r="G362" s="42" t="str">
        <f>IFERROR(__xludf.DUMMYFUNCTION("""COMPUTED_VALUE"""),"ARKWH5")</f>
        <v>ARKWH5</v>
      </c>
      <c r="H362" s="42"/>
      <c r="I362" s="46" t="str">
        <f>IFERROR(__xludf.DUMMYFUNCTION("""COMPUTED_VALUE"""),"https://repl.it/@mochsofyan17/anagrams#index.js")</f>
        <v>https://repl.it/@mochsofyan17/anagrams#index.js</v>
      </c>
      <c r="J362" s="46" t="str">
        <f>IFERROR(__xludf.DUMMYFUNCTION("""COMPUTED_VALUE"""),"https://drive.google.com/file/d/1vZgxq9iCBufjCuJwSSoQFCemFa2edko4/view?usp=sharing")</f>
        <v>https://drive.google.com/file/d/1vZgxq9iCBufjCuJwSSoQFCemFa2edko4/view?usp=sharing</v>
      </c>
      <c r="K362" s="42"/>
      <c r="L362" s="42">
        <f>IFERROR(__xludf.DUMMYFUNCTION("""COMPUTED_VALUE"""),0.25)</f>
        <v>0.25</v>
      </c>
      <c r="M362" s="42" t="str">
        <f>IFERROR(__xludf.DUMMYFUNCTION("""COMPUTED_VALUE"""),"masih belum selesai, kalau pusing minum obat :D")</f>
        <v>masih belum selesai, kalau pusing minum obat :D</v>
      </c>
    </row>
    <row r="363">
      <c r="A363" s="43">
        <f>IFERROR(__xludf.DUMMYFUNCTION("""COMPUTED_VALUE"""),44106.643472337964)</f>
        <v>44106.64347</v>
      </c>
      <c r="B363" s="42" t="str">
        <f>IFERROR(__xludf.DUMMYFUNCTION("""COMPUTED_VALUE"""),"Rifqy Andika Al Akbar")</f>
        <v>Rifqy Andika Al Akbar</v>
      </c>
      <c r="C363" s="42" t="str">
        <f>IFERROR(__xludf.DUMMYFUNCTION("""COMPUTED_VALUE"""),"Online")</f>
        <v>Online</v>
      </c>
      <c r="D363" s="42" t="str">
        <f>IFERROR(__xludf.DUMMYFUNCTION("""COMPUTED_VALUE"""),"Fullstack Web Developer")</f>
        <v>Fullstack Web Developer</v>
      </c>
      <c r="E363" s="42">
        <f>IFERROR(__xludf.DUMMYFUNCTION("""COMPUTED_VALUE"""),4.0)</f>
        <v>4</v>
      </c>
      <c r="F363" s="42">
        <f>IFERROR(__xludf.DUMMYFUNCTION("""COMPUTED_VALUE"""),1.0)</f>
        <v>1</v>
      </c>
      <c r="G363" s="42" t="str">
        <f>IFERROR(__xludf.DUMMYFUNCTION("""COMPUTED_VALUE"""),"ARKWH5")</f>
        <v>ARKWH5</v>
      </c>
      <c r="H363" s="42"/>
      <c r="I363" s="46" t="str">
        <f>IFERROR(__xludf.DUMMYFUNCTION("""COMPUTED_VALUE"""),"https://repl.it/join/pjvhqllo-andikakiky")</f>
        <v>https://repl.it/join/pjvhqllo-andikakiky</v>
      </c>
      <c r="J363" s="42"/>
      <c r="K363" s="42"/>
      <c r="L363" s="42">
        <f>IFERROR(__xludf.DUMMYFUNCTION("""COMPUTED_VALUE"""),1.5)</f>
        <v>1.5</v>
      </c>
      <c r="M363" s="42" t="str">
        <f>IFERROR(__xludf.DUMMYFUNCTION("""COMPUTED_VALUE"""),"belum sempurna")</f>
        <v>belum sempurna</v>
      </c>
    </row>
    <row r="364">
      <c r="A364" s="43">
        <f>IFERROR(__xludf.DUMMYFUNCTION("""COMPUTED_VALUE"""),44106.64520111111)</f>
        <v>44106.6452</v>
      </c>
      <c r="B364" s="42" t="str">
        <f>IFERROR(__xludf.DUMMYFUNCTION("""COMPUTED_VALUE"""),"Reynaldi Putra Hertiansa")</f>
        <v>Reynaldi Putra Hertiansa</v>
      </c>
      <c r="C364" s="42" t="str">
        <f>IFERROR(__xludf.DUMMYFUNCTION("""COMPUTED_VALUE"""),"Online")</f>
        <v>Online</v>
      </c>
      <c r="D364" s="42" t="str">
        <f>IFERROR(__xludf.DUMMYFUNCTION("""COMPUTED_VALUE"""),"Fullstack Web Developer")</f>
        <v>Fullstack Web Developer</v>
      </c>
      <c r="E364" s="42">
        <f>IFERROR(__xludf.DUMMYFUNCTION("""COMPUTED_VALUE"""),4.0)</f>
        <v>4</v>
      </c>
      <c r="F364" s="42">
        <f>IFERROR(__xludf.DUMMYFUNCTION("""COMPUTED_VALUE"""),1.0)</f>
        <v>1</v>
      </c>
      <c r="G364" s="42" t="str">
        <f>IFERROR(__xludf.DUMMYFUNCTION("""COMPUTED_VALUE"""),"ARKWH5")</f>
        <v>ARKWH5</v>
      </c>
      <c r="H364" s="42"/>
      <c r="I364" s="46" t="str">
        <f>IFERROR(__xludf.DUMMYFUNCTION("""COMPUTED_VALUE"""),"https://repl.it/@rphertiansa/ARKWH5")</f>
        <v>https://repl.it/@rphertiansa/ARKWH5</v>
      </c>
      <c r="J364" s="42"/>
      <c r="K364" s="42"/>
      <c r="L364" s="42"/>
      <c r="M364" s="42"/>
    </row>
    <row r="365">
      <c r="A365" s="43">
        <f>IFERROR(__xludf.DUMMYFUNCTION("""COMPUTED_VALUE"""),44106.645441875)</f>
        <v>44106.64544</v>
      </c>
      <c r="B365" s="42" t="str">
        <f>IFERROR(__xludf.DUMMYFUNCTION("""COMPUTED_VALUE"""),"Panji Kusumarizki")</f>
        <v>Panji Kusumarizki</v>
      </c>
      <c r="C365" s="42" t="str">
        <f>IFERROR(__xludf.DUMMYFUNCTION("""COMPUTED_VALUE"""),"Online")</f>
        <v>Online</v>
      </c>
      <c r="D365" s="42" t="str">
        <f>IFERROR(__xludf.DUMMYFUNCTION("""COMPUTED_VALUE"""),"Fullstack Web Developer")</f>
        <v>Fullstack Web Developer</v>
      </c>
      <c r="E365" s="42">
        <f>IFERROR(__xludf.DUMMYFUNCTION("""COMPUTED_VALUE"""),4.0)</f>
        <v>4</v>
      </c>
      <c r="F365" s="42">
        <f>IFERROR(__xludf.DUMMYFUNCTION("""COMPUTED_VALUE"""),1.0)</f>
        <v>1</v>
      </c>
      <c r="G365" s="42" t="str">
        <f>IFERROR(__xludf.DUMMYFUNCTION("""COMPUTED_VALUE"""),"ARKWH5")</f>
        <v>ARKWH5</v>
      </c>
      <c r="H365" s="42"/>
      <c r="I365" s="46" t="str">
        <f>IFERROR(__xludf.DUMMYFUNCTION("""COMPUTED_VALUE"""),"https://repl.it/@PanjiKusuma/kuis5#index.js")</f>
        <v>https://repl.it/@PanjiKusuma/kuis5#index.js</v>
      </c>
      <c r="J365" s="42"/>
      <c r="K365" s="42"/>
      <c r="L365" s="42"/>
      <c r="M365" s="42"/>
    </row>
    <row r="366">
      <c r="A366" s="43">
        <f>IFERROR(__xludf.DUMMYFUNCTION("""COMPUTED_VALUE"""),44106.64612931713)</f>
        <v>44106.64613</v>
      </c>
      <c r="B366" s="42" t="str">
        <f>IFERROR(__xludf.DUMMYFUNCTION("""COMPUTED_VALUE"""),"farhan ammar dzakwan")</f>
        <v>farhan ammar dzakwan</v>
      </c>
      <c r="C366" s="42" t="str">
        <f>IFERROR(__xludf.DUMMYFUNCTION("""COMPUTED_VALUE"""),"Online")</f>
        <v>Online</v>
      </c>
      <c r="D366" s="42" t="str">
        <f>IFERROR(__xludf.DUMMYFUNCTION("""COMPUTED_VALUE"""),"Fullstack Web Developer")</f>
        <v>Fullstack Web Developer</v>
      </c>
      <c r="E366" s="42">
        <f>IFERROR(__xludf.DUMMYFUNCTION("""COMPUTED_VALUE"""),4.0)</f>
        <v>4</v>
      </c>
      <c r="F366" s="42">
        <f>IFERROR(__xludf.DUMMYFUNCTION("""COMPUTED_VALUE"""),1.0)</f>
        <v>1</v>
      </c>
      <c r="G366" s="42" t="str">
        <f>IFERROR(__xludf.DUMMYFUNCTION("""COMPUTED_VALUE"""),"ARKWH5")</f>
        <v>ARKWH5</v>
      </c>
      <c r="H366" s="42"/>
      <c r="I366" s="46" t="str">
        <f>IFERROR(__xludf.DUMMYFUNCTION("""COMPUTED_VALUE"""),"https://repl.it/join/wnqjuvmu-farhanammar")</f>
        <v>https://repl.it/join/wnqjuvmu-farhanammar</v>
      </c>
      <c r="J366" s="42"/>
      <c r="K366" s="42"/>
      <c r="L366" s="42"/>
      <c r="M366" s="42"/>
    </row>
    <row r="367">
      <c r="A367" s="43">
        <f>IFERROR(__xludf.DUMMYFUNCTION("""COMPUTED_VALUE"""),44106.64613274306)</f>
        <v>44106.64613</v>
      </c>
      <c r="B367" s="42" t="str">
        <f>IFERROR(__xludf.DUMMYFUNCTION("""COMPUTED_VALUE"""),"Dicky Firmansyah")</f>
        <v>Dicky Firmansyah</v>
      </c>
      <c r="C367" s="42" t="str">
        <f>IFERROR(__xludf.DUMMYFUNCTION("""COMPUTED_VALUE"""),"Online")</f>
        <v>Online</v>
      </c>
      <c r="D367" s="42" t="str">
        <f>IFERROR(__xludf.DUMMYFUNCTION("""COMPUTED_VALUE"""),"Fullstack Web Developer")</f>
        <v>Fullstack Web Developer</v>
      </c>
      <c r="E367" s="42">
        <f>IFERROR(__xludf.DUMMYFUNCTION("""COMPUTED_VALUE"""),4.0)</f>
        <v>4</v>
      </c>
      <c r="F367" s="42">
        <f>IFERROR(__xludf.DUMMYFUNCTION("""COMPUTED_VALUE"""),1.0)</f>
        <v>1</v>
      </c>
      <c r="G367" s="42" t="str">
        <f>IFERROR(__xludf.DUMMYFUNCTION("""COMPUTED_VALUE"""),"ARKWH5")</f>
        <v>ARKWH5</v>
      </c>
      <c r="H367" s="42"/>
      <c r="I367" s="46" t="str">
        <f>IFERROR(__xludf.DUMMYFUNCTION("""COMPUTED_VALUE"""),"https://repl.it/repls/AwfulFatherlyLocks#index.js")</f>
        <v>https://repl.it/repls/AwfulFatherlyLocks#index.js</v>
      </c>
      <c r="J367" s="42"/>
      <c r="K367" s="42"/>
      <c r="L367" s="42"/>
      <c r="M367" s="42"/>
    </row>
    <row r="368">
      <c r="A368" s="43">
        <f>IFERROR(__xludf.DUMMYFUNCTION("""COMPUTED_VALUE"""),44106.64616805555)</f>
        <v>44106.64617</v>
      </c>
      <c r="B368" s="42" t="str">
        <f>IFERROR(__xludf.DUMMYFUNCTION("""COMPUTED_VALUE"""),"Shofira Khairunnisa")</f>
        <v>Shofira Khairunnisa</v>
      </c>
      <c r="C368" s="42" t="str">
        <f>IFERROR(__xludf.DUMMYFUNCTION("""COMPUTED_VALUE"""),"Online")</f>
        <v>Online</v>
      </c>
      <c r="D368" s="42" t="str">
        <f>IFERROR(__xludf.DUMMYFUNCTION("""COMPUTED_VALUE"""),"Fullstack Web Developer")</f>
        <v>Fullstack Web Developer</v>
      </c>
      <c r="E368" s="42">
        <f>IFERROR(__xludf.DUMMYFUNCTION("""COMPUTED_VALUE"""),4.0)</f>
        <v>4</v>
      </c>
      <c r="F368" s="42">
        <f>IFERROR(__xludf.DUMMYFUNCTION("""COMPUTED_VALUE"""),1.0)</f>
        <v>1</v>
      </c>
      <c r="G368" s="42" t="str">
        <f>IFERROR(__xludf.DUMMYFUNCTION("""COMPUTED_VALUE"""),"ARKWH5")</f>
        <v>ARKWH5</v>
      </c>
      <c r="H368" s="42"/>
      <c r="I368" s="46" t="str">
        <f>IFERROR(__xludf.DUMMYFUNCTION("""COMPUTED_VALUE"""),"https://repl.it/@Shofira/quiz5#index.js")</f>
        <v>https://repl.it/@Shofira/quiz5#index.js</v>
      </c>
      <c r="J368" s="46" t="str">
        <f>IFERROR(__xludf.DUMMYFUNCTION("""COMPUTED_VALUE"""),"https://drive.google.com/file/d/1-9HIOmTu1j7c4-gVEh-C2emSfFjgh-q7/view?usp=sharing")</f>
        <v>https://drive.google.com/file/d/1-9HIOmTu1j7c4-gVEh-C2emSfFjgh-q7/view?usp=sharing</v>
      </c>
      <c r="K368" s="42"/>
      <c r="L368" s="42"/>
      <c r="M368" s="42"/>
    </row>
    <row r="369">
      <c r="A369" s="43">
        <f>IFERROR(__xludf.DUMMYFUNCTION("""COMPUTED_VALUE"""),44106.64627861111)</f>
        <v>44106.64628</v>
      </c>
      <c r="B369" s="42" t="str">
        <f>IFERROR(__xludf.DUMMYFUNCTION("""COMPUTED_VALUE"""),"Riza Radia Rivaldo")</f>
        <v>Riza Radia Rivaldo</v>
      </c>
      <c r="C369" s="42" t="str">
        <f>IFERROR(__xludf.DUMMYFUNCTION("""COMPUTED_VALUE"""),"Online")</f>
        <v>Online</v>
      </c>
      <c r="D369" s="42" t="str">
        <f>IFERROR(__xludf.DUMMYFUNCTION("""COMPUTED_VALUE"""),"Fullstack Web Developer")</f>
        <v>Fullstack Web Developer</v>
      </c>
      <c r="E369" s="42">
        <f>IFERROR(__xludf.DUMMYFUNCTION("""COMPUTED_VALUE"""),4.0)</f>
        <v>4</v>
      </c>
      <c r="F369" s="42">
        <f>IFERROR(__xludf.DUMMYFUNCTION("""COMPUTED_VALUE"""),1.0)</f>
        <v>1</v>
      </c>
      <c r="G369" s="42" t="str">
        <f>IFERROR(__xludf.DUMMYFUNCTION("""COMPUTED_VALUE"""),"ARKWH5")</f>
        <v>ARKWH5</v>
      </c>
      <c r="H369" s="42"/>
      <c r="I369" s="46" t="str">
        <f>IFERROR(__xludf.DUMMYFUNCTION("""COMPUTED_VALUE"""),"https://repl.it/@RizaRadiaRadia/quiz-4#index.js")</f>
        <v>https://repl.it/@RizaRadiaRadia/quiz-4#index.js</v>
      </c>
      <c r="J369" s="42"/>
      <c r="K369" s="42"/>
      <c r="L369" s="42"/>
      <c r="M369" s="42"/>
    </row>
    <row r="370">
      <c r="A370" s="43">
        <f>IFERROR(__xludf.DUMMYFUNCTION("""COMPUTED_VALUE"""),44106.64646570601)</f>
        <v>44106.64647</v>
      </c>
      <c r="B370" s="42" t="str">
        <f>IFERROR(__xludf.DUMMYFUNCTION("""COMPUTED_VALUE"""),"Syamsa Nur")</f>
        <v>Syamsa Nur</v>
      </c>
      <c r="C370" s="42" t="str">
        <f>IFERROR(__xludf.DUMMYFUNCTION("""COMPUTED_VALUE"""),"Online")</f>
        <v>Online</v>
      </c>
      <c r="D370" s="42" t="str">
        <f>IFERROR(__xludf.DUMMYFUNCTION("""COMPUTED_VALUE"""),"Fullstack Web Developer")</f>
        <v>Fullstack Web Developer</v>
      </c>
      <c r="E370" s="42">
        <f>IFERROR(__xludf.DUMMYFUNCTION("""COMPUTED_VALUE"""),4.0)</f>
        <v>4</v>
      </c>
      <c r="F370" s="42">
        <f>IFERROR(__xludf.DUMMYFUNCTION("""COMPUTED_VALUE"""),1.0)</f>
        <v>1</v>
      </c>
      <c r="G370" s="42" t="str">
        <f>IFERROR(__xludf.DUMMYFUNCTION("""COMPUTED_VALUE"""),"ARKWH5")</f>
        <v>ARKWH5</v>
      </c>
      <c r="H370" s="42"/>
      <c r="I370" s="46" t="str">
        <f>IFERROR(__xludf.DUMMYFUNCTION("""COMPUTED_VALUE"""),"https://repl.it/@syamsa/quiz5")</f>
        <v>https://repl.it/@syamsa/quiz5</v>
      </c>
      <c r="J370" s="42"/>
      <c r="K370" s="42"/>
      <c r="L370" s="42"/>
      <c r="M370" s="42"/>
    </row>
    <row r="371">
      <c r="A371" s="43">
        <f>IFERROR(__xludf.DUMMYFUNCTION("""COMPUTED_VALUE"""),44106.64654152778)</f>
        <v>44106.64654</v>
      </c>
      <c r="B371" s="42" t="str">
        <f>IFERROR(__xludf.DUMMYFUNCTION("""COMPUTED_VALUE"""),"Wisnu Giri")</f>
        <v>Wisnu Giri</v>
      </c>
      <c r="C371" s="42" t="str">
        <f>IFERROR(__xludf.DUMMYFUNCTION("""COMPUTED_VALUE"""),"Online")</f>
        <v>Online</v>
      </c>
      <c r="D371" s="42" t="str">
        <f>IFERROR(__xludf.DUMMYFUNCTION("""COMPUTED_VALUE"""),"Fullstack Web Developer")</f>
        <v>Fullstack Web Developer</v>
      </c>
      <c r="E371" s="42">
        <f>IFERROR(__xludf.DUMMYFUNCTION("""COMPUTED_VALUE"""),4.0)</f>
        <v>4</v>
      </c>
      <c r="F371" s="42">
        <f>IFERROR(__xludf.DUMMYFUNCTION("""COMPUTED_VALUE"""),1.0)</f>
        <v>1</v>
      </c>
      <c r="G371" s="42" t="str">
        <f>IFERROR(__xludf.DUMMYFUNCTION("""COMPUTED_VALUE"""),"ARKWH5")</f>
        <v>ARKWH5</v>
      </c>
      <c r="H371" s="42"/>
      <c r="I371" s="46" t="str">
        <f>IFERROR(__xludf.DUMMYFUNCTION("""COMPUTED_VALUE"""),"https://repl.it/@Wsngr/quiz5")</f>
        <v>https://repl.it/@Wsngr/quiz5</v>
      </c>
      <c r="J371" s="42"/>
      <c r="K371" s="42"/>
      <c r="L371" s="42"/>
      <c r="M371" s="42"/>
    </row>
    <row r="372">
      <c r="A372" s="43">
        <f>IFERROR(__xludf.DUMMYFUNCTION("""COMPUTED_VALUE"""),44106.646728356485)</f>
        <v>44106.64673</v>
      </c>
      <c r="B372" s="42" t="str">
        <f>IFERROR(__xludf.DUMMYFUNCTION("""COMPUTED_VALUE"""),"Miftakh Ali Said")</f>
        <v>Miftakh Ali Said</v>
      </c>
      <c r="C372" s="42" t="str">
        <f>IFERROR(__xludf.DUMMYFUNCTION("""COMPUTED_VALUE"""),"Online")</f>
        <v>Online</v>
      </c>
      <c r="D372" s="42" t="str">
        <f>IFERROR(__xludf.DUMMYFUNCTION("""COMPUTED_VALUE"""),"Fullstack Web Developer")</f>
        <v>Fullstack Web Developer</v>
      </c>
      <c r="E372" s="42">
        <f>IFERROR(__xludf.DUMMYFUNCTION("""COMPUTED_VALUE"""),4.0)</f>
        <v>4</v>
      </c>
      <c r="F372" s="42">
        <f>IFERROR(__xludf.DUMMYFUNCTION("""COMPUTED_VALUE"""),1.0)</f>
        <v>1</v>
      </c>
      <c r="G372" s="42" t="str">
        <f>IFERROR(__xludf.DUMMYFUNCTION("""COMPUTED_VALUE"""),"ARKWH5")</f>
        <v>ARKWH5</v>
      </c>
      <c r="H372" s="42"/>
      <c r="I372" s="46" t="str">
        <f>IFERROR(__xludf.DUMMYFUNCTION("""COMPUTED_VALUE"""),"https://repl.it/repls/CruelFrightenedSampler#index.js")</f>
        <v>https://repl.it/repls/CruelFrightenedSampler#index.js</v>
      </c>
      <c r="J372" s="42"/>
      <c r="K372" s="42"/>
      <c r="L372" s="42"/>
      <c r="M372" s="42"/>
    </row>
    <row r="373">
      <c r="A373" s="43">
        <f>IFERROR(__xludf.DUMMYFUNCTION("""COMPUTED_VALUE"""),44106.646982314815)</f>
        <v>44106.64698</v>
      </c>
      <c r="B373" s="42" t="str">
        <f>IFERROR(__xludf.DUMMYFUNCTION("""COMPUTED_VALUE"""),"Bagaskara Ramadhan")</f>
        <v>Bagaskara Ramadhan</v>
      </c>
      <c r="C373" s="42" t="str">
        <f>IFERROR(__xludf.DUMMYFUNCTION("""COMPUTED_VALUE"""),"Online")</f>
        <v>Online</v>
      </c>
      <c r="D373" s="42" t="str">
        <f>IFERROR(__xludf.DUMMYFUNCTION("""COMPUTED_VALUE"""),"Fullstack Web Developer")</f>
        <v>Fullstack Web Developer</v>
      </c>
      <c r="E373" s="42">
        <f>IFERROR(__xludf.DUMMYFUNCTION("""COMPUTED_VALUE"""),4.0)</f>
        <v>4</v>
      </c>
      <c r="F373" s="42">
        <f>IFERROR(__xludf.DUMMYFUNCTION("""COMPUTED_VALUE"""),1.0)</f>
        <v>1</v>
      </c>
      <c r="G373" s="42" t="str">
        <f>IFERROR(__xludf.DUMMYFUNCTION("""COMPUTED_VALUE"""),"ARKWH5")</f>
        <v>ARKWH5</v>
      </c>
      <c r="H373" s="42"/>
      <c r="I373" s="46" t="str">
        <f>IFERROR(__xludf.DUMMYFUNCTION("""COMPUTED_VALUE"""),"https://repl.it/@bagaskaramadhan/newanagram")</f>
        <v>https://repl.it/@bagaskaramadhan/newanagram</v>
      </c>
      <c r="J373" s="42"/>
      <c r="K373" s="42"/>
      <c r="L373" s="42"/>
      <c r="M373" s="42"/>
    </row>
    <row r="374">
      <c r="A374" s="43">
        <f>IFERROR(__xludf.DUMMYFUNCTION("""COMPUTED_VALUE"""),44106.64723462963)</f>
        <v>44106.64723</v>
      </c>
      <c r="B374" s="42" t="str">
        <f>IFERROR(__xludf.DUMMYFUNCTION("""COMPUTED_VALUE"""),"Satria Adhi Nugraha")</f>
        <v>Satria Adhi Nugraha</v>
      </c>
      <c r="C374" s="42" t="str">
        <f>IFERROR(__xludf.DUMMYFUNCTION("""COMPUTED_VALUE"""),"Online")</f>
        <v>Online</v>
      </c>
      <c r="D374" s="42" t="str">
        <f>IFERROR(__xludf.DUMMYFUNCTION("""COMPUTED_VALUE"""),"Fullstack Web Developer")</f>
        <v>Fullstack Web Developer</v>
      </c>
      <c r="E374" s="42">
        <f>IFERROR(__xludf.DUMMYFUNCTION("""COMPUTED_VALUE"""),4.0)</f>
        <v>4</v>
      </c>
      <c r="F374" s="42">
        <f>IFERROR(__xludf.DUMMYFUNCTION("""COMPUTED_VALUE"""),3.0)</f>
        <v>3</v>
      </c>
      <c r="G374" s="42" t="str">
        <f>IFERROR(__xludf.DUMMYFUNCTION("""COMPUTED_VALUE"""),"ARKWH5")</f>
        <v>ARKWH5</v>
      </c>
      <c r="H374" s="42"/>
      <c r="I374" s="46" t="str">
        <f>IFERROR(__xludf.DUMMYFUNCTION("""COMPUTED_VALUE"""),"https://repl.it/@SATRIA05/anagram")</f>
        <v>https://repl.it/@SATRIA05/anagram</v>
      </c>
      <c r="J374" s="42"/>
      <c r="K374" s="42"/>
      <c r="L374" s="42"/>
      <c r="M374" s="42"/>
    </row>
    <row r="375">
      <c r="A375" s="43">
        <f>IFERROR(__xludf.DUMMYFUNCTION("""COMPUTED_VALUE"""),44109.46206863426)</f>
        <v>44109.46207</v>
      </c>
      <c r="B375" s="42" t="str">
        <f>IFERROR(__xludf.DUMMYFUNCTION("""COMPUTED_VALUE"""),"Timotius Simanjuntak")</f>
        <v>Timotius Simanjuntak</v>
      </c>
      <c r="C375" s="42" t="str">
        <f>IFERROR(__xludf.DUMMYFUNCTION("""COMPUTED_VALUE"""),"Online")</f>
        <v>Online</v>
      </c>
      <c r="D375" s="42" t="str">
        <f>IFERROR(__xludf.DUMMYFUNCTION("""COMPUTED_VALUE"""),"Fullstack Mobile Developer")</f>
        <v>Fullstack Mobile Developer</v>
      </c>
      <c r="E375" s="42">
        <f>IFERROR(__xludf.DUMMYFUNCTION("""COMPUTED_VALUE"""),17.0)</f>
        <v>17</v>
      </c>
      <c r="F375" s="42">
        <f>IFERROR(__xludf.DUMMYFUNCTION("""COMPUTED_VALUE"""),2.0)</f>
        <v>2</v>
      </c>
      <c r="G375" s="42" t="str">
        <f>IFERROR(__xludf.DUMMYFUNCTION("""COMPUTED_VALUE"""),"ARKWH1")</f>
        <v>ARKWH1</v>
      </c>
      <c r="H375" s="42"/>
      <c r="I375" s="46" t="str">
        <f>IFERROR(__xludf.DUMMYFUNCTION("""COMPUTED_VALUE"""),"https://repl.it/@timoticrew/ArkFood#index.js")</f>
        <v>https://repl.it/@timoticrew/ArkFood#index.js</v>
      </c>
      <c r="J375" s="46" t="str">
        <f>IFERROR(__xludf.DUMMYFUNCTION("""COMPUTED_VALUE"""),"https://drive.google.com/file/d/1cpH5sALWVCqwN1MEjoqGw7lzUr7YSlhf/view?usp=sharing")</f>
        <v>https://drive.google.com/file/d/1cpH5sALWVCqwN1MEjoqGw7lzUr7YSlhf/view?usp=sharing</v>
      </c>
      <c r="K375" s="46" t="str">
        <f>IFERROR(__xludf.DUMMYFUNCTION("""COMPUTED_VALUE"""),"https://drive.google.com/open?id=18yI_rRPNLseabxxR6X6nQbF9843pcY-j")</f>
        <v>https://drive.google.com/open?id=18yI_rRPNLseabxxR6X6nQbF9843pcY-j</v>
      </c>
      <c r="L375" s="42"/>
      <c r="M375" s="42"/>
    </row>
    <row r="376">
      <c r="A376" s="43">
        <f>IFERROR(__xludf.DUMMYFUNCTION("""COMPUTED_VALUE"""),44109.46554849537)</f>
        <v>44109.46555</v>
      </c>
      <c r="B376" s="42" t="str">
        <f>IFERROR(__xludf.DUMMYFUNCTION("""COMPUTED_VALUE"""),"Api Al Rahman")</f>
        <v>Api Al Rahman</v>
      </c>
      <c r="C376" s="42" t="str">
        <f>IFERROR(__xludf.DUMMYFUNCTION("""COMPUTED_VALUE"""),"Online")</f>
        <v>Online</v>
      </c>
      <c r="D376" s="42" t="str">
        <f>IFERROR(__xludf.DUMMYFUNCTION("""COMPUTED_VALUE"""),"Fullstack Mobile Developer")</f>
        <v>Fullstack Mobile Developer</v>
      </c>
      <c r="E376" s="42">
        <f>IFERROR(__xludf.DUMMYFUNCTION("""COMPUTED_VALUE"""),18.0)</f>
        <v>18</v>
      </c>
      <c r="F376" s="42">
        <f>IFERROR(__xludf.DUMMYFUNCTION("""COMPUTED_VALUE"""),1.0)</f>
        <v>1</v>
      </c>
      <c r="G376" s="42" t="str">
        <f>IFERROR(__xludf.DUMMYFUNCTION("""COMPUTED_VALUE"""),"ARKWH2")</f>
        <v>ARKWH2</v>
      </c>
      <c r="H376" s="42"/>
      <c r="I376" s="46" t="str">
        <f>IFERROR(__xludf.DUMMYFUNCTION("""COMPUTED_VALUE"""),"https://playcode.io/686506/")</f>
        <v>https://playcode.io/686506/</v>
      </c>
      <c r="J376" s="46" t="str">
        <f>IFERROR(__xludf.DUMMYFUNCTION("""COMPUTED_VALUE"""),"https://drive.google.com/file/d/1QrJDXQp2vhZmNQ2uWdkLhzDOOZSr6Slu/view?usp=sharing")</f>
        <v>https://drive.google.com/file/d/1QrJDXQp2vhZmNQ2uWdkLhzDOOZSr6Slu/view?usp=sharing</v>
      </c>
      <c r="K376" s="42"/>
      <c r="L376" s="42"/>
      <c r="M376" s="42" t="str">
        <f>IFERROR(__xludf.DUMMYFUNCTION("""COMPUTED_VALUE"""),"coba gunakan metode yang dapat mempersingkat/efisienkan kodingan")</f>
        <v>coba gunakan metode yang dapat mempersingkat/efisienkan kodingan</v>
      </c>
    </row>
    <row r="377">
      <c r="A377" s="43">
        <f>IFERROR(__xludf.DUMMYFUNCTION("""COMPUTED_VALUE"""),44109.471716712964)</f>
        <v>44109.47172</v>
      </c>
      <c r="B377" s="42" t="str">
        <f>IFERROR(__xludf.DUMMYFUNCTION("""COMPUTED_VALUE"""),"Laili Kumala")</f>
        <v>Laili Kumala</v>
      </c>
      <c r="C377" s="42" t="str">
        <f>IFERROR(__xludf.DUMMYFUNCTION("""COMPUTED_VALUE"""),"Online")</f>
        <v>Online</v>
      </c>
      <c r="D377" s="42" t="str">
        <f>IFERROR(__xludf.DUMMYFUNCTION("""COMPUTED_VALUE"""),"Fullstack Mobile Developer")</f>
        <v>Fullstack Mobile Developer</v>
      </c>
      <c r="E377" s="42">
        <f>IFERROR(__xludf.DUMMYFUNCTION("""COMPUTED_VALUE"""),18.0)</f>
        <v>18</v>
      </c>
      <c r="F377" s="42">
        <f>IFERROR(__xludf.DUMMYFUNCTION("""COMPUTED_VALUE"""),1.0)</f>
        <v>1</v>
      </c>
      <c r="G377" s="42" t="str">
        <f>IFERROR(__xludf.DUMMYFUNCTION("""COMPUTED_VALUE"""),"ARKWH2")</f>
        <v>ARKWH2</v>
      </c>
      <c r="H377" s="42"/>
      <c r="I377" s="46" t="str">
        <f>IFERROR(__xludf.DUMMYFUNCTION("""COMPUTED_VALUE"""),"https://repl.it/repls/ImpossibleTechnicalDisks#index.js")</f>
        <v>https://repl.it/repls/ImpossibleTechnicalDisks#index.js</v>
      </c>
      <c r="J377" s="46" t="str">
        <f>IFERROR(__xludf.DUMMYFUNCTION("""COMPUTED_VALUE"""),"https://drive.google.com/drive/folders/1QBa27d6tku0YgEW1QO8QXTBLttY7j3uo")</f>
        <v>https://drive.google.com/drive/folders/1QBa27d6tku0YgEW1QO8QXTBLttY7j3uo</v>
      </c>
      <c r="K377" s="42"/>
      <c r="L377" s="42"/>
      <c r="M377" s="42"/>
    </row>
    <row r="378">
      <c r="A378" s="43">
        <f>IFERROR(__xludf.DUMMYFUNCTION("""COMPUTED_VALUE"""),44109.474587812496)</f>
        <v>44109.47459</v>
      </c>
      <c r="B378" s="42" t="str">
        <f>IFERROR(__xludf.DUMMYFUNCTION("""COMPUTED_VALUE"""),"Sinta Herena")</f>
        <v>Sinta Herena</v>
      </c>
      <c r="C378" s="42" t="str">
        <f>IFERROR(__xludf.DUMMYFUNCTION("""COMPUTED_VALUE"""),"Online")</f>
        <v>Online</v>
      </c>
      <c r="D378" s="42" t="str">
        <f>IFERROR(__xludf.DUMMYFUNCTION("""COMPUTED_VALUE"""),"Fullstack Mobile Developer")</f>
        <v>Fullstack Mobile Developer</v>
      </c>
      <c r="E378" s="42">
        <f>IFERROR(__xludf.DUMMYFUNCTION("""COMPUTED_VALUE"""),18.0)</f>
        <v>18</v>
      </c>
      <c r="F378" s="42">
        <f>IFERROR(__xludf.DUMMYFUNCTION("""COMPUTED_VALUE"""),1.0)</f>
        <v>1</v>
      </c>
      <c r="G378" s="42" t="str">
        <f>IFERROR(__xludf.DUMMYFUNCTION("""COMPUTED_VALUE"""),"ARKWH2")</f>
        <v>ARKWH2</v>
      </c>
      <c r="H378" s="42"/>
      <c r="I378" s="46" t="str">
        <f>IFERROR(__xludf.DUMMYFUNCTION("""COMPUTED_VALUE"""),"https://repl.it/@herenacreative/reverse-pyramid#index.js")</f>
        <v>https://repl.it/@herenacreative/reverse-pyramid#index.js</v>
      </c>
      <c r="J378" s="46" t="str">
        <f>IFERROR(__xludf.DUMMYFUNCTION("""COMPUTED_VALUE"""),"https://drive.google.com/file/d/1FyusXCE23LvefyvK-RNlAlZq0vaJnIr6/view?usp=sharing")</f>
        <v>https://drive.google.com/file/d/1FyusXCE23LvefyvK-RNlAlZq0vaJnIr6/view?usp=sharing</v>
      </c>
      <c r="K378" s="42"/>
      <c r="L378" s="42"/>
      <c r="M378" s="42"/>
    </row>
    <row r="379">
      <c r="A379" s="43">
        <f>IFERROR(__xludf.DUMMYFUNCTION("""COMPUTED_VALUE"""),44109.47803961806)</f>
        <v>44109.47804</v>
      </c>
      <c r="B379" s="42" t="str">
        <f>IFERROR(__xludf.DUMMYFUNCTION("""COMPUTED_VALUE"""),"Ayu Armadani Putri Mahirun")</f>
        <v>Ayu Armadani Putri Mahirun</v>
      </c>
      <c r="C379" s="42" t="str">
        <f>IFERROR(__xludf.DUMMYFUNCTION("""COMPUTED_VALUE"""),"Online")</f>
        <v>Online</v>
      </c>
      <c r="D379" s="42" t="str">
        <f>IFERROR(__xludf.DUMMYFUNCTION("""COMPUTED_VALUE"""),"Fullstack Mobile Developer")</f>
        <v>Fullstack Mobile Developer</v>
      </c>
      <c r="E379" s="42">
        <f>IFERROR(__xludf.DUMMYFUNCTION("""COMPUTED_VALUE"""),18.0)</f>
        <v>18</v>
      </c>
      <c r="F379" s="42">
        <f>IFERROR(__xludf.DUMMYFUNCTION("""COMPUTED_VALUE"""),1.0)</f>
        <v>1</v>
      </c>
      <c r="G379" s="42" t="str">
        <f>IFERROR(__xludf.DUMMYFUNCTION("""COMPUTED_VALUE"""),"ARKWH2")</f>
        <v>ARKWH2</v>
      </c>
      <c r="H379" s="42"/>
      <c r="I379" s="46" t="str">
        <f>IFERROR(__xludf.DUMMYFUNCTION("""COMPUTED_VALUE"""),"https://repl.it/@Ayuarmadani/reversePyramid")</f>
        <v>https://repl.it/@Ayuarmadani/reversePyramid</v>
      </c>
      <c r="J379" s="46" t="str">
        <f>IFERROR(__xludf.DUMMYFUNCTION("""COMPUTED_VALUE"""),"https://drive.google.com/file/d/11fyQpOy5avsBpCWY67Unsez7e6f62B8W/view?usp=sharing")</f>
        <v>https://drive.google.com/file/d/11fyQpOy5avsBpCWY67Unsez7e6f62B8W/view?usp=sharing</v>
      </c>
      <c r="K379" s="46" t="str">
        <f>IFERROR(__xludf.DUMMYFUNCTION("""COMPUTED_VALUE"""),"https://drive.google.com/open?id=1kEpuCdJILkrVlNUM9b1t72g_ownqDt2q")</f>
        <v>https://drive.google.com/open?id=1kEpuCdJILkrVlNUM9b1t72g_ownqDt2q</v>
      </c>
      <c r="L379" s="42"/>
      <c r="M379" s="42"/>
    </row>
    <row r="380">
      <c r="A380" s="43">
        <f>IFERROR(__xludf.DUMMYFUNCTION("""COMPUTED_VALUE"""),44109.47884938658)</f>
        <v>44109.47885</v>
      </c>
      <c r="B380" s="42" t="str">
        <f>IFERROR(__xludf.DUMMYFUNCTION("""COMPUTED_VALUE"""),"Dyaksa Jauharuddin Nour")</f>
        <v>Dyaksa Jauharuddin Nour</v>
      </c>
      <c r="C380" s="42" t="str">
        <f>IFERROR(__xludf.DUMMYFUNCTION("""COMPUTED_VALUE"""),"Online")</f>
        <v>Online</v>
      </c>
      <c r="D380" s="42" t="str">
        <f>IFERROR(__xludf.DUMMYFUNCTION("""COMPUTED_VALUE"""),"Fullstack Mobile Developer")</f>
        <v>Fullstack Mobile Developer</v>
      </c>
      <c r="E380" s="42">
        <f>IFERROR(__xludf.DUMMYFUNCTION("""COMPUTED_VALUE"""),18.0)</f>
        <v>18</v>
      </c>
      <c r="F380" s="42">
        <f>IFERROR(__xludf.DUMMYFUNCTION("""COMPUTED_VALUE"""),1.0)</f>
        <v>1</v>
      </c>
      <c r="G380" s="42" t="str">
        <f>IFERROR(__xludf.DUMMYFUNCTION("""COMPUTED_VALUE"""),"ARKWH2")</f>
        <v>ARKWH2</v>
      </c>
      <c r="H380" s="42"/>
      <c r="I380" s="46" t="str">
        <f>IFERROR(__xludf.DUMMYFUNCTION("""COMPUTED_VALUE"""),"https://repl.it/@dyaksanour/QUIZ2")</f>
        <v>https://repl.it/@dyaksanour/QUIZ2</v>
      </c>
      <c r="J380" s="46" t="str">
        <f>IFERROR(__xludf.DUMMYFUNCTION("""COMPUTED_VALUE"""),"https://drive.google.com/file/d/1ciw6X5cl8Bos8LjLbKQ4Z57xWRCmx3Nn/view?usp=sharing")</f>
        <v>https://drive.google.com/file/d/1ciw6X5cl8Bos8LjLbKQ4Z57xWRCmx3Nn/view?usp=sharing</v>
      </c>
      <c r="K380" s="42"/>
      <c r="L380" s="42"/>
      <c r="M380" s="42"/>
    </row>
    <row r="381">
      <c r="A381" s="43">
        <f>IFERROR(__xludf.DUMMYFUNCTION("""COMPUTED_VALUE"""),44109.47915287037)</f>
        <v>44109.47915</v>
      </c>
      <c r="B381" s="42" t="str">
        <f>IFERROR(__xludf.DUMMYFUNCTION("""COMPUTED_VALUE"""),"Muhammad Ihsan Anshory")</f>
        <v>Muhammad Ihsan Anshory</v>
      </c>
      <c r="C381" s="42" t="str">
        <f>IFERROR(__xludf.DUMMYFUNCTION("""COMPUTED_VALUE"""),"Online")</f>
        <v>Online</v>
      </c>
      <c r="D381" s="42" t="str">
        <f>IFERROR(__xludf.DUMMYFUNCTION("""COMPUTED_VALUE"""),"Fullstack Mobile Developer")</f>
        <v>Fullstack Mobile Developer</v>
      </c>
      <c r="E381" s="42">
        <f>IFERROR(__xludf.DUMMYFUNCTION("""COMPUTED_VALUE"""),18.0)</f>
        <v>18</v>
      </c>
      <c r="F381" s="42">
        <f>IFERROR(__xludf.DUMMYFUNCTION("""COMPUTED_VALUE"""),1.0)</f>
        <v>1</v>
      </c>
      <c r="G381" s="42" t="str">
        <f>IFERROR(__xludf.DUMMYFUNCTION("""COMPUTED_VALUE"""),"ARKWH2")</f>
        <v>ARKWH2</v>
      </c>
      <c r="H381" s="42"/>
      <c r="I381" s="46" t="str">
        <f>IFERROR(__xludf.DUMMYFUNCTION("""COMPUTED_VALUE"""),"https://repl.it/@AnshoryIhsan/quiz2")</f>
        <v>https://repl.it/@AnshoryIhsan/quiz2</v>
      </c>
      <c r="J381" s="46" t="str">
        <f>IFERROR(__xludf.DUMMYFUNCTION("""COMPUTED_VALUE"""),"https://drive.google.com/file/d/1rY0ACWc-OdPNf6RzEuD0s2WBKO9rGEos/view?usp=sharing")</f>
        <v>https://drive.google.com/file/d/1rY0ACWc-OdPNf6RzEuD0s2WBKO9rGEos/view?usp=sharing</v>
      </c>
      <c r="K381" s="42"/>
      <c r="L381" s="42"/>
      <c r="M381" s="42"/>
    </row>
    <row r="382">
      <c r="A382" s="43">
        <f>IFERROR(__xludf.DUMMYFUNCTION("""COMPUTED_VALUE"""),44109.479364467596)</f>
        <v>44109.47936</v>
      </c>
      <c r="B382" s="42" t="str">
        <f>IFERROR(__xludf.DUMMYFUNCTION("""COMPUTED_VALUE"""),"Denny Wahyudi Marzuk")</f>
        <v>Denny Wahyudi Marzuk</v>
      </c>
      <c r="C382" s="42" t="str">
        <f>IFERROR(__xludf.DUMMYFUNCTION("""COMPUTED_VALUE"""),"Online")</f>
        <v>Online</v>
      </c>
      <c r="D382" s="42" t="str">
        <f>IFERROR(__xludf.DUMMYFUNCTION("""COMPUTED_VALUE"""),"Fullstack Mobile Developer")</f>
        <v>Fullstack Mobile Developer</v>
      </c>
      <c r="E382" s="42">
        <f>IFERROR(__xludf.DUMMYFUNCTION("""COMPUTED_VALUE"""),18.0)</f>
        <v>18</v>
      </c>
      <c r="F382" s="42">
        <f>IFERROR(__xludf.DUMMYFUNCTION("""COMPUTED_VALUE"""),1.0)</f>
        <v>1</v>
      </c>
      <c r="G382" s="42" t="str">
        <f>IFERROR(__xludf.DUMMYFUNCTION("""COMPUTED_VALUE"""),"ARKWH2")</f>
        <v>ARKWH2</v>
      </c>
      <c r="H382" s="42"/>
      <c r="I382" s="46" t="str">
        <f>IFERROR(__xludf.DUMMYFUNCTION("""COMPUTED_VALUE"""),"https://repl.it/@dennywm/KUIS-ARKWH2#index.js")</f>
        <v>https://repl.it/@dennywm/KUIS-ARKWH2#index.js</v>
      </c>
      <c r="J382" s="46" t="str">
        <f>IFERROR(__xludf.DUMMYFUNCTION("""COMPUTED_VALUE"""),"https://drive.google.com/file/d/1jK6vO7-CXjcR9o9dOJ8mXbgLipCHxZ1M/view?usp=sharing")</f>
        <v>https://drive.google.com/file/d/1jK6vO7-CXjcR9o9dOJ8mXbgLipCHxZ1M/view?usp=sharing</v>
      </c>
      <c r="K382" s="42"/>
      <c r="L382" s="42"/>
      <c r="M382" s="42"/>
    </row>
    <row r="383">
      <c r="A383" s="43">
        <f>IFERROR(__xludf.DUMMYFUNCTION("""COMPUTED_VALUE"""),44109.47969954861)</f>
        <v>44109.4797</v>
      </c>
      <c r="B383" s="42" t="str">
        <f>IFERROR(__xludf.DUMMYFUNCTION("""COMPUTED_VALUE"""),"Rizky Agung Pratama")</f>
        <v>Rizky Agung Pratama</v>
      </c>
      <c r="C383" s="42" t="str">
        <f>IFERROR(__xludf.DUMMYFUNCTION("""COMPUTED_VALUE"""),"Online")</f>
        <v>Online</v>
      </c>
      <c r="D383" s="42" t="str">
        <f>IFERROR(__xludf.DUMMYFUNCTION("""COMPUTED_VALUE"""),"Fullstack Mobile Developer")</f>
        <v>Fullstack Mobile Developer</v>
      </c>
      <c r="E383" s="42">
        <f>IFERROR(__xludf.DUMMYFUNCTION("""COMPUTED_VALUE"""),18.0)</f>
        <v>18</v>
      </c>
      <c r="F383" s="42">
        <f>IFERROR(__xludf.DUMMYFUNCTION("""COMPUTED_VALUE"""),1.0)</f>
        <v>1</v>
      </c>
      <c r="G383" s="42" t="str">
        <f>IFERROR(__xludf.DUMMYFUNCTION("""COMPUTED_VALUE"""),"ARKWH2")</f>
        <v>ARKWH2</v>
      </c>
      <c r="H383" s="42"/>
      <c r="I383" s="46" t="str">
        <f>IFERROR(__xludf.DUMMYFUNCTION("""COMPUTED_VALUE"""),"https://repl.it/@rizkyagung18/ForthrightMintcreamDemand#index.js")</f>
        <v>https://repl.it/@rizkyagung18/ForthrightMintcreamDemand#index.js</v>
      </c>
      <c r="J383" s="46" t="str">
        <f>IFERROR(__xludf.DUMMYFUNCTION("""COMPUTED_VALUE"""),"https://drive.google.com/file/d/19noT8vqFi1mF69pBzOcdsLB5rMka69jO/view?usp=sharing")</f>
        <v>https://drive.google.com/file/d/19noT8vqFi1mF69pBzOcdsLB5rMka69jO/view?usp=sharing</v>
      </c>
      <c r="K383" s="46" t="str">
        <f>IFERROR(__xludf.DUMMYFUNCTION("""COMPUTED_VALUE"""),"https://drive.google.com/open?id=13o6ymc-dhWDmUgXZMtO_oezdiO-0_o7g")</f>
        <v>https://drive.google.com/open?id=13o6ymc-dhWDmUgXZMtO_oezdiO-0_o7g</v>
      </c>
      <c r="L383" s="42"/>
      <c r="M383" s="42"/>
    </row>
    <row r="384">
      <c r="A384" s="43">
        <f>IFERROR(__xludf.DUMMYFUNCTION("""COMPUTED_VALUE"""),44109.480084421295)</f>
        <v>44109.48008</v>
      </c>
      <c r="B384" s="42" t="str">
        <f>IFERROR(__xludf.DUMMYFUNCTION("""COMPUTED_VALUE"""),"Hanif Maghfur")</f>
        <v>Hanif Maghfur</v>
      </c>
      <c r="C384" s="42" t="str">
        <f>IFERROR(__xludf.DUMMYFUNCTION("""COMPUTED_VALUE"""),"Online")</f>
        <v>Online</v>
      </c>
      <c r="D384" s="42" t="str">
        <f>IFERROR(__xludf.DUMMYFUNCTION("""COMPUTED_VALUE"""),"Fullstack Mobile Developer")</f>
        <v>Fullstack Mobile Developer</v>
      </c>
      <c r="E384" s="42">
        <f>IFERROR(__xludf.DUMMYFUNCTION("""COMPUTED_VALUE"""),18.0)</f>
        <v>18</v>
      </c>
      <c r="F384" s="42">
        <f>IFERROR(__xludf.DUMMYFUNCTION("""COMPUTED_VALUE"""),1.0)</f>
        <v>1</v>
      </c>
      <c r="G384" s="42" t="str">
        <f>IFERROR(__xludf.DUMMYFUNCTION("""COMPUTED_VALUE"""),"ARKWH2")</f>
        <v>ARKWH2</v>
      </c>
      <c r="H384" s="42"/>
      <c r="I384" s="46" t="str">
        <f>IFERROR(__xludf.DUMMYFUNCTION("""COMPUTED_VALUE"""),"https://repl.it/@hnifmaghfur/KuisARKWH2")</f>
        <v>https://repl.it/@hnifmaghfur/KuisARKWH2</v>
      </c>
      <c r="J384" s="46" t="str">
        <f>IFERROR(__xludf.DUMMYFUNCTION("""COMPUTED_VALUE"""),"https://drive.google.com/file/d/1X8JC2ke9mSSH3bxODFOyu684jvxCAiHf/view?usp=sharing")</f>
        <v>https://drive.google.com/file/d/1X8JC2ke9mSSH3bxODFOyu684jvxCAiHf/view?usp=sharing</v>
      </c>
      <c r="K384" s="46" t="str">
        <f>IFERROR(__xludf.DUMMYFUNCTION("""COMPUTED_VALUE"""),"https://drive.google.com/open?id=1Hrm6dPEkCDl-bQjwrzv9w79lNmf8tuKW")</f>
        <v>https://drive.google.com/open?id=1Hrm6dPEkCDl-bQjwrzv9w79lNmf8tuKW</v>
      </c>
      <c r="L384" s="42"/>
      <c r="M384" s="42"/>
    </row>
    <row r="385">
      <c r="A385" s="43">
        <f>IFERROR(__xludf.DUMMYFUNCTION("""COMPUTED_VALUE"""),44109.48034336806)</f>
        <v>44109.48034</v>
      </c>
      <c r="B385" s="42" t="str">
        <f>IFERROR(__xludf.DUMMYFUNCTION("""COMPUTED_VALUE"""),"Arungi Cahaya")</f>
        <v>Arungi Cahaya</v>
      </c>
      <c r="C385" s="42" t="str">
        <f>IFERROR(__xludf.DUMMYFUNCTION("""COMPUTED_VALUE"""),"Online")</f>
        <v>Online</v>
      </c>
      <c r="D385" s="42" t="str">
        <f>IFERROR(__xludf.DUMMYFUNCTION("""COMPUTED_VALUE"""),"Fullstack Mobile Developer")</f>
        <v>Fullstack Mobile Developer</v>
      </c>
      <c r="E385" s="42">
        <f>IFERROR(__xludf.DUMMYFUNCTION("""COMPUTED_VALUE"""),18.0)</f>
        <v>18</v>
      </c>
      <c r="F385" s="42">
        <f>IFERROR(__xludf.DUMMYFUNCTION("""COMPUTED_VALUE"""),1.0)</f>
        <v>1</v>
      </c>
      <c r="G385" s="42" t="str">
        <f>IFERROR(__xludf.DUMMYFUNCTION("""COMPUTED_VALUE"""),"ARKWH2")</f>
        <v>ARKWH2</v>
      </c>
      <c r="H385" s="42"/>
      <c r="I385" s="46" t="str">
        <f>IFERROR(__xludf.DUMMYFUNCTION("""COMPUTED_VALUE"""),"https://repl.it/@ArungiCahaya/reversePyramid#index.js")</f>
        <v>https://repl.it/@ArungiCahaya/reversePyramid#index.js</v>
      </c>
      <c r="J385" s="42"/>
      <c r="K385" s="42"/>
      <c r="L385" s="42"/>
      <c r="M385" s="42"/>
    </row>
    <row r="386">
      <c r="A386" s="43">
        <f>IFERROR(__xludf.DUMMYFUNCTION("""COMPUTED_VALUE"""),44109.48034340278)</f>
        <v>44109.48034</v>
      </c>
      <c r="B386" s="42" t="str">
        <f>IFERROR(__xludf.DUMMYFUNCTION("""COMPUTED_VALUE"""),"Rani Suprianti")</f>
        <v>Rani Suprianti</v>
      </c>
      <c r="C386" s="42" t="str">
        <f>IFERROR(__xludf.DUMMYFUNCTION("""COMPUTED_VALUE"""),"Online")</f>
        <v>Online</v>
      </c>
      <c r="D386" s="42" t="str">
        <f>IFERROR(__xludf.DUMMYFUNCTION("""COMPUTED_VALUE"""),"Fullstack Mobile Developer")</f>
        <v>Fullstack Mobile Developer</v>
      </c>
      <c r="E386" s="42">
        <f>IFERROR(__xludf.DUMMYFUNCTION("""COMPUTED_VALUE"""),18.0)</f>
        <v>18</v>
      </c>
      <c r="F386" s="42">
        <f>IFERROR(__xludf.DUMMYFUNCTION("""COMPUTED_VALUE"""),1.0)</f>
        <v>1</v>
      </c>
      <c r="G386" s="42" t="str">
        <f>IFERROR(__xludf.DUMMYFUNCTION("""COMPUTED_VALUE"""),"ARKWH2")</f>
        <v>ARKWH2</v>
      </c>
      <c r="H386" s="42"/>
      <c r="I386" s="46" t="str">
        <f>IFERROR(__xludf.DUMMYFUNCTION("""COMPUTED_VALUE"""),"https://repl.it/@ranisup/quiz3js#index.js")</f>
        <v>https://repl.it/@ranisup/quiz3js#index.js</v>
      </c>
      <c r="J386" s="46" t="str">
        <f>IFERROR(__xludf.DUMMYFUNCTION("""COMPUTED_VALUE"""),"https://drive.google.com/file/d/1flJttQK_HbzVMFqtMmRC8BfA_qChxuD3/view?usp=sharing")</f>
        <v>https://drive.google.com/file/d/1flJttQK_HbzVMFqtMmRC8BfA_qChxuD3/view?usp=sharing</v>
      </c>
      <c r="K386" s="42"/>
      <c r="L386" s="42"/>
      <c r="M386" s="42"/>
    </row>
    <row r="387">
      <c r="A387" s="43">
        <f>IFERROR(__xludf.DUMMYFUNCTION("""COMPUTED_VALUE"""),44109.48046614583)</f>
        <v>44109.48047</v>
      </c>
      <c r="B387" s="42" t="str">
        <f>IFERROR(__xludf.DUMMYFUNCTION("""COMPUTED_VALUE"""),"Drajat Fikri Alfianto")</f>
        <v>Drajat Fikri Alfianto</v>
      </c>
      <c r="C387" s="42" t="str">
        <f>IFERROR(__xludf.DUMMYFUNCTION("""COMPUTED_VALUE"""),"Online")</f>
        <v>Online</v>
      </c>
      <c r="D387" s="42" t="str">
        <f>IFERROR(__xludf.DUMMYFUNCTION("""COMPUTED_VALUE"""),"Fullstack Mobile Developer")</f>
        <v>Fullstack Mobile Developer</v>
      </c>
      <c r="E387" s="42">
        <f>IFERROR(__xludf.DUMMYFUNCTION("""COMPUTED_VALUE"""),18.0)</f>
        <v>18</v>
      </c>
      <c r="F387" s="42">
        <f>IFERROR(__xludf.DUMMYFUNCTION("""COMPUTED_VALUE"""),1.0)</f>
        <v>1</v>
      </c>
      <c r="G387" s="42" t="str">
        <f>IFERROR(__xludf.DUMMYFUNCTION("""COMPUTED_VALUE"""),"ARKWH2")</f>
        <v>ARKWH2</v>
      </c>
      <c r="H387" s="42"/>
      <c r="I387" s="46" t="str">
        <f>IFERROR(__xludf.DUMMYFUNCTION("""COMPUTED_VALUE"""),"https://repl.it/@drajat824/Quiz2")</f>
        <v>https://repl.it/@drajat824/Quiz2</v>
      </c>
      <c r="J387" s="42" t="str">
        <f>IFERROR(__xludf.DUMMYFUNCTION("""COMPUTED_VALUE"""),"-")</f>
        <v>-</v>
      </c>
      <c r="K387" s="42"/>
      <c r="L387" s="42"/>
      <c r="M387" s="42"/>
    </row>
    <row r="388">
      <c r="A388" s="43">
        <f>IFERROR(__xludf.DUMMYFUNCTION("""COMPUTED_VALUE"""),44109.4815191088)</f>
        <v>44109.48152</v>
      </c>
      <c r="B388" s="42" t="str">
        <f>IFERROR(__xludf.DUMMYFUNCTION("""COMPUTED_VALUE"""),"Muhammad Riduwan")</f>
        <v>Muhammad Riduwan</v>
      </c>
      <c r="C388" s="42" t="str">
        <f>IFERROR(__xludf.DUMMYFUNCTION("""COMPUTED_VALUE"""),"Online")</f>
        <v>Online</v>
      </c>
      <c r="D388" s="42" t="str">
        <f>IFERROR(__xludf.DUMMYFUNCTION("""COMPUTED_VALUE"""),"Fullstack Mobile Developer")</f>
        <v>Fullstack Mobile Developer</v>
      </c>
      <c r="E388" s="42">
        <f>IFERROR(__xludf.DUMMYFUNCTION("""COMPUTED_VALUE"""),18.0)</f>
        <v>18</v>
      </c>
      <c r="F388" s="42">
        <f>IFERROR(__xludf.DUMMYFUNCTION("""COMPUTED_VALUE"""),1.0)</f>
        <v>1</v>
      </c>
      <c r="G388" s="42" t="str">
        <f>IFERROR(__xludf.DUMMYFUNCTION("""COMPUTED_VALUE"""),"ARKWH2")</f>
        <v>ARKWH2</v>
      </c>
      <c r="H388" s="42"/>
      <c r="I388" s="46" t="str">
        <f>IFERROR(__xludf.DUMMYFUNCTION("""COMPUTED_VALUE"""),"https://repl.it/@rolilaz47/AlarmedBogusMedia")</f>
        <v>https://repl.it/@rolilaz47/AlarmedBogusMedia</v>
      </c>
      <c r="J388" s="46" t="str">
        <f>IFERROR(__xludf.DUMMYFUNCTION("""COMPUTED_VALUE"""),"https://drive.google.com/file/d/1GO3wXYCaxe2FfsIcQmsP5Mzz2qa9wN_W/view?usp=sharing")</f>
        <v>https://drive.google.com/file/d/1GO3wXYCaxe2FfsIcQmsP5Mzz2qa9wN_W/view?usp=sharing</v>
      </c>
      <c r="K388" s="46" t="str">
        <f>IFERROR(__xludf.DUMMYFUNCTION("""COMPUTED_VALUE"""),"https://drive.google.com/open?id=1njpjQDgpH2aMVht5dhYWvO3o29VE-50B")</f>
        <v>https://drive.google.com/open?id=1njpjQDgpH2aMVht5dhYWvO3o29VE-50B</v>
      </c>
      <c r="L388" s="42"/>
      <c r="M388" s="42"/>
    </row>
    <row r="389">
      <c r="A389" s="43">
        <f>IFERROR(__xludf.DUMMYFUNCTION("""COMPUTED_VALUE"""),44109.48205559028)</f>
        <v>44109.48206</v>
      </c>
      <c r="B389" s="42" t="str">
        <f>IFERROR(__xludf.DUMMYFUNCTION("""COMPUTED_VALUE"""),"Muhammad Khoirul Wafa")</f>
        <v>Muhammad Khoirul Wafa</v>
      </c>
      <c r="C389" s="42" t="str">
        <f>IFERROR(__xludf.DUMMYFUNCTION("""COMPUTED_VALUE"""),"Online")</f>
        <v>Online</v>
      </c>
      <c r="D389" s="42" t="str">
        <f>IFERROR(__xludf.DUMMYFUNCTION("""COMPUTED_VALUE"""),"Fullstack Mobile Developer")</f>
        <v>Fullstack Mobile Developer</v>
      </c>
      <c r="E389" s="42">
        <f>IFERROR(__xludf.DUMMYFUNCTION("""COMPUTED_VALUE"""),18.0)</f>
        <v>18</v>
      </c>
      <c r="F389" s="42">
        <f>IFERROR(__xludf.DUMMYFUNCTION("""COMPUTED_VALUE"""),1.0)</f>
        <v>1</v>
      </c>
      <c r="G389" s="42" t="str">
        <f>IFERROR(__xludf.DUMMYFUNCTION("""COMPUTED_VALUE"""),"ARKWH2")</f>
        <v>ARKWH2</v>
      </c>
      <c r="H389" s="42"/>
      <c r="I389" s="46" t="str">
        <f>IFERROR(__xludf.DUMMYFUNCTION("""COMPUTED_VALUE"""),"https://repl.it/@mkhoirulwafa/reversePyramid#index.js")</f>
        <v>https://repl.it/@mkhoirulwafa/reversePyramid#index.js</v>
      </c>
      <c r="J389" s="46" t="str">
        <f>IFERROR(__xludf.DUMMYFUNCTION("""COMPUTED_VALUE"""),"https://drive.google.com/file/d/1PBO49CaJngSHYu_flNwdoO5LLL0qBP4H/view?usp=sharing")</f>
        <v>https://drive.google.com/file/d/1PBO49CaJngSHYu_flNwdoO5LLL0qBP4H/view?usp=sharing</v>
      </c>
      <c r="K389" s="42"/>
      <c r="L389" s="42"/>
      <c r="M389" s="42"/>
    </row>
    <row r="390">
      <c r="A390" s="43">
        <f>IFERROR(__xludf.DUMMYFUNCTION("""COMPUTED_VALUE"""),44109.48220216435)</f>
        <v>44109.4822</v>
      </c>
      <c r="B390" s="42" t="str">
        <f>IFERROR(__xludf.DUMMYFUNCTION("""COMPUTED_VALUE"""),"Ahmad Maulana Yusup")</f>
        <v>Ahmad Maulana Yusup</v>
      </c>
      <c r="C390" s="42" t="str">
        <f>IFERROR(__xludf.DUMMYFUNCTION("""COMPUTED_VALUE"""),"Online")</f>
        <v>Online</v>
      </c>
      <c r="D390" s="42" t="str">
        <f>IFERROR(__xludf.DUMMYFUNCTION("""COMPUTED_VALUE"""),"Fullstack Mobile Developer")</f>
        <v>Fullstack Mobile Developer</v>
      </c>
      <c r="E390" s="42">
        <f>IFERROR(__xludf.DUMMYFUNCTION("""COMPUTED_VALUE"""),18.0)</f>
        <v>18</v>
      </c>
      <c r="F390" s="42">
        <f>IFERROR(__xludf.DUMMYFUNCTION("""COMPUTED_VALUE"""),1.0)</f>
        <v>1</v>
      </c>
      <c r="G390" s="42" t="str">
        <f>IFERROR(__xludf.DUMMYFUNCTION("""COMPUTED_VALUE"""),"ARKWH2")</f>
        <v>ARKWH2</v>
      </c>
      <c r="H390" s="42"/>
      <c r="I390" s="46" t="str">
        <f>IFERROR(__xludf.DUMMYFUNCTION("""COMPUTED_VALUE"""),"https://repl.it/@AhmadMaulanaMau/ReversePyramid#index.js")</f>
        <v>https://repl.it/@AhmadMaulanaMau/ReversePyramid#index.js</v>
      </c>
      <c r="J390" s="42"/>
      <c r="K390" s="42"/>
      <c r="L390" s="42"/>
      <c r="M390" s="42"/>
    </row>
    <row r="391">
      <c r="A391" s="43">
        <f>IFERROR(__xludf.DUMMYFUNCTION("""COMPUTED_VALUE"""),44109.48239605324)</f>
        <v>44109.4824</v>
      </c>
      <c r="B391" s="42" t="str">
        <f>IFERROR(__xludf.DUMMYFUNCTION("""COMPUTED_VALUE"""),"Rifqi Malik Iskandar")</f>
        <v>Rifqi Malik Iskandar</v>
      </c>
      <c r="C391" s="42" t="str">
        <f>IFERROR(__xludf.DUMMYFUNCTION("""COMPUTED_VALUE"""),"Online")</f>
        <v>Online</v>
      </c>
      <c r="D391" s="42" t="str">
        <f>IFERROR(__xludf.DUMMYFUNCTION("""COMPUTED_VALUE"""),"Fullstack Mobile Developer")</f>
        <v>Fullstack Mobile Developer</v>
      </c>
      <c r="E391" s="42">
        <f>IFERROR(__xludf.DUMMYFUNCTION("""COMPUTED_VALUE"""),18.0)</f>
        <v>18</v>
      </c>
      <c r="F391" s="42">
        <f>IFERROR(__xludf.DUMMYFUNCTION("""COMPUTED_VALUE"""),1.0)</f>
        <v>1</v>
      </c>
      <c r="G391" s="42" t="str">
        <f>IFERROR(__xludf.DUMMYFUNCTION("""COMPUTED_VALUE"""),"ARKWH2")</f>
        <v>ARKWH2</v>
      </c>
      <c r="H391" s="42"/>
      <c r="I391" s="46" t="str">
        <f>IFERROR(__xludf.DUMMYFUNCTION("""COMPUTED_VALUE"""),"https://repl.it/@Rifqi56/StunningDimStructure")</f>
        <v>https://repl.it/@Rifqi56/StunningDimStructure</v>
      </c>
      <c r="J391" s="46" t="str">
        <f>IFERROR(__xludf.DUMMYFUNCTION("""COMPUTED_VALUE"""),"https://drive.google.com/file/d/1jWyOVdL6EvMS0nt7YRlIdf-vZ2a6OLkV/view?usp=sharing")</f>
        <v>https://drive.google.com/file/d/1jWyOVdL6EvMS0nt7YRlIdf-vZ2a6OLkV/view?usp=sharing</v>
      </c>
      <c r="K391" s="42"/>
      <c r="L391" s="42"/>
      <c r="M391" s="42"/>
    </row>
    <row r="392">
      <c r="A392" s="43">
        <f>IFERROR(__xludf.DUMMYFUNCTION("""COMPUTED_VALUE"""),44109.48502445602)</f>
        <v>44109.48502</v>
      </c>
      <c r="B392" s="42" t="str">
        <f>IFERROR(__xludf.DUMMYFUNCTION("""COMPUTED_VALUE"""),"Saidina Hamzah")</f>
        <v>Saidina Hamzah</v>
      </c>
      <c r="C392" s="42" t="str">
        <f>IFERROR(__xludf.DUMMYFUNCTION("""COMPUTED_VALUE"""),"Online")</f>
        <v>Online</v>
      </c>
      <c r="D392" s="42" t="str">
        <f>IFERROR(__xludf.DUMMYFUNCTION("""COMPUTED_VALUE"""),"Fullstack Mobile Developer")</f>
        <v>Fullstack Mobile Developer</v>
      </c>
      <c r="E392" s="42">
        <f>IFERROR(__xludf.DUMMYFUNCTION("""COMPUTED_VALUE"""),18.0)</f>
        <v>18</v>
      </c>
      <c r="F392" s="42">
        <f>IFERROR(__xludf.DUMMYFUNCTION("""COMPUTED_VALUE"""),1.0)</f>
        <v>1</v>
      </c>
      <c r="G392" s="42" t="str">
        <f>IFERROR(__xludf.DUMMYFUNCTION("""COMPUTED_VALUE"""),"ARKWH2")</f>
        <v>ARKWH2</v>
      </c>
      <c r="H392" s="42"/>
      <c r="I392" s="46" t="str">
        <f>IFERROR(__xludf.DUMMYFUNCTION("""COMPUTED_VALUE"""),"http://playcode.io/686533/")</f>
        <v>http://playcode.io/686533/</v>
      </c>
      <c r="J392" s="46" t="str">
        <f>IFERROR(__xludf.DUMMYFUNCTION("""COMPUTED_VALUE"""),"https://drive.google.com/drive/folders/12P0K3gHR_0cUQMSzSi_QldGjY0lljU0u")</f>
        <v>https://drive.google.com/drive/folders/12P0K3gHR_0cUQMSzSi_QldGjY0lljU0u</v>
      </c>
      <c r="K392" s="42"/>
      <c r="L392" s="42"/>
      <c r="M392" s="42"/>
    </row>
    <row r="393">
      <c r="A393" s="43">
        <f>IFERROR(__xludf.DUMMYFUNCTION("""COMPUTED_VALUE"""),44109.48580322917)</f>
        <v>44109.4858</v>
      </c>
      <c r="B393" s="42" t="str">
        <f>IFERROR(__xludf.DUMMYFUNCTION("""COMPUTED_VALUE"""),"Diki Herliansyah")</f>
        <v>Diki Herliansyah</v>
      </c>
      <c r="C393" s="42" t="str">
        <f>IFERROR(__xludf.DUMMYFUNCTION("""COMPUTED_VALUE"""),"Online")</f>
        <v>Online</v>
      </c>
      <c r="D393" s="42" t="str">
        <f>IFERROR(__xludf.DUMMYFUNCTION("""COMPUTED_VALUE"""),"Fullstack Mobile Developer")</f>
        <v>Fullstack Mobile Developer</v>
      </c>
      <c r="E393" s="42">
        <f>IFERROR(__xludf.DUMMYFUNCTION("""COMPUTED_VALUE"""),18.0)</f>
        <v>18</v>
      </c>
      <c r="F393" s="42">
        <f>IFERROR(__xludf.DUMMYFUNCTION("""COMPUTED_VALUE"""),1.0)</f>
        <v>1</v>
      </c>
      <c r="G393" s="42" t="str">
        <f>IFERROR(__xludf.DUMMYFUNCTION("""COMPUTED_VALUE"""),"ARKWH2")</f>
        <v>ARKWH2</v>
      </c>
      <c r="H393" s="42"/>
      <c r="I393" s="46" t="str">
        <f>IFERROR(__xludf.DUMMYFUNCTION("""COMPUTED_VALUE"""),"https://repl.it/@dherliansyah/kuis3")</f>
        <v>https://repl.it/@dherliansyah/kuis3</v>
      </c>
      <c r="J393" s="46" t="str">
        <f>IFERROR(__xludf.DUMMYFUNCTION("""COMPUTED_VALUE"""),"https://drive.google.com/file/d/102UqWotPW_YWwm4s2WSWaEi0N4W2Cgyd/view?usp=sharing")</f>
        <v>https://drive.google.com/file/d/102UqWotPW_YWwm4s2WSWaEi0N4W2Cgyd/view?usp=sharing</v>
      </c>
      <c r="K393" s="46" t="str">
        <f>IFERROR(__xludf.DUMMYFUNCTION("""COMPUTED_VALUE"""),"https://drive.google.com/open?id=1tMgToNrIPIoUB4loaHzF5YLu2KC3aTbw")</f>
        <v>https://drive.google.com/open?id=1tMgToNrIPIoUB4loaHzF5YLu2KC3aTbw</v>
      </c>
      <c r="L393" s="42"/>
      <c r="M393" s="42"/>
    </row>
    <row r="394">
      <c r="A394" s="43">
        <f>IFERROR(__xludf.DUMMYFUNCTION("""COMPUTED_VALUE"""),44109.58223673611)</f>
        <v>44109.58224</v>
      </c>
      <c r="B394" s="42" t="str">
        <f>IFERROR(__xludf.DUMMYFUNCTION("""COMPUTED_VALUE"""),"rezha maulana jaya")</f>
        <v>rezha maulana jaya</v>
      </c>
      <c r="C394" s="42" t="str">
        <f>IFERROR(__xludf.DUMMYFUNCTION("""COMPUTED_VALUE"""),"Online")</f>
        <v>Online</v>
      </c>
      <c r="D394" s="42" t="str">
        <f>IFERROR(__xludf.DUMMYFUNCTION("""COMPUTED_VALUE"""),"Fullstack Mobile Developer")</f>
        <v>Fullstack Mobile Developer</v>
      </c>
      <c r="E394" s="42">
        <f>IFERROR(__xludf.DUMMYFUNCTION("""COMPUTED_VALUE"""),17.0)</f>
        <v>17</v>
      </c>
      <c r="F394" s="42">
        <f>IFERROR(__xludf.DUMMYFUNCTION("""COMPUTED_VALUE"""),2.0)</f>
        <v>2</v>
      </c>
      <c r="G394" s="42" t="str">
        <f>IFERROR(__xludf.DUMMYFUNCTION("""COMPUTED_VALUE"""),"ARKWH2")</f>
        <v>ARKWH2</v>
      </c>
      <c r="H394" s="42"/>
      <c r="I394" s="46" t="str">
        <f>IFERROR(__xludf.DUMMYFUNCTION("""COMPUTED_VALUE"""),"https://repl.it/@rezhamaulana/quiz-2#index.js")</f>
        <v>https://repl.it/@rezhamaulana/quiz-2#index.js</v>
      </c>
      <c r="J394" s="46" t="str">
        <f>IFERROR(__xludf.DUMMYFUNCTION("""COMPUTED_VALUE"""),"https://drive.google.com/drive/folders/1V1R079pAp02vzEPGyZLnm_G7dzoFBnge?usp=sharing")</f>
        <v>https://drive.google.com/drive/folders/1V1R079pAp02vzEPGyZLnm_G7dzoFBnge?usp=sharing</v>
      </c>
      <c r="K394" s="42"/>
      <c r="L394" s="42"/>
      <c r="M394" s="42"/>
    </row>
    <row r="395">
      <c r="A395" s="43">
        <f>IFERROR(__xludf.DUMMYFUNCTION("""COMPUTED_VALUE"""),44109.58345355324)</f>
        <v>44109.58345</v>
      </c>
      <c r="B395" s="42" t="str">
        <f>IFERROR(__xludf.DUMMYFUNCTION("""COMPUTED_VALUE"""),"Muhammad Abdurasyid")</f>
        <v>Muhammad Abdurasyid</v>
      </c>
      <c r="C395" s="42" t="str">
        <f>IFERROR(__xludf.DUMMYFUNCTION("""COMPUTED_VALUE"""),"Online")</f>
        <v>Online</v>
      </c>
      <c r="D395" s="42" t="str">
        <f>IFERROR(__xludf.DUMMYFUNCTION("""COMPUTED_VALUE"""),"Fullstack Mobile Developer")</f>
        <v>Fullstack Mobile Developer</v>
      </c>
      <c r="E395" s="42">
        <f>IFERROR(__xludf.DUMMYFUNCTION("""COMPUTED_VALUE"""),17.0)</f>
        <v>17</v>
      </c>
      <c r="F395" s="42">
        <f>IFERROR(__xludf.DUMMYFUNCTION("""COMPUTED_VALUE"""),2.0)</f>
        <v>2</v>
      </c>
      <c r="G395" s="42" t="str">
        <f>IFERROR(__xludf.DUMMYFUNCTION("""COMPUTED_VALUE"""),"ARKWH2")</f>
        <v>ARKWH2</v>
      </c>
      <c r="H395" s="42"/>
      <c r="I395" s="46" t="str">
        <f>IFERROR(__xludf.DUMMYFUNCTION("""COMPUTED_VALUE"""),"https://repl.it/@mhdabdurasyid/ARKWH2")</f>
        <v>https://repl.it/@mhdabdurasyid/ARKWH2</v>
      </c>
      <c r="J395" s="42"/>
      <c r="K395" s="42"/>
      <c r="L395" s="42"/>
      <c r="M395" s="42"/>
    </row>
    <row r="396">
      <c r="A396" s="43">
        <f>IFERROR(__xludf.DUMMYFUNCTION("""COMPUTED_VALUE"""),44109.58619123843)</f>
        <v>44109.58619</v>
      </c>
      <c r="B396" s="42" t="str">
        <f>IFERROR(__xludf.DUMMYFUNCTION("""COMPUTED_VALUE"""),"Furoidah Chilmi")</f>
        <v>Furoidah Chilmi</v>
      </c>
      <c r="C396" s="42" t="str">
        <f>IFERROR(__xludf.DUMMYFUNCTION("""COMPUTED_VALUE"""),"Online")</f>
        <v>Online</v>
      </c>
      <c r="D396" s="42" t="str">
        <f>IFERROR(__xludf.DUMMYFUNCTION("""COMPUTED_VALUE"""),"Fullstack Mobile Developer")</f>
        <v>Fullstack Mobile Developer</v>
      </c>
      <c r="E396" s="42">
        <f>IFERROR(__xludf.DUMMYFUNCTION("""COMPUTED_VALUE"""),17.0)</f>
        <v>17</v>
      </c>
      <c r="F396" s="42">
        <f>IFERROR(__xludf.DUMMYFUNCTION("""COMPUTED_VALUE"""),2.0)</f>
        <v>2</v>
      </c>
      <c r="G396" s="42" t="str">
        <f>IFERROR(__xludf.DUMMYFUNCTION("""COMPUTED_VALUE"""),"ARKWH2")</f>
        <v>ARKWH2</v>
      </c>
      <c r="H396" s="42"/>
      <c r="I396" s="46" t="str">
        <f>IFERROR(__xludf.DUMMYFUNCTION("""COMPUTED_VALUE"""),"https://repl.it/@fchilmi/quiz2")</f>
        <v>https://repl.it/@fchilmi/quiz2</v>
      </c>
      <c r="J396" s="46" t="str">
        <f>IFERROR(__xludf.DUMMYFUNCTION("""COMPUTED_VALUE"""),"https://drive.google.com/drive/folders/1dzvSW5pLCqa38JfvD579BJ6_ost_OUh9?usp=sharing")</f>
        <v>https://drive.google.com/drive/folders/1dzvSW5pLCqa38JfvD579BJ6_ost_OUh9?usp=sharing</v>
      </c>
      <c r="K396" s="42"/>
      <c r="L396" s="42"/>
      <c r="M396" s="42"/>
    </row>
    <row r="397">
      <c r="A397" s="43">
        <f>IFERROR(__xludf.DUMMYFUNCTION("""COMPUTED_VALUE"""),44109.58627976852)</f>
        <v>44109.58628</v>
      </c>
      <c r="B397" s="42" t="str">
        <f>IFERROR(__xludf.DUMMYFUNCTION("""COMPUTED_VALUE"""),"Fahmi Aziz Ismail")</f>
        <v>Fahmi Aziz Ismail</v>
      </c>
      <c r="C397" s="42" t="str">
        <f>IFERROR(__xludf.DUMMYFUNCTION("""COMPUTED_VALUE"""),"Online")</f>
        <v>Online</v>
      </c>
      <c r="D397" s="42" t="str">
        <f>IFERROR(__xludf.DUMMYFUNCTION("""COMPUTED_VALUE"""),"Fullstack Mobile Developer")</f>
        <v>Fullstack Mobile Developer</v>
      </c>
      <c r="E397" s="42">
        <f>IFERROR(__xludf.DUMMYFUNCTION("""COMPUTED_VALUE"""),17.0)</f>
        <v>17</v>
      </c>
      <c r="F397" s="42">
        <f>IFERROR(__xludf.DUMMYFUNCTION("""COMPUTED_VALUE"""),2.0)</f>
        <v>2</v>
      </c>
      <c r="G397" s="42" t="str">
        <f>IFERROR(__xludf.DUMMYFUNCTION("""COMPUTED_VALUE"""),"ARKWH2")</f>
        <v>ARKWH2</v>
      </c>
      <c r="H397" s="42"/>
      <c r="I397" s="46" t="str">
        <f>IFERROR(__xludf.DUMMYFUNCTION("""COMPUTED_VALUE"""),"https://repl.it/@fahmiazis/GainsboroAfraidSyntax#ARKWH2/quis%202.js")</f>
        <v>https://repl.it/@fahmiazis/GainsboroAfraidSyntax#ARKWH2/quis%202.js</v>
      </c>
      <c r="J397" s="46" t="str">
        <f>IFERROR(__xludf.DUMMYFUNCTION("""COMPUTED_VALUE"""),"https://drive.google.com/drive/u/0/folders/1G7o-Xf08KBDbaRge1GZ7GjUYPrp2v3J3")</f>
        <v>https://drive.google.com/drive/u/0/folders/1G7o-Xf08KBDbaRge1GZ7GjUYPrp2v3J3</v>
      </c>
      <c r="K397" s="42"/>
      <c r="L397" s="42"/>
      <c r="M397" s="42"/>
    </row>
    <row r="398">
      <c r="A398" s="43">
        <f>IFERROR(__xludf.DUMMYFUNCTION("""COMPUTED_VALUE"""),44109.586488726854)</f>
        <v>44109.58649</v>
      </c>
      <c r="B398" s="42" t="str">
        <f>IFERROR(__xludf.DUMMYFUNCTION("""COMPUTED_VALUE"""),"Iqbal Athorid")</f>
        <v>Iqbal Athorid</v>
      </c>
      <c r="C398" s="42" t="str">
        <f>IFERROR(__xludf.DUMMYFUNCTION("""COMPUTED_VALUE"""),"Online")</f>
        <v>Online</v>
      </c>
      <c r="D398" s="42" t="str">
        <f>IFERROR(__xludf.DUMMYFUNCTION("""COMPUTED_VALUE"""),"Fullstack Mobile Developer")</f>
        <v>Fullstack Mobile Developer</v>
      </c>
      <c r="E398" s="42">
        <f>IFERROR(__xludf.DUMMYFUNCTION("""COMPUTED_VALUE"""),17.0)</f>
        <v>17</v>
      </c>
      <c r="F398" s="42">
        <f>IFERROR(__xludf.DUMMYFUNCTION("""COMPUTED_VALUE"""),2.0)</f>
        <v>2</v>
      </c>
      <c r="G398" s="42" t="str">
        <f>IFERROR(__xludf.DUMMYFUNCTION("""COMPUTED_VALUE"""),"ARKWH2")</f>
        <v>ARKWH2</v>
      </c>
      <c r="H398" s="42"/>
      <c r="I398" s="46" t="str">
        <f>IFERROR(__xludf.DUMMYFUNCTION("""COMPUTED_VALUE"""),"https://repl.it/@IqbalAthorid/ArkWH2")</f>
        <v>https://repl.it/@IqbalAthorid/ArkWH2</v>
      </c>
      <c r="J398" s="46" t="str">
        <f>IFERROR(__xludf.DUMMYFUNCTION("""COMPUTED_VALUE"""),"https://drive.google.com/file/d/13stla7PMCEESEWjSPY9QAUMsZvOj867D/view?usp=sharing")</f>
        <v>https://drive.google.com/file/d/13stla7PMCEESEWjSPY9QAUMsZvOj867D/view?usp=sharing</v>
      </c>
      <c r="K398" s="42"/>
      <c r="L398" s="42"/>
      <c r="M398" s="42"/>
    </row>
    <row r="399">
      <c r="A399" s="43">
        <f>IFERROR(__xludf.DUMMYFUNCTION("""COMPUTED_VALUE"""),44109.58705700231)</f>
        <v>44109.58706</v>
      </c>
      <c r="B399" s="42" t="str">
        <f>IFERROR(__xludf.DUMMYFUNCTION("""COMPUTED_VALUE"""),"M Faris Alkodri")</f>
        <v>M Faris Alkodri</v>
      </c>
      <c r="C399" s="42" t="str">
        <f>IFERROR(__xludf.DUMMYFUNCTION("""COMPUTED_VALUE"""),"Online")</f>
        <v>Online</v>
      </c>
      <c r="D399" s="42" t="str">
        <f>IFERROR(__xludf.DUMMYFUNCTION("""COMPUTED_VALUE"""),"Fullstack Mobile Developer")</f>
        <v>Fullstack Mobile Developer</v>
      </c>
      <c r="E399" s="42">
        <f>IFERROR(__xludf.DUMMYFUNCTION("""COMPUTED_VALUE"""),17.0)</f>
        <v>17</v>
      </c>
      <c r="F399" s="42">
        <f>IFERROR(__xludf.DUMMYFUNCTION("""COMPUTED_VALUE"""),2.0)</f>
        <v>2</v>
      </c>
      <c r="G399" s="42" t="str">
        <f>IFERROR(__xludf.DUMMYFUNCTION("""COMPUTED_VALUE"""),"ARKWH2")</f>
        <v>ARKWH2</v>
      </c>
      <c r="H399" s="42"/>
      <c r="I399" s="46" t="str">
        <f>IFERROR(__xludf.DUMMYFUNCTION("""COMPUTED_VALUE"""),"https://repl.it/@alkodrimuhfaris/quizWeek2#index.js")</f>
        <v>https://repl.it/@alkodrimuhfaris/quizWeek2#index.js</v>
      </c>
      <c r="J399" s="46" t="str">
        <f>IFERROR(__xludf.DUMMYFUNCTION("""COMPUTED_VALUE"""),"https://drive.google.com/file/d/1givUgjGGcyAJDOLQjtdK13ytbnYf-Mb0/view?usp=sharing")</f>
        <v>https://drive.google.com/file/d/1givUgjGGcyAJDOLQjtdK13ytbnYf-Mb0/view?usp=sharing</v>
      </c>
      <c r="K399" s="42"/>
      <c r="L399" s="42"/>
      <c r="M399" s="42"/>
    </row>
    <row r="400">
      <c r="A400" s="43">
        <f>IFERROR(__xludf.DUMMYFUNCTION("""COMPUTED_VALUE"""),44109.5870934375)</f>
        <v>44109.58709</v>
      </c>
      <c r="B400" s="42" t="str">
        <f>IFERROR(__xludf.DUMMYFUNCTION("""COMPUTED_VALUE"""),"Ahmad Asrofi")</f>
        <v>Ahmad Asrofi</v>
      </c>
      <c r="C400" s="42" t="str">
        <f>IFERROR(__xludf.DUMMYFUNCTION("""COMPUTED_VALUE"""),"Online")</f>
        <v>Online</v>
      </c>
      <c r="D400" s="42" t="str">
        <f>IFERROR(__xludf.DUMMYFUNCTION("""COMPUTED_VALUE"""),"Fullstack Mobile Developer")</f>
        <v>Fullstack Mobile Developer</v>
      </c>
      <c r="E400" s="42">
        <f>IFERROR(__xludf.DUMMYFUNCTION("""COMPUTED_VALUE"""),17.0)</f>
        <v>17</v>
      </c>
      <c r="F400" s="42">
        <f>IFERROR(__xludf.DUMMYFUNCTION("""COMPUTED_VALUE"""),2.0)</f>
        <v>2</v>
      </c>
      <c r="G400" s="42" t="str">
        <f>IFERROR(__xludf.DUMMYFUNCTION("""COMPUTED_VALUE"""),"ARKWH2")</f>
        <v>ARKWH2</v>
      </c>
      <c r="H400" s="42"/>
      <c r="I400" s="46" t="str">
        <f>IFERROR(__xludf.DUMMYFUNCTION("""COMPUTED_VALUE"""),"https://repl.it/@asrofhy/ARKWH2#index.js")</f>
        <v>https://repl.it/@asrofhy/ARKWH2#index.js</v>
      </c>
      <c r="J400" s="46" t="str">
        <f>IFERROR(__xludf.DUMMYFUNCTION("""COMPUTED_VALUE"""),"https://drive.google.com/drive/folders/1H-r5j0xRDltiOZGAUgaKneTnZfwVbLIn?usp=sharing")</f>
        <v>https://drive.google.com/drive/folders/1H-r5j0xRDltiOZGAUgaKneTnZfwVbLIn?usp=sharing</v>
      </c>
      <c r="K400" s="42"/>
      <c r="L400" s="42"/>
      <c r="M400" s="42"/>
    </row>
    <row r="401">
      <c r="A401" s="43">
        <f>IFERROR(__xludf.DUMMYFUNCTION("""COMPUTED_VALUE"""),44109.58724381945)</f>
        <v>44109.58724</v>
      </c>
      <c r="B401" s="42" t="str">
        <f>IFERROR(__xludf.DUMMYFUNCTION("""COMPUTED_VALUE"""),"Wahyu Ramadan")</f>
        <v>Wahyu Ramadan</v>
      </c>
      <c r="C401" s="42" t="str">
        <f>IFERROR(__xludf.DUMMYFUNCTION("""COMPUTED_VALUE"""),"Online")</f>
        <v>Online</v>
      </c>
      <c r="D401" s="42" t="str">
        <f>IFERROR(__xludf.DUMMYFUNCTION("""COMPUTED_VALUE"""),"Fullstack Mobile Developer")</f>
        <v>Fullstack Mobile Developer</v>
      </c>
      <c r="E401" s="42">
        <f>IFERROR(__xludf.DUMMYFUNCTION("""COMPUTED_VALUE"""),17.0)</f>
        <v>17</v>
      </c>
      <c r="F401" s="42">
        <f>IFERROR(__xludf.DUMMYFUNCTION("""COMPUTED_VALUE"""),2.0)</f>
        <v>2</v>
      </c>
      <c r="G401" s="42" t="str">
        <f>IFERROR(__xludf.DUMMYFUNCTION("""COMPUTED_VALUE"""),"ARKWH2")</f>
        <v>ARKWH2</v>
      </c>
      <c r="H401" s="42"/>
      <c r="I401" s="46" t="str">
        <f>IFERROR(__xludf.DUMMYFUNCTION("""COMPUTED_VALUE"""),"https://repl.it/@wramadan7/ARKWH2#index.js")</f>
        <v>https://repl.it/@wramadan7/ARKWH2#index.js</v>
      </c>
      <c r="J401" s="42"/>
      <c r="K401" s="42"/>
      <c r="L401" s="42"/>
      <c r="M401" s="42"/>
    </row>
    <row r="402">
      <c r="A402" s="43">
        <f>IFERROR(__xludf.DUMMYFUNCTION("""COMPUTED_VALUE"""),44109.587379097225)</f>
        <v>44109.58738</v>
      </c>
      <c r="B402" s="42" t="str">
        <f>IFERROR(__xludf.DUMMYFUNCTION("""COMPUTED_VALUE"""),"A. Fatkhul Amam")</f>
        <v>A. Fatkhul Amam</v>
      </c>
      <c r="C402" s="42" t="str">
        <f>IFERROR(__xludf.DUMMYFUNCTION("""COMPUTED_VALUE"""),"Online")</f>
        <v>Online</v>
      </c>
      <c r="D402" s="42" t="str">
        <f>IFERROR(__xludf.DUMMYFUNCTION("""COMPUTED_VALUE"""),"Fullstack Mobile Developer")</f>
        <v>Fullstack Mobile Developer</v>
      </c>
      <c r="E402" s="42">
        <f>IFERROR(__xludf.DUMMYFUNCTION("""COMPUTED_VALUE"""),17.0)</f>
        <v>17</v>
      </c>
      <c r="F402" s="42">
        <f>IFERROR(__xludf.DUMMYFUNCTION("""COMPUTED_VALUE"""),2.0)</f>
        <v>2</v>
      </c>
      <c r="G402" s="42" t="str">
        <f>IFERROR(__xludf.DUMMYFUNCTION("""COMPUTED_VALUE"""),"ARKWH2")</f>
        <v>ARKWH2</v>
      </c>
      <c r="H402" s="42"/>
      <c r="I402" s="46" t="str">
        <f>IFERROR(__xludf.DUMMYFUNCTION("""COMPUTED_VALUE"""),"https://repl.it/@AhmadAmam/ARKWH2#index.js")</f>
        <v>https://repl.it/@AhmadAmam/ARKWH2#index.js</v>
      </c>
      <c r="J402" s="46" t="str">
        <f>IFERROR(__xludf.DUMMYFUNCTION("""COMPUTED_VALUE"""),"https://drive.google.com/drive/folders/1lP6_x5oDlKtU7Tg9RnKzL1vHoKZQbj08")</f>
        <v>https://drive.google.com/drive/folders/1lP6_x5oDlKtU7Tg9RnKzL1vHoKZQbj08</v>
      </c>
      <c r="K402" s="42"/>
      <c r="L402" s="42"/>
      <c r="M402" s="42"/>
    </row>
    <row r="403">
      <c r="A403" s="43">
        <f>IFERROR(__xludf.DUMMYFUNCTION("""COMPUTED_VALUE"""),44109.58807592593)</f>
        <v>44109.58808</v>
      </c>
      <c r="B403" s="42" t="str">
        <f>IFERROR(__xludf.DUMMYFUNCTION("""COMPUTED_VALUE"""),"Muhammad")</f>
        <v>Muhammad</v>
      </c>
      <c r="C403" s="42" t="str">
        <f>IFERROR(__xludf.DUMMYFUNCTION("""COMPUTED_VALUE"""),"Online")</f>
        <v>Online</v>
      </c>
      <c r="D403" s="42" t="str">
        <f>IFERROR(__xludf.DUMMYFUNCTION("""COMPUTED_VALUE"""),"Fullstack Mobile Developer")</f>
        <v>Fullstack Mobile Developer</v>
      </c>
      <c r="E403" s="42">
        <f>IFERROR(__xludf.DUMMYFUNCTION("""COMPUTED_VALUE"""),17.0)</f>
        <v>17</v>
      </c>
      <c r="F403" s="42">
        <f>IFERROR(__xludf.DUMMYFUNCTION("""COMPUTED_VALUE"""),2.0)</f>
        <v>2</v>
      </c>
      <c r="G403" s="42" t="str">
        <f>IFERROR(__xludf.DUMMYFUNCTION("""COMPUTED_VALUE"""),"ARKWH2")</f>
        <v>ARKWH2</v>
      </c>
      <c r="H403" s="42"/>
      <c r="I403" s="46" t="str">
        <f>IFERROR(__xludf.DUMMYFUNCTION("""COMPUTED_VALUE"""),"https://repl.it/@Wazieer/revesePyramid")</f>
        <v>https://repl.it/@Wazieer/revesePyramid</v>
      </c>
      <c r="J403" s="46" t="str">
        <f>IFERROR(__xludf.DUMMYFUNCTION("""COMPUTED_VALUE"""),"https://drive.google.com/drive/folders/1zG2755OHTOAudNZ_ZWFTYN5ZfvVWh1oW?usp=sharing")</f>
        <v>https://drive.google.com/drive/folders/1zG2755OHTOAudNZ_ZWFTYN5ZfvVWh1oW?usp=sharing</v>
      </c>
      <c r="K403" s="42"/>
      <c r="L403" s="42"/>
      <c r="M403" s="42"/>
    </row>
    <row r="404">
      <c r="A404" s="43">
        <f>IFERROR(__xludf.DUMMYFUNCTION("""COMPUTED_VALUE"""),44109.591156435185)</f>
        <v>44109.59116</v>
      </c>
      <c r="B404" s="42" t="str">
        <f>IFERROR(__xludf.DUMMYFUNCTION("""COMPUTED_VALUE"""),"Timotius Simanjuntak")</f>
        <v>Timotius Simanjuntak</v>
      </c>
      <c r="C404" s="42" t="str">
        <f>IFERROR(__xludf.DUMMYFUNCTION("""COMPUTED_VALUE"""),"Online")</f>
        <v>Online</v>
      </c>
      <c r="D404" s="42" t="str">
        <f>IFERROR(__xludf.DUMMYFUNCTION("""COMPUTED_VALUE"""),"Fullstack Mobile Developer")</f>
        <v>Fullstack Mobile Developer</v>
      </c>
      <c r="E404" s="42">
        <f>IFERROR(__xludf.DUMMYFUNCTION("""COMPUTED_VALUE"""),17.0)</f>
        <v>17</v>
      </c>
      <c r="F404" s="42">
        <f>IFERROR(__xludf.DUMMYFUNCTION("""COMPUTED_VALUE"""),2.0)</f>
        <v>2</v>
      </c>
      <c r="G404" s="42" t="str">
        <f>IFERROR(__xludf.DUMMYFUNCTION("""COMPUTED_VALUE"""),"ARKWH2")</f>
        <v>ARKWH2</v>
      </c>
      <c r="H404" s="42"/>
      <c r="I404" s="46" t="str">
        <f>IFERROR(__xludf.DUMMYFUNCTION("""COMPUTED_VALUE"""),"http://playcode.io/686607")</f>
        <v>http://playcode.io/686607</v>
      </c>
      <c r="J404" s="46" t="str">
        <f>IFERROR(__xludf.DUMMYFUNCTION("""COMPUTED_VALUE"""),"https://drive.google.com/file/d/11BZqGjyEbBJtlVTQxnA5zMNLJ8sxQ793/view?usp=sharing")</f>
        <v>https://drive.google.com/file/d/11BZqGjyEbBJtlVTQxnA5zMNLJ8sxQ793/view?usp=sharing</v>
      </c>
      <c r="K404" s="46" t="str">
        <f>IFERROR(__xludf.DUMMYFUNCTION("""COMPUTED_VALUE"""),"https://drive.google.com/open?id=1ehDmXfBCc-8us-gOCnzOeiXyCAqGVe7L")</f>
        <v>https://drive.google.com/open?id=1ehDmXfBCc-8us-gOCnzOeiXyCAqGVe7L</v>
      </c>
      <c r="L404" s="42"/>
      <c r="M404" s="42"/>
    </row>
    <row r="405">
      <c r="A405" s="43">
        <f>IFERROR(__xludf.DUMMYFUNCTION("""COMPUTED_VALUE"""),44109.59321385417)</f>
        <v>44109.59321</v>
      </c>
      <c r="B405" s="42" t="str">
        <f>IFERROR(__xludf.DUMMYFUNCTION("""COMPUTED_VALUE"""),"Pramesti Regita Cahyani")</f>
        <v>Pramesti Regita Cahyani</v>
      </c>
      <c r="C405" s="42" t="str">
        <f>IFERROR(__xludf.DUMMYFUNCTION("""COMPUTED_VALUE"""),"Online")</f>
        <v>Online</v>
      </c>
      <c r="D405" s="42" t="str">
        <f>IFERROR(__xludf.DUMMYFUNCTION("""COMPUTED_VALUE"""),"Fullstack Mobile Developer")</f>
        <v>Fullstack Mobile Developer</v>
      </c>
      <c r="E405" s="42">
        <f>IFERROR(__xludf.DUMMYFUNCTION("""COMPUTED_VALUE"""),17.0)</f>
        <v>17</v>
      </c>
      <c r="F405" s="42">
        <f>IFERROR(__xludf.DUMMYFUNCTION("""COMPUTED_VALUE"""),2.0)</f>
        <v>2</v>
      </c>
      <c r="G405" s="42" t="str">
        <f>IFERROR(__xludf.DUMMYFUNCTION("""COMPUTED_VALUE"""),"ARKWH2")</f>
        <v>ARKWH2</v>
      </c>
      <c r="H405" s="42"/>
      <c r="I405" s="46" t="str">
        <f>IFERROR(__xludf.DUMMYFUNCTION("""COMPUTED_VALUE"""),"https://playcode.io/686616/")</f>
        <v>https://playcode.io/686616/</v>
      </c>
      <c r="J405" s="42"/>
      <c r="K405" s="42"/>
      <c r="L405" s="42"/>
      <c r="M405" s="42"/>
    </row>
    <row r="406">
      <c r="A406" s="43">
        <f>IFERROR(__xludf.DUMMYFUNCTION("""COMPUTED_VALUE"""),44111.4405344213)</f>
        <v>44111.44053</v>
      </c>
      <c r="B406" s="42" t="str">
        <f>IFERROR(__xludf.DUMMYFUNCTION("""COMPUTED_VALUE"""),"Giri Nurfauzan")</f>
        <v>Giri Nurfauzan</v>
      </c>
      <c r="C406" s="42" t="str">
        <f>IFERROR(__xludf.DUMMYFUNCTION("""COMPUTED_VALUE"""),"Online")</f>
        <v>Online</v>
      </c>
      <c r="D406" s="42" t="str">
        <f>IFERROR(__xludf.DUMMYFUNCTION("""COMPUTED_VALUE"""),"Fullstack Web Developer")</f>
        <v>Fullstack Web Developer</v>
      </c>
      <c r="E406" s="42">
        <f>IFERROR(__xludf.DUMMYFUNCTION("""COMPUTED_VALUE"""),3.0)</f>
        <v>3</v>
      </c>
      <c r="F406" s="42">
        <f>IFERROR(__xludf.DUMMYFUNCTION("""COMPUTED_VALUE"""),1.0)</f>
        <v>1</v>
      </c>
      <c r="G406" s="42" t="str">
        <f>IFERROR(__xludf.DUMMYFUNCTION("""COMPUTED_VALUE"""),"ARKWH4")</f>
        <v>ARKWH4</v>
      </c>
      <c r="H406" s="42"/>
      <c r="I406" s="46" t="str">
        <f>IFERROR(__xludf.DUMMYFUNCTION("""COMPUTED_VALUE"""),"https://repl.it/@GiriNurfauzan/Weekly-Quiz-4")</f>
        <v>https://repl.it/@GiriNurfauzan/Weekly-Quiz-4</v>
      </c>
      <c r="J406" s="46" t="str">
        <f>IFERROR(__xludf.DUMMYFUNCTION("""COMPUTED_VALUE"""),"https://drive.google.com/file/d/1NGSmOmeP5ByVy1ImUAzXGc7IKYizmzAL/view?usp=sharing")</f>
        <v>https://drive.google.com/file/d/1NGSmOmeP5ByVy1ImUAzXGc7IKYizmzAL/view?usp=sharing</v>
      </c>
      <c r="K406" s="46" t="str">
        <f>IFERROR(__xludf.DUMMYFUNCTION("""COMPUTED_VALUE"""),"https://drive.google.com/open?id=1mAjT8s0UtKNqOJjguoCTS98Mfuj465hJ")</f>
        <v>https://drive.google.com/open?id=1mAjT8s0UtKNqOJjguoCTS98Mfuj465hJ</v>
      </c>
      <c r="L406" s="42">
        <f>IFERROR(__xludf.DUMMYFUNCTION("""COMPUTED_VALUE"""),2.0)</f>
        <v>2</v>
      </c>
      <c r="M406" s="42" t="str">
        <f>IFERROR(__xludf.DUMMYFUNCTION("""COMPUTED_VALUE"""),"good")</f>
        <v>good</v>
      </c>
    </row>
    <row r="407">
      <c r="A407" s="43">
        <f>IFERROR(__xludf.DUMMYFUNCTION("""COMPUTED_VALUE"""),44111.442624814816)</f>
        <v>44111.44262</v>
      </c>
      <c r="B407" s="42" t="str">
        <f>IFERROR(__xludf.DUMMYFUNCTION("""COMPUTED_VALUE"""),"Bagas Afrizal")</f>
        <v>Bagas Afrizal</v>
      </c>
      <c r="C407" s="42" t="str">
        <f>IFERROR(__xludf.DUMMYFUNCTION("""COMPUTED_VALUE"""),"Online")</f>
        <v>Online</v>
      </c>
      <c r="D407" s="42" t="str">
        <f>IFERROR(__xludf.DUMMYFUNCTION("""COMPUTED_VALUE"""),"Fullstack Web Developer")</f>
        <v>Fullstack Web Developer</v>
      </c>
      <c r="E407" s="42">
        <f>IFERROR(__xludf.DUMMYFUNCTION("""COMPUTED_VALUE"""),3.0)</f>
        <v>3</v>
      </c>
      <c r="F407" s="42">
        <f>IFERROR(__xludf.DUMMYFUNCTION("""COMPUTED_VALUE"""),1.0)</f>
        <v>1</v>
      </c>
      <c r="G407" s="42" t="str">
        <f>IFERROR(__xludf.DUMMYFUNCTION("""COMPUTED_VALUE"""),"ARKWH4")</f>
        <v>ARKWH4</v>
      </c>
      <c r="H407" s="42"/>
      <c r="I407" s="46" t="str">
        <f>IFERROR(__xludf.DUMMYFUNCTION("""COMPUTED_VALUE"""),"https://repl.it/@BagasAfrizal1/AutomaticRightInterface#index.js")</f>
        <v>https://repl.it/@BagasAfrizal1/AutomaticRightInterface#index.js</v>
      </c>
      <c r="J407" s="42"/>
      <c r="K407" s="46" t="str">
        <f>IFERROR(__xludf.DUMMYFUNCTION("""COMPUTED_VALUE"""),"https://drive.google.com/open?id=1jxOBTMDjTVSTkoNN2MSfnqsBsSJOfrOv")</f>
        <v>https://drive.google.com/open?id=1jxOBTMDjTVSTkoNN2MSfnqsBsSJOfrOv</v>
      </c>
      <c r="L407" s="42">
        <f>IFERROR(__xludf.DUMMYFUNCTION("""COMPUTED_VALUE"""),2.0)</f>
        <v>2</v>
      </c>
      <c r="M407" s="42" t="str">
        <f>IFERROR(__xludf.DUMMYFUNCTION("""COMPUTED_VALUE"""),"good")</f>
        <v>good</v>
      </c>
    </row>
    <row r="408">
      <c r="A408" s="43">
        <f>IFERROR(__xludf.DUMMYFUNCTION("""COMPUTED_VALUE"""),44111.4477099537)</f>
        <v>44111.44771</v>
      </c>
      <c r="B408" s="42" t="str">
        <f>IFERROR(__xludf.DUMMYFUNCTION("""COMPUTED_VALUE"""),"Muhammad Faishal")</f>
        <v>Muhammad Faishal</v>
      </c>
      <c r="C408" s="42" t="str">
        <f>IFERROR(__xludf.DUMMYFUNCTION("""COMPUTED_VALUE"""),"Online")</f>
        <v>Online</v>
      </c>
      <c r="D408" s="42" t="str">
        <f>IFERROR(__xludf.DUMMYFUNCTION("""COMPUTED_VALUE"""),"Fullstack Web Developer")</f>
        <v>Fullstack Web Developer</v>
      </c>
      <c r="E408" s="42">
        <f>IFERROR(__xludf.DUMMYFUNCTION("""COMPUTED_VALUE"""),3.0)</f>
        <v>3</v>
      </c>
      <c r="F408" s="42">
        <f>IFERROR(__xludf.DUMMYFUNCTION("""COMPUTED_VALUE"""),1.0)</f>
        <v>1</v>
      </c>
      <c r="G408" s="42" t="str">
        <f>IFERROR(__xludf.DUMMYFUNCTION("""COMPUTED_VALUE"""),"ARKWH4")</f>
        <v>ARKWH4</v>
      </c>
      <c r="H408" s="42"/>
      <c r="I408" s="46" t="str">
        <f>IFERROR(__xludf.DUMMYFUNCTION("""COMPUTED_VALUE"""),"https://repl.it/join/qjimogbe-faishalrmdhn")</f>
        <v>https://repl.it/join/qjimogbe-faishalrmdhn</v>
      </c>
      <c r="J408" s="42"/>
      <c r="K408" s="46" t="str">
        <f>IFERROR(__xludf.DUMMYFUNCTION("""COMPUTED_VALUE"""),"https://drive.google.com/open?id=16a5moyaaZbrk1lDp8ToRO-6B-bZ52TRJ")</f>
        <v>https://drive.google.com/open?id=16a5moyaaZbrk1lDp8ToRO-6B-bZ52TRJ</v>
      </c>
      <c r="L408" s="42">
        <f>IFERROR(__xludf.DUMMYFUNCTION("""COMPUTED_VALUE"""),1.8)</f>
        <v>1.8</v>
      </c>
      <c r="M408" s="42" t="str">
        <f>IFERROR(__xludf.DUMMYFUNCTION("""COMPUTED_VALUE"""),"link code tidak bisa terbuka, untuk logic flowchart sudah oke")</f>
        <v>link code tidak bisa terbuka, untuk logic flowchart sudah oke</v>
      </c>
    </row>
    <row r="409">
      <c r="A409" s="43">
        <f>IFERROR(__xludf.DUMMYFUNCTION("""COMPUTED_VALUE"""),44111.4489378588)</f>
        <v>44111.44894</v>
      </c>
      <c r="B409" s="42" t="str">
        <f>IFERROR(__xludf.DUMMYFUNCTION("""COMPUTED_VALUE"""),"Arqi Alfaritsi")</f>
        <v>Arqi Alfaritsi</v>
      </c>
      <c r="C409" s="42" t="str">
        <f>IFERROR(__xludf.DUMMYFUNCTION("""COMPUTED_VALUE"""),"Online")</f>
        <v>Online</v>
      </c>
      <c r="D409" s="42" t="str">
        <f>IFERROR(__xludf.DUMMYFUNCTION("""COMPUTED_VALUE"""),"Fullstack Web Developer")</f>
        <v>Fullstack Web Developer</v>
      </c>
      <c r="E409" s="42">
        <f>IFERROR(__xludf.DUMMYFUNCTION("""COMPUTED_VALUE"""),3.0)</f>
        <v>3</v>
      </c>
      <c r="F409" s="42">
        <f>IFERROR(__xludf.DUMMYFUNCTION("""COMPUTED_VALUE"""),1.0)</f>
        <v>1</v>
      </c>
      <c r="G409" s="42" t="str">
        <f>IFERROR(__xludf.DUMMYFUNCTION("""COMPUTED_VALUE"""),"ARKWH4")</f>
        <v>ARKWH4</v>
      </c>
      <c r="H409" s="42"/>
      <c r="I409" s="46" t="str">
        <f>IFERROR(__xludf.DUMMYFUNCTION("""COMPUTED_VALUE"""),"https://playcode.io/688150/")</f>
        <v>https://playcode.io/688150/</v>
      </c>
      <c r="J409" s="46" t="str">
        <f>IFERROR(__xludf.DUMMYFUNCTION("""COMPUTED_VALUE"""),"https://drive.google.com/file/d/1PfrV22_fE9ZW_sZJ3makEldpn6UonzqA/view?usp=sharing")</f>
        <v>https://drive.google.com/file/d/1PfrV22_fE9ZW_sZJ3makEldpn6UonzqA/view?usp=sharing</v>
      </c>
      <c r="K409" s="46" t="str">
        <f>IFERROR(__xludf.DUMMYFUNCTION("""COMPUTED_VALUE"""),"https://drive.google.com/open?id=1Lp7LiPMQZqvfKtlziw9QMfzO9Q9cLMk_")</f>
        <v>https://drive.google.com/open?id=1Lp7LiPMQZqvfKtlziw9QMfzO9Q9cLMk_</v>
      </c>
      <c r="L409" s="42">
        <f>IFERROR(__xludf.DUMMYFUNCTION("""COMPUTED_VALUE"""),2.0)</f>
        <v>2</v>
      </c>
      <c r="M409" s="42" t="str">
        <f>IFERROR(__xludf.DUMMYFUNCTION("""COMPUTED_VALUE"""),"good")</f>
        <v>good</v>
      </c>
    </row>
    <row r="410">
      <c r="A410" s="43">
        <f>IFERROR(__xludf.DUMMYFUNCTION("""COMPUTED_VALUE"""),44111.4552591088)</f>
        <v>44111.45526</v>
      </c>
      <c r="B410" s="42" t="str">
        <f>IFERROR(__xludf.DUMMYFUNCTION("""COMPUTED_VALUE"""),"Arizal")</f>
        <v>Arizal</v>
      </c>
      <c r="C410" s="42" t="str">
        <f>IFERROR(__xludf.DUMMYFUNCTION("""COMPUTED_VALUE"""),"Online")</f>
        <v>Online</v>
      </c>
      <c r="D410" s="42" t="str">
        <f>IFERROR(__xludf.DUMMYFUNCTION("""COMPUTED_VALUE"""),"Fullstack Web Developer")</f>
        <v>Fullstack Web Developer</v>
      </c>
      <c r="E410" s="42">
        <f>IFERROR(__xludf.DUMMYFUNCTION("""COMPUTED_VALUE"""),3.0)</f>
        <v>3</v>
      </c>
      <c r="F410" s="42">
        <f>IFERROR(__xludf.DUMMYFUNCTION("""COMPUTED_VALUE"""),1.0)</f>
        <v>1</v>
      </c>
      <c r="G410" s="42" t="str">
        <f>IFERROR(__xludf.DUMMYFUNCTION("""COMPUTED_VALUE"""),"ARKWH4")</f>
        <v>ARKWH4</v>
      </c>
      <c r="H410" s="42"/>
      <c r="I410" s="46" t="str">
        <f>IFERROR(__xludf.DUMMYFUNCTION("""COMPUTED_VALUE"""),"https://repl.it/repls/JadedEminentAtom#index.js")</f>
        <v>https://repl.it/repls/JadedEminentAtom#index.js</v>
      </c>
      <c r="J410" s="46" t="str">
        <f>IFERROR(__xludf.DUMMYFUNCTION("""COMPUTED_VALUE"""),"https://drive.google.com/file/d/1CC5Mm7GJituMnjXJ0v9bAwpdCU1tq_-5/view?usp=sharing")</f>
        <v>https://drive.google.com/file/d/1CC5Mm7GJituMnjXJ0v9bAwpdCU1tq_-5/view?usp=sharing</v>
      </c>
      <c r="K410" s="46" t="str">
        <f>IFERROR(__xludf.DUMMYFUNCTION("""COMPUTED_VALUE"""),"https://drive.google.com/open?id=1hSlAzIgEQxr4p-4sOqB3rECf5FzEi8YZ")</f>
        <v>https://drive.google.com/open?id=1hSlAzIgEQxr4p-4sOqB3rECf5FzEi8YZ</v>
      </c>
      <c r="L410" s="42">
        <f>IFERROR(__xludf.DUMMYFUNCTION("""COMPUTED_VALUE"""),1.5)</f>
        <v>1.5</v>
      </c>
      <c r="M410" s="42" t="str">
        <f>IFERROR(__xludf.DUMMYFUNCTION("""COMPUTED_VALUE"""),"untuk logic flowchart sudah oke, untuk implementasi code masih ada proses yg kurang sesuai dengan requirement ketika di testing dengan nilai yang berbeda")</f>
        <v>untuk logic flowchart sudah oke, untuk implementasi code masih ada proses yg kurang sesuai dengan requirement ketika di testing dengan nilai yang berbeda</v>
      </c>
    </row>
    <row r="411">
      <c r="A411" s="43">
        <f>IFERROR(__xludf.DUMMYFUNCTION("""COMPUTED_VALUE"""),44111.45642430555)</f>
        <v>44111.45642</v>
      </c>
      <c r="B411" s="42" t="str">
        <f>IFERROR(__xludf.DUMMYFUNCTION("""COMPUTED_VALUE"""),"Ardhika R.N")</f>
        <v>Ardhika R.N</v>
      </c>
      <c r="C411" s="42" t="str">
        <f>IFERROR(__xludf.DUMMYFUNCTION("""COMPUTED_VALUE"""),"Online")</f>
        <v>Online</v>
      </c>
      <c r="D411" s="42" t="str">
        <f>IFERROR(__xludf.DUMMYFUNCTION("""COMPUTED_VALUE"""),"Fullstack Web Developer")</f>
        <v>Fullstack Web Developer</v>
      </c>
      <c r="E411" s="42">
        <f>IFERROR(__xludf.DUMMYFUNCTION("""COMPUTED_VALUE"""),3.0)</f>
        <v>3</v>
      </c>
      <c r="F411" s="42">
        <f>IFERROR(__xludf.DUMMYFUNCTION("""COMPUTED_VALUE"""),1.0)</f>
        <v>1</v>
      </c>
      <c r="G411" s="42" t="str">
        <f>IFERROR(__xludf.DUMMYFUNCTION("""COMPUTED_VALUE"""),"ARKWH4")</f>
        <v>ARKWH4</v>
      </c>
      <c r="H411" s="42"/>
      <c r="I411" s="46" t="str">
        <f>IFERROR(__xludf.DUMMYFUNCTION("""COMPUTED_VALUE"""),"https://repl.it/@ardhikarn/Quizzzz#index.js")</f>
        <v>https://repl.it/@ardhikarn/Quizzzz#index.js</v>
      </c>
      <c r="J411" s="46" t="str">
        <f>IFERROR(__xludf.DUMMYFUNCTION("""COMPUTED_VALUE"""),"https://drive.google.com/file/d/1Wh7Nd-rPoWuYxiWtq0VkDpb6PfBdJYVo/view?usp=sharing")</f>
        <v>https://drive.google.com/file/d/1Wh7Nd-rPoWuYxiWtq0VkDpb6PfBdJYVo/view?usp=sharing</v>
      </c>
      <c r="K411" s="46" t="str">
        <f>IFERROR(__xludf.DUMMYFUNCTION("""COMPUTED_VALUE"""),"https://drive.google.com/open?id=1qhyBgTLyzgF2mxgFdYL8T8Jl8TY7yKOq")</f>
        <v>https://drive.google.com/open?id=1qhyBgTLyzgF2mxgFdYL8T8Jl8TY7yKOq</v>
      </c>
      <c r="L411" s="42">
        <f>IFERROR(__xludf.DUMMYFUNCTION("""COMPUTED_VALUE"""),1.5)</f>
        <v>1.5</v>
      </c>
      <c r="M411" s="42" t="str">
        <f>IFERROR(__xludf.DUMMYFUNCTION("""COMPUTED_VALUE"""),"untuk flowchart alurnya masih putus dan ada beberapa proses yg blm diarahkan endnya dimana. codenya sudah bagus")</f>
        <v>untuk flowchart alurnya masih putus dan ada beberapa proses yg blm diarahkan endnya dimana. codenya sudah bagus</v>
      </c>
    </row>
    <row r="412">
      <c r="A412" s="43">
        <f>IFERROR(__xludf.DUMMYFUNCTION("""COMPUTED_VALUE"""),44111.461034374996)</f>
        <v>44111.46103</v>
      </c>
      <c r="B412" s="42" t="str">
        <f>IFERROR(__xludf.DUMMYFUNCTION("""COMPUTED_VALUE"""),"Dhea Qonita")</f>
        <v>Dhea Qonita</v>
      </c>
      <c r="C412" s="42" t="str">
        <f>IFERROR(__xludf.DUMMYFUNCTION("""COMPUTED_VALUE"""),"Online")</f>
        <v>Online</v>
      </c>
      <c r="D412" s="42" t="str">
        <f>IFERROR(__xludf.DUMMYFUNCTION("""COMPUTED_VALUE"""),"Fullstack Web Developer")</f>
        <v>Fullstack Web Developer</v>
      </c>
      <c r="E412" s="42">
        <f>IFERROR(__xludf.DUMMYFUNCTION("""COMPUTED_VALUE"""),3.0)</f>
        <v>3</v>
      </c>
      <c r="F412" s="42">
        <f>IFERROR(__xludf.DUMMYFUNCTION("""COMPUTED_VALUE"""),1.0)</f>
        <v>1</v>
      </c>
      <c r="G412" s="42" t="str">
        <f>IFERROR(__xludf.DUMMYFUNCTION("""COMPUTED_VALUE"""),"ARKWH4")</f>
        <v>ARKWH4</v>
      </c>
      <c r="H412" s="42"/>
      <c r="I412" s="46" t="str">
        <f>IFERROR(__xludf.DUMMYFUNCTION("""COMPUTED_VALUE"""),"https://playcode.io/688199")</f>
        <v>https://playcode.io/688199</v>
      </c>
      <c r="J412" s="46" t="str">
        <f>IFERROR(__xludf.DUMMYFUNCTION("""COMPUTED_VALUE"""),"https://drive.google.com/file/d/1CPpLTvZ99K412S1v4ngdgZxdifOQt6tC/view?usp=sharing")</f>
        <v>https://drive.google.com/file/d/1CPpLTvZ99K412S1v4ngdgZxdifOQt6tC/view?usp=sharing</v>
      </c>
      <c r="K412" s="46" t="str">
        <f>IFERROR(__xludf.DUMMYFUNCTION("""COMPUTED_VALUE"""),"https://drive.google.com/open?id=13ND7iF4Ir856oeyNys61QJ_36ZUDRDRU")</f>
        <v>https://drive.google.com/open?id=13ND7iF4Ir856oeyNys61QJ_36ZUDRDRU</v>
      </c>
      <c r="L412" s="42">
        <f>IFERROR(__xludf.DUMMYFUNCTION("""COMPUTED_VALUE"""),1.5)</f>
        <v>1.5</v>
      </c>
      <c r="M412" s="42" t="str">
        <f>IFERROR(__xludf.DUMMYFUNCTION("""COMPUTED_VALUE"""),"codenya sudah bagus untuk flowchart blm sama dengan yang di code")</f>
        <v>codenya sudah bagus untuk flowchart blm sama dengan yang di code</v>
      </c>
    </row>
    <row r="413">
      <c r="A413" s="43">
        <f>IFERROR(__xludf.DUMMYFUNCTION("""COMPUTED_VALUE"""),44111.46119125)</f>
        <v>44111.46119</v>
      </c>
      <c r="B413" s="42" t="str">
        <f>IFERROR(__xludf.DUMMYFUNCTION("""COMPUTED_VALUE"""),"Muhammad Rinaldi")</f>
        <v>Muhammad Rinaldi</v>
      </c>
      <c r="C413" s="42" t="str">
        <f>IFERROR(__xludf.DUMMYFUNCTION("""COMPUTED_VALUE"""),"Online")</f>
        <v>Online</v>
      </c>
      <c r="D413" s="42" t="str">
        <f>IFERROR(__xludf.DUMMYFUNCTION("""COMPUTED_VALUE"""),"Fullstack Web Developer")</f>
        <v>Fullstack Web Developer</v>
      </c>
      <c r="E413" s="42">
        <f>IFERROR(__xludf.DUMMYFUNCTION("""COMPUTED_VALUE"""),3.0)</f>
        <v>3</v>
      </c>
      <c r="F413" s="42">
        <f>IFERROR(__xludf.DUMMYFUNCTION("""COMPUTED_VALUE"""),1.0)</f>
        <v>1</v>
      </c>
      <c r="G413" s="42" t="str">
        <f>IFERROR(__xludf.DUMMYFUNCTION("""COMPUTED_VALUE"""),"ARKWH4")</f>
        <v>ARKWH4</v>
      </c>
      <c r="H413" s="42"/>
      <c r="I413" s="46" t="str">
        <f>IFERROR(__xludf.DUMMYFUNCTION("""COMPUTED_VALUE"""),"https://repl.it/@mhdnaldi/Quiz-find-shoes#index.js")</f>
        <v>https://repl.it/@mhdnaldi/Quiz-find-shoes#index.js</v>
      </c>
      <c r="J413" s="42"/>
      <c r="K413" s="42"/>
      <c r="L413" s="42">
        <f>IFERROR(__xludf.DUMMYFUNCTION("""COMPUTED_VALUE"""),0.5)</f>
        <v>0.5</v>
      </c>
      <c r="M413" s="42" t="str">
        <f>IFERROR(__xludf.DUMMYFUNCTION("""COMPUTED_VALUE"""),"code blm selesai, flowchart tidak ada")</f>
        <v>code blm selesai, flowchart tidak ada</v>
      </c>
    </row>
    <row r="414">
      <c r="A414" s="43">
        <f>IFERROR(__xludf.DUMMYFUNCTION("""COMPUTED_VALUE"""),44111.46120856481)</f>
        <v>44111.46121</v>
      </c>
      <c r="B414" s="42" t="str">
        <f>IFERROR(__xludf.DUMMYFUNCTION("""COMPUTED_VALUE"""),"Muzmi Ulya")</f>
        <v>Muzmi Ulya</v>
      </c>
      <c r="C414" s="42" t="str">
        <f>IFERROR(__xludf.DUMMYFUNCTION("""COMPUTED_VALUE"""),"Online")</f>
        <v>Online</v>
      </c>
      <c r="D414" s="42" t="str">
        <f>IFERROR(__xludf.DUMMYFUNCTION("""COMPUTED_VALUE"""),"Fullstack Web Developer")</f>
        <v>Fullstack Web Developer</v>
      </c>
      <c r="E414" s="42">
        <f>IFERROR(__xludf.DUMMYFUNCTION("""COMPUTED_VALUE"""),3.0)</f>
        <v>3</v>
      </c>
      <c r="F414" s="42">
        <f>IFERROR(__xludf.DUMMYFUNCTION("""COMPUTED_VALUE"""),1.0)</f>
        <v>1</v>
      </c>
      <c r="G414" s="42" t="str">
        <f>IFERROR(__xludf.DUMMYFUNCTION("""COMPUTED_VALUE"""),"ARKWH4")</f>
        <v>ARKWH4</v>
      </c>
      <c r="H414" s="42"/>
      <c r="I414" s="46" t="str">
        <f>IFERROR(__xludf.DUMMYFUNCTION("""COMPUTED_VALUE"""),"https://repl.it/@muzmi1234/quiz-last#index.js")</f>
        <v>https://repl.it/@muzmi1234/quiz-last#index.js</v>
      </c>
      <c r="J414" s="42"/>
      <c r="K414" s="46" t="str">
        <f>IFERROR(__xludf.DUMMYFUNCTION("""COMPUTED_VALUE"""),"https://drive.google.com/open?id=1TY3KNdU8eR5tCwOTrwOCTnOpiwPT2eGo")</f>
        <v>https://drive.google.com/open?id=1TY3KNdU8eR5tCwOTrwOCTnOpiwPT2eGo</v>
      </c>
      <c r="L414" s="42">
        <f>IFERROR(__xludf.DUMMYFUNCTION("""COMPUTED_VALUE"""),1.0)</f>
        <v>1</v>
      </c>
      <c r="M414" s="42" t="str">
        <f>IFERROR(__xludf.DUMMYFUNCTION("""COMPUTED_VALUE"""),"flowchart dan code blm sama prosesnya dan hasilnya blm sama dengan requirement")</f>
        <v>flowchart dan code blm sama prosesnya dan hasilnya blm sama dengan requirement</v>
      </c>
    </row>
    <row r="415">
      <c r="A415" s="43">
        <f>IFERROR(__xludf.DUMMYFUNCTION("""COMPUTED_VALUE"""),44111.461360960646)</f>
        <v>44111.46136</v>
      </c>
      <c r="B415" s="42" t="str">
        <f>IFERROR(__xludf.DUMMYFUNCTION("""COMPUTED_VALUE"""),"Iqbal Setiawan")</f>
        <v>Iqbal Setiawan</v>
      </c>
      <c r="C415" s="42" t="str">
        <f>IFERROR(__xludf.DUMMYFUNCTION("""COMPUTED_VALUE"""),"Online")</f>
        <v>Online</v>
      </c>
      <c r="D415" s="42" t="str">
        <f>IFERROR(__xludf.DUMMYFUNCTION("""COMPUTED_VALUE"""),"Fullstack Web Developer")</f>
        <v>Fullstack Web Developer</v>
      </c>
      <c r="E415" s="42">
        <f>IFERROR(__xludf.DUMMYFUNCTION("""COMPUTED_VALUE"""),3.0)</f>
        <v>3</v>
      </c>
      <c r="F415" s="42">
        <f>IFERROR(__xludf.DUMMYFUNCTION("""COMPUTED_VALUE"""),1.0)</f>
        <v>1</v>
      </c>
      <c r="G415" s="42" t="str">
        <f>IFERROR(__xludf.DUMMYFUNCTION("""COMPUTED_VALUE"""),"ARKWH4")</f>
        <v>ARKWH4</v>
      </c>
      <c r="H415" s="42"/>
      <c r="I415" s="46" t="str">
        <f>IFERROR(__xludf.DUMMYFUNCTION("""COMPUTED_VALUE"""),"https://repl.it/@iqbalstwan/Tugas-sepatu#index.js")</f>
        <v>https://repl.it/@iqbalstwan/Tugas-sepatu#index.js</v>
      </c>
      <c r="J415" s="42"/>
      <c r="K415" s="46" t="str">
        <f>IFERROR(__xludf.DUMMYFUNCTION("""COMPUTED_VALUE"""),"https://drive.google.com/open?id=1r0jK4_-xRZ72_1iN2N7MH95k4_hdw5St")</f>
        <v>https://drive.google.com/open?id=1r0jK4_-xRZ72_1iN2N7MH95k4_hdw5St</v>
      </c>
      <c r="L415" s="42">
        <f>IFERROR(__xludf.DUMMYFUNCTION("""COMPUTED_VALUE"""),1.25)</f>
        <v>1.25</v>
      </c>
      <c r="M415" s="42" t="str">
        <f>IFERROR(__xludf.DUMMYFUNCTION("""COMPUTED_VALUE"""),"flowchartnya blm selesai, codenya mencari suatu angka kayanya bkn nyari sepasang sepatu :)")</f>
        <v>flowchartnya blm selesai, codenya mencari suatu angka kayanya bkn nyari sepasang sepatu :)</v>
      </c>
    </row>
    <row r="416">
      <c r="A416" s="43">
        <f>IFERROR(__xludf.DUMMYFUNCTION("""COMPUTED_VALUE"""),44111.461400949076)</f>
        <v>44111.4614</v>
      </c>
      <c r="B416" s="42" t="str">
        <f>IFERROR(__xludf.DUMMYFUNCTION("""COMPUTED_VALUE"""),"Muhammad Nur Hidayat")</f>
        <v>Muhammad Nur Hidayat</v>
      </c>
      <c r="C416" s="42" t="str">
        <f>IFERROR(__xludf.DUMMYFUNCTION("""COMPUTED_VALUE"""),"Online")</f>
        <v>Online</v>
      </c>
      <c r="D416" s="42" t="str">
        <f>IFERROR(__xludf.DUMMYFUNCTION("""COMPUTED_VALUE"""),"Fullstack Web Developer")</f>
        <v>Fullstack Web Developer</v>
      </c>
      <c r="E416" s="42">
        <f>IFERROR(__xludf.DUMMYFUNCTION("""COMPUTED_VALUE"""),3.0)</f>
        <v>3</v>
      </c>
      <c r="F416" s="42">
        <f>IFERROR(__xludf.DUMMYFUNCTION("""COMPUTED_VALUE"""),1.0)</f>
        <v>1</v>
      </c>
      <c r="G416" s="42" t="str">
        <f>IFERROR(__xludf.DUMMYFUNCTION("""COMPUTED_VALUE"""),"ARKWH4")</f>
        <v>ARKWH4</v>
      </c>
      <c r="H416" s="42"/>
      <c r="I416" s="46" t="str">
        <f>IFERROR(__xludf.DUMMYFUNCTION("""COMPUTED_VALUE"""),"https://repl.it/@nurhiday/MiniatureWellmadeLight")</f>
        <v>https://repl.it/@nurhiday/MiniatureWellmadeLight</v>
      </c>
      <c r="J416" s="46" t="str">
        <f>IFERROR(__xludf.DUMMYFUNCTION("""COMPUTED_VALUE"""),"https://drive.google.com/file/d/1scZYTbbT_SbtgbkJoJcA6CDM1UUw4HFS/view?usp=sharing")</f>
        <v>https://drive.google.com/file/d/1scZYTbbT_SbtgbkJoJcA6CDM1UUw4HFS/view?usp=sharing</v>
      </c>
      <c r="K416" s="46" t="str">
        <f>IFERROR(__xludf.DUMMYFUNCTION("""COMPUTED_VALUE"""),"https://drive.google.com/open?id=1Mg6OEHO6baNcmhdCAKRrAo4bYUssJV3N")</f>
        <v>https://drive.google.com/open?id=1Mg6OEHO6baNcmhdCAKRrAo4bYUssJV3N</v>
      </c>
      <c r="L416" s="42">
        <f>IFERROR(__xludf.DUMMYFUNCTION("""COMPUTED_VALUE"""),1.8)</f>
        <v>1.8</v>
      </c>
      <c r="M416" s="42" t="str">
        <f>IFERROR(__xludf.DUMMYFUNCTION("""COMPUTED_VALUE"""),"good")</f>
        <v>good</v>
      </c>
    </row>
    <row r="417">
      <c r="A417" s="43">
        <f>IFERROR(__xludf.DUMMYFUNCTION("""COMPUTED_VALUE"""),44111.461530879635)</f>
        <v>44111.46153</v>
      </c>
      <c r="B417" s="42" t="str">
        <f>IFERROR(__xludf.DUMMYFUNCTION("""COMPUTED_VALUE"""),"Galuh Prahadi")</f>
        <v>Galuh Prahadi</v>
      </c>
      <c r="C417" s="42" t="str">
        <f>IFERROR(__xludf.DUMMYFUNCTION("""COMPUTED_VALUE"""),"Online")</f>
        <v>Online</v>
      </c>
      <c r="D417" s="42" t="str">
        <f>IFERROR(__xludf.DUMMYFUNCTION("""COMPUTED_VALUE"""),"Fullstack Web Developer")</f>
        <v>Fullstack Web Developer</v>
      </c>
      <c r="E417" s="42">
        <f>IFERROR(__xludf.DUMMYFUNCTION("""COMPUTED_VALUE"""),3.0)</f>
        <v>3</v>
      </c>
      <c r="F417" s="42">
        <f>IFERROR(__xludf.DUMMYFUNCTION("""COMPUTED_VALUE"""),1.0)</f>
        <v>1</v>
      </c>
      <c r="G417" s="42" t="str">
        <f>IFERROR(__xludf.DUMMYFUNCTION("""COMPUTED_VALUE"""),"ARKWH4")</f>
        <v>ARKWH4</v>
      </c>
      <c r="H417" s="42"/>
      <c r="I417" s="46" t="str">
        <f>IFERROR(__xludf.DUMMYFUNCTION("""COMPUTED_VALUE"""),"https://playcode.io/688188")</f>
        <v>https://playcode.io/688188</v>
      </c>
      <c r="J417" s="42"/>
      <c r="K417" s="46" t="str">
        <f>IFERROR(__xludf.DUMMYFUNCTION("""COMPUTED_VALUE"""),"https://drive.google.com/open?id=1WWCeqWfL5_xGh9dNo3W8NzU0KG8y1G-S")</f>
        <v>https://drive.google.com/open?id=1WWCeqWfL5_xGh9dNo3W8NzU0KG8y1G-S</v>
      </c>
      <c r="L417" s="42">
        <f>IFERROR(__xludf.DUMMYFUNCTION("""COMPUTED_VALUE"""),2.0)</f>
        <v>2</v>
      </c>
      <c r="M417" s="42" t="str">
        <f>IFERROR(__xludf.DUMMYFUNCTION("""COMPUTED_VALUE"""),"good")</f>
        <v>good</v>
      </c>
    </row>
    <row r="418">
      <c r="A418" s="43">
        <f>IFERROR(__xludf.DUMMYFUNCTION("""COMPUTED_VALUE"""),44111.4615625463)</f>
        <v>44111.46156</v>
      </c>
      <c r="B418" s="42" t="str">
        <f>IFERROR(__xludf.DUMMYFUNCTION("""COMPUTED_VALUE"""),"Hasbi A.K")</f>
        <v>Hasbi A.K</v>
      </c>
      <c r="C418" s="42" t="str">
        <f>IFERROR(__xludf.DUMMYFUNCTION("""COMPUTED_VALUE"""),"Online")</f>
        <v>Online</v>
      </c>
      <c r="D418" s="42" t="str">
        <f>IFERROR(__xludf.DUMMYFUNCTION("""COMPUTED_VALUE"""),"Fullstack Web Developer")</f>
        <v>Fullstack Web Developer</v>
      </c>
      <c r="E418" s="42">
        <f>IFERROR(__xludf.DUMMYFUNCTION("""COMPUTED_VALUE"""),3.0)</f>
        <v>3</v>
      </c>
      <c r="F418" s="42">
        <f>IFERROR(__xludf.DUMMYFUNCTION("""COMPUTED_VALUE"""),1.0)</f>
        <v>1</v>
      </c>
      <c r="G418" s="42" t="str">
        <f>IFERROR(__xludf.DUMMYFUNCTION("""COMPUTED_VALUE"""),"ARKWH4")</f>
        <v>ARKWH4</v>
      </c>
      <c r="H418" s="42"/>
      <c r="I418" s="46" t="str">
        <f>IFERROR(__xludf.DUMMYFUNCTION("""COMPUTED_VALUE"""),"https://repl.it/@HasbiAK/Quizz")</f>
        <v>https://repl.it/@HasbiAK/Quizz</v>
      </c>
      <c r="J418" s="42"/>
      <c r="K418" s="46" t="str">
        <f>IFERROR(__xludf.DUMMYFUNCTION("""COMPUTED_VALUE"""),"https://drive.google.com/open?id=1zowD73c5BgEjiKAJOf9FOBYpt8o47W8o")</f>
        <v>https://drive.google.com/open?id=1zowD73c5BgEjiKAJOf9FOBYpt8o47W8o</v>
      </c>
      <c r="L418" s="42">
        <f>IFERROR(__xludf.DUMMYFUNCTION("""COMPUTED_VALUE"""),0.0)</f>
        <v>0</v>
      </c>
      <c r="M418" s="42" t="str">
        <f>IFERROR(__xludf.DUMMYFUNCTION("""COMPUTED_VALUE"""),"untuk symbol yg di flowchart msh kurang sesuai dengan prosesnya, code blm selesai")</f>
        <v>untuk symbol yg di flowchart msh kurang sesuai dengan prosesnya, code blm selesai</v>
      </c>
    </row>
    <row r="419">
      <c r="A419" s="43">
        <f>IFERROR(__xludf.DUMMYFUNCTION("""COMPUTED_VALUE"""),44111.46167377315)</f>
        <v>44111.46167</v>
      </c>
      <c r="B419" s="42" t="str">
        <f>IFERROR(__xludf.DUMMYFUNCTION("""COMPUTED_VALUE"""),"Dimas Prayoga")</f>
        <v>Dimas Prayoga</v>
      </c>
      <c r="C419" s="42" t="str">
        <f>IFERROR(__xludf.DUMMYFUNCTION("""COMPUTED_VALUE"""),"Online")</f>
        <v>Online</v>
      </c>
      <c r="D419" s="42" t="str">
        <f>IFERROR(__xludf.DUMMYFUNCTION("""COMPUTED_VALUE"""),"Fullstack Web Developer")</f>
        <v>Fullstack Web Developer</v>
      </c>
      <c r="E419" s="42">
        <f>IFERROR(__xludf.DUMMYFUNCTION("""COMPUTED_VALUE"""),3.0)</f>
        <v>3</v>
      </c>
      <c r="F419" s="42">
        <f>IFERROR(__xludf.DUMMYFUNCTION("""COMPUTED_VALUE"""),1.0)</f>
        <v>1</v>
      </c>
      <c r="G419" s="42" t="str">
        <f>IFERROR(__xludf.DUMMYFUNCTION("""COMPUTED_VALUE"""),"ARKWH4")</f>
        <v>ARKWH4</v>
      </c>
      <c r="H419" s="42"/>
      <c r="I419" s="46" t="str">
        <f>IFERROR(__xludf.DUMMYFUNCTION("""COMPUTED_VALUE"""),"https://playcode.io/688152/")</f>
        <v>https://playcode.io/688152/</v>
      </c>
      <c r="J419" s="42"/>
      <c r="K419" s="42"/>
      <c r="L419" s="42">
        <f>IFERROR(__xludf.DUMMYFUNCTION("""COMPUTED_VALUE"""),0.75)</f>
        <v>0.75</v>
      </c>
      <c r="M419" s="42" t="str">
        <f>IFERROR(__xludf.DUMMYFUNCTION("""COMPUTED_VALUE"""),"codenya blm selesai tpi untuk percobaannya sudah good")</f>
        <v>codenya blm selesai tpi untuk percobaannya sudah good</v>
      </c>
    </row>
    <row r="420">
      <c r="A420" s="43">
        <f>IFERROR(__xludf.DUMMYFUNCTION("""COMPUTED_VALUE"""),44111.46202293981)</f>
        <v>44111.46202</v>
      </c>
      <c r="B420" s="42" t="str">
        <f>IFERROR(__xludf.DUMMYFUNCTION("""COMPUTED_VALUE"""),"Arif Rahman")</f>
        <v>Arif Rahman</v>
      </c>
      <c r="C420" s="42" t="str">
        <f>IFERROR(__xludf.DUMMYFUNCTION("""COMPUTED_VALUE"""),"Online")</f>
        <v>Online</v>
      </c>
      <c r="D420" s="42" t="str">
        <f>IFERROR(__xludf.DUMMYFUNCTION("""COMPUTED_VALUE"""),"Fullstack Web Developer")</f>
        <v>Fullstack Web Developer</v>
      </c>
      <c r="E420" s="42">
        <f>IFERROR(__xludf.DUMMYFUNCTION("""COMPUTED_VALUE"""),3.0)</f>
        <v>3</v>
      </c>
      <c r="F420" s="42">
        <f>IFERROR(__xludf.DUMMYFUNCTION("""COMPUTED_VALUE"""),1.0)</f>
        <v>1</v>
      </c>
      <c r="G420" s="42" t="str">
        <f>IFERROR(__xludf.DUMMYFUNCTION("""COMPUTED_VALUE"""),"ARKWH4")</f>
        <v>ARKWH4</v>
      </c>
      <c r="H420" s="42"/>
      <c r="I420" s="46" t="str">
        <f>IFERROR(__xludf.DUMMYFUNCTION("""COMPUTED_VALUE"""),"https://repl.it/join/eucbefkg-capoy")</f>
        <v>https://repl.it/join/eucbefkg-capoy</v>
      </c>
      <c r="J420" s="42" t="str">
        <f>IFERROR(__xludf.DUMMYFUNCTION("""COMPUTED_VALUE"""),"-")</f>
        <v>-</v>
      </c>
      <c r="K420" s="42"/>
      <c r="L420" s="42">
        <f>IFERROR(__xludf.DUMMYFUNCTION("""COMPUTED_VALUE"""),0.75)</f>
        <v>0.75</v>
      </c>
      <c r="M420" s="42" t="str">
        <f>IFERROR(__xludf.DUMMYFUNCTION("""COMPUTED_VALUE"""),"codenya blm selesai tpi untuk percobaannya sudah good")</f>
        <v>codenya blm selesai tpi untuk percobaannya sudah good</v>
      </c>
    </row>
    <row r="421">
      <c r="A421" s="43">
        <f>IFERROR(__xludf.DUMMYFUNCTION("""COMPUTED_VALUE"""),44113.61352328704)</f>
        <v>44113.61352</v>
      </c>
      <c r="B421" s="42" t="str">
        <f>IFERROR(__xludf.DUMMYFUNCTION("""COMPUTED_VALUE"""),"Muhammad Abdurasyid")</f>
        <v>Muhammad Abdurasyid</v>
      </c>
      <c r="C421" s="42" t="str">
        <f>IFERROR(__xludf.DUMMYFUNCTION("""COMPUTED_VALUE"""),"Online")</f>
        <v>Online</v>
      </c>
      <c r="D421" s="42" t="str">
        <f>IFERROR(__xludf.DUMMYFUNCTION("""COMPUTED_VALUE"""),"Fullstack Mobile Developer")</f>
        <v>Fullstack Mobile Developer</v>
      </c>
      <c r="E421" s="42">
        <f>IFERROR(__xludf.DUMMYFUNCTION("""COMPUTED_VALUE"""),17.0)</f>
        <v>17</v>
      </c>
      <c r="F421" s="42">
        <f>IFERROR(__xludf.DUMMYFUNCTION("""COMPUTED_VALUE"""),2.0)</f>
        <v>2</v>
      </c>
      <c r="G421" s="42" t="str">
        <f>IFERROR(__xludf.DUMMYFUNCTION("""COMPUTED_VALUE"""),"ARKWH3")</f>
        <v>ARKWH3</v>
      </c>
      <c r="H421" s="42"/>
      <c r="I421" s="46" t="str">
        <f>IFERROR(__xludf.DUMMYFUNCTION("""COMPUTED_VALUE"""),"https://repl.it/@mhdabdurasyid/ARKWH3")</f>
        <v>https://repl.it/@mhdabdurasyid/ARKWH3</v>
      </c>
      <c r="J421" s="46" t="str">
        <f>IFERROR(__xludf.DUMMYFUNCTION("""COMPUTED_VALUE"""),"https://drive.google.com/file/d/1BYNGSZOMemldVydGSlRYfl8ZvFv89K0l/view?usp=sharing")</f>
        <v>https://drive.google.com/file/d/1BYNGSZOMemldVydGSlRYfl8ZvFv89K0l/view?usp=sharing</v>
      </c>
      <c r="K421" s="42"/>
      <c r="L421" s="42"/>
      <c r="M421" s="42"/>
    </row>
    <row r="422">
      <c r="A422" s="43">
        <f>IFERROR(__xludf.DUMMYFUNCTION("""COMPUTED_VALUE"""),44113.61873824074)</f>
        <v>44113.61874</v>
      </c>
      <c r="B422" s="42" t="str">
        <f>IFERROR(__xludf.DUMMYFUNCTION("""COMPUTED_VALUE"""),"Ahmad Asrofi")</f>
        <v>Ahmad Asrofi</v>
      </c>
      <c r="C422" s="42" t="str">
        <f>IFERROR(__xludf.DUMMYFUNCTION("""COMPUTED_VALUE"""),"Online")</f>
        <v>Online</v>
      </c>
      <c r="D422" s="42" t="str">
        <f>IFERROR(__xludf.DUMMYFUNCTION("""COMPUTED_VALUE"""),"Fullstack Mobile Developer")</f>
        <v>Fullstack Mobile Developer</v>
      </c>
      <c r="E422" s="42">
        <f>IFERROR(__xludf.DUMMYFUNCTION("""COMPUTED_VALUE"""),17.0)</f>
        <v>17</v>
      </c>
      <c r="F422" s="42">
        <f>IFERROR(__xludf.DUMMYFUNCTION("""COMPUTED_VALUE"""),2.0)</f>
        <v>2</v>
      </c>
      <c r="G422" s="42" t="str">
        <f>IFERROR(__xludf.DUMMYFUNCTION("""COMPUTED_VALUE"""),"ARKWH3")</f>
        <v>ARKWH3</v>
      </c>
      <c r="H422" s="42"/>
      <c r="I422" s="46" t="str">
        <f>IFERROR(__xludf.DUMMYFUNCTION("""COMPUTED_VALUE"""),"https://repl.it/@asrofhy/ARKWH3#index.js")</f>
        <v>https://repl.it/@asrofhy/ARKWH3#index.js</v>
      </c>
      <c r="J422" s="46" t="str">
        <f>IFERROR(__xludf.DUMMYFUNCTION("""COMPUTED_VALUE"""),"https://drive.google.com/drive/folders/1UuvbgpUlYPvf2UYoIRkRBz5ZtzGFGAII?usp=sharing")</f>
        <v>https://drive.google.com/drive/folders/1UuvbgpUlYPvf2UYoIRkRBz5ZtzGFGAII?usp=sharing</v>
      </c>
      <c r="K422" s="42"/>
      <c r="L422" s="42"/>
      <c r="M422" s="42"/>
    </row>
    <row r="423">
      <c r="A423" s="43">
        <f>IFERROR(__xludf.DUMMYFUNCTION("""COMPUTED_VALUE"""),44113.62073462963)</f>
        <v>44113.62073</v>
      </c>
      <c r="B423" s="42" t="str">
        <f>IFERROR(__xludf.DUMMYFUNCTION("""COMPUTED_VALUE"""),"Rezhamaulana jaya")</f>
        <v>Rezhamaulana jaya</v>
      </c>
      <c r="C423" s="42" t="str">
        <f>IFERROR(__xludf.DUMMYFUNCTION("""COMPUTED_VALUE"""),"Online")</f>
        <v>Online</v>
      </c>
      <c r="D423" s="42" t="str">
        <f>IFERROR(__xludf.DUMMYFUNCTION("""COMPUTED_VALUE"""),"Fullstack Mobile Developer")</f>
        <v>Fullstack Mobile Developer</v>
      </c>
      <c r="E423" s="42">
        <f>IFERROR(__xludf.DUMMYFUNCTION("""COMPUTED_VALUE"""),17.0)</f>
        <v>17</v>
      </c>
      <c r="F423" s="42">
        <f>IFERROR(__xludf.DUMMYFUNCTION("""COMPUTED_VALUE"""),2.0)</f>
        <v>2</v>
      </c>
      <c r="G423" s="42" t="str">
        <f>IFERROR(__xludf.DUMMYFUNCTION("""COMPUTED_VALUE"""),"ARKWH3")</f>
        <v>ARKWH3</v>
      </c>
      <c r="H423" s="42"/>
      <c r="I423" s="46" t="str">
        <f>IFERROR(__xludf.DUMMYFUNCTION("""COMPUTED_VALUE"""),"https://repl.it/@rezhamaulana/quiz3#index.js")</f>
        <v>https://repl.it/@rezhamaulana/quiz3#index.js</v>
      </c>
      <c r="J423" s="46" t="str">
        <f>IFERROR(__xludf.DUMMYFUNCTION("""COMPUTED_VALUE"""),"https://drive.google.com/drive/folders/1V1R079pAp02vzEPGyZLnm_G7dzoFBnge?usp=sharing")</f>
        <v>https://drive.google.com/drive/folders/1V1R079pAp02vzEPGyZLnm_G7dzoFBnge?usp=sharing</v>
      </c>
      <c r="K423" s="42"/>
      <c r="L423" s="42"/>
      <c r="M423" s="42"/>
    </row>
    <row r="424">
      <c r="A424" s="43">
        <f>IFERROR(__xludf.DUMMYFUNCTION("""COMPUTED_VALUE"""),44113.62755109953)</f>
        <v>44113.62755</v>
      </c>
      <c r="B424" s="42" t="str">
        <f>IFERROR(__xludf.DUMMYFUNCTION("""COMPUTED_VALUE"""),"A. Fatkhul Amam")</f>
        <v>A. Fatkhul Amam</v>
      </c>
      <c r="C424" s="42" t="str">
        <f>IFERROR(__xludf.DUMMYFUNCTION("""COMPUTED_VALUE"""),"Online")</f>
        <v>Online</v>
      </c>
      <c r="D424" s="42" t="str">
        <f>IFERROR(__xludf.DUMMYFUNCTION("""COMPUTED_VALUE"""),"Fullstack Mobile Developer")</f>
        <v>Fullstack Mobile Developer</v>
      </c>
      <c r="E424" s="42">
        <f>IFERROR(__xludf.DUMMYFUNCTION("""COMPUTED_VALUE"""),17.0)</f>
        <v>17</v>
      </c>
      <c r="F424" s="42">
        <f>IFERROR(__xludf.DUMMYFUNCTION("""COMPUTED_VALUE"""),2.0)</f>
        <v>2</v>
      </c>
      <c r="G424" s="42" t="str">
        <f>IFERROR(__xludf.DUMMYFUNCTION("""COMPUTED_VALUE"""),"ARKWH3")</f>
        <v>ARKWH3</v>
      </c>
      <c r="H424" s="42"/>
      <c r="I424" s="46" t="str">
        <f>IFERROR(__xludf.DUMMYFUNCTION("""COMPUTED_VALUE"""),"https://repl.it/@AhmadAmam/ARKWH3#index.js")</f>
        <v>https://repl.it/@AhmadAmam/ARKWH3#index.js</v>
      </c>
      <c r="J424" s="46" t="str">
        <f>IFERROR(__xludf.DUMMYFUNCTION("""COMPUTED_VALUE"""),"https://drive.google.com/drive/folders/1CJsimAj1vZYsNABc0ahCI6TyGYQ7iFqc")</f>
        <v>https://drive.google.com/drive/folders/1CJsimAj1vZYsNABc0ahCI6TyGYQ7iFqc</v>
      </c>
      <c r="K424" s="42"/>
      <c r="L424" s="42"/>
      <c r="M424" s="42"/>
    </row>
    <row r="425">
      <c r="A425" s="43">
        <f>IFERROR(__xludf.DUMMYFUNCTION("""COMPUTED_VALUE"""),44113.63367481482)</f>
        <v>44113.63367</v>
      </c>
      <c r="B425" s="42" t="str">
        <f>IFERROR(__xludf.DUMMYFUNCTION("""COMPUTED_VALUE"""),"Furoidah Chilmi")</f>
        <v>Furoidah Chilmi</v>
      </c>
      <c r="C425" s="42" t="str">
        <f>IFERROR(__xludf.DUMMYFUNCTION("""COMPUTED_VALUE"""),"Online")</f>
        <v>Online</v>
      </c>
      <c r="D425" s="42" t="str">
        <f>IFERROR(__xludf.DUMMYFUNCTION("""COMPUTED_VALUE"""),"Fullstack Mobile Developer")</f>
        <v>Fullstack Mobile Developer</v>
      </c>
      <c r="E425" s="42">
        <f>IFERROR(__xludf.DUMMYFUNCTION("""COMPUTED_VALUE"""),17.0)</f>
        <v>17</v>
      </c>
      <c r="F425" s="42">
        <f>IFERROR(__xludf.DUMMYFUNCTION("""COMPUTED_VALUE"""),2.0)</f>
        <v>2</v>
      </c>
      <c r="G425" s="42" t="str">
        <f>IFERROR(__xludf.DUMMYFUNCTION("""COMPUTED_VALUE"""),"ARKWH3")</f>
        <v>ARKWH3</v>
      </c>
      <c r="H425" s="42"/>
      <c r="I425" s="46" t="str">
        <f>IFERROR(__xludf.DUMMYFUNCTION("""COMPUTED_VALUE"""),"https://repl.it/@fchilmi/quiz3")</f>
        <v>https://repl.it/@fchilmi/quiz3</v>
      </c>
      <c r="J425" s="46" t="str">
        <f>IFERROR(__xludf.DUMMYFUNCTION("""COMPUTED_VALUE"""),"https://drive.google.com/drive/folders/1dzvSW5pLCqa38JfvD579BJ6_ost_OUh9?usp=sharing")</f>
        <v>https://drive.google.com/drive/folders/1dzvSW5pLCqa38JfvD579BJ6_ost_OUh9?usp=sharing</v>
      </c>
      <c r="K425" s="42"/>
      <c r="L425" s="42"/>
      <c r="M425" s="42"/>
    </row>
    <row r="426">
      <c r="A426" s="43">
        <f>IFERROR(__xludf.DUMMYFUNCTION("""COMPUTED_VALUE"""),44113.63566380787)</f>
        <v>44113.63566</v>
      </c>
      <c r="B426" s="42" t="str">
        <f>IFERROR(__xludf.DUMMYFUNCTION("""COMPUTED_VALUE"""),"Pramesti Regita Cahyani")</f>
        <v>Pramesti Regita Cahyani</v>
      </c>
      <c r="C426" s="42" t="str">
        <f>IFERROR(__xludf.DUMMYFUNCTION("""COMPUTED_VALUE"""),"Online")</f>
        <v>Online</v>
      </c>
      <c r="D426" s="42" t="str">
        <f>IFERROR(__xludf.DUMMYFUNCTION("""COMPUTED_VALUE"""),"Fullstack Mobile Developer")</f>
        <v>Fullstack Mobile Developer</v>
      </c>
      <c r="E426" s="42">
        <f>IFERROR(__xludf.DUMMYFUNCTION("""COMPUTED_VALUE"""),17.0)</f>
        <v>17</v>
      </c>
      <c r="F426" s="42">
        <f>IFERROR(__xludf.DUMMYFUNCTION("""COMPUTED_VALUE"""),2.0)</f>
        <v>2</v>
      </c>
      <c r="G426" s="42" t="str">
        <f>IFERROR(__xludf.DUMMYFUNCTION("""COMPUTED_VALUE"""),"ARKWH3")</f>
        <v>ARKWH3</v>
      </c>
      <c r="H426" s="42"/>
      <c r="I426" s="46" t="str">
        <f>IFERROR(__xludf.DUMMYFUNCTION("""COMPUTED_VALUE"""),"https://repl.it/@pramestiregita/QUIZ-ARKWH3js#index.js")</f>
        <v>https://repl.it/@pramestiregita/QUIZ-ARKWH3js#index.js</v>
      </c>
      <c r="J426" s="46" t="str">
        <f>IFERROR(__xludf.DUMMYFUNCTION("""COMPUTED_VALUE"""),"https://drive.google.com/file/d/14fTRFYexQK2dKGWDCXLpen6b7RcEm9jZ/view?usp=sharing")</f>
        <v>https://drive.google.com/file/d/14fTRFYexQK2dKGWDCXLpen6b7RcEm9jZ/view?usp=sharing</v>
      </c>
      <c r="K426" s="42"/>
      <c r="L426" s="42"/>
      <c r="M426" s="42"/>
    </row>
    <row r="427">
      <c r="A427" s="43">
        <f>IFERROR(__xludf.DUMMYFUNCTION("""COMPUTED_VALUE"""),44113.64063121528)</f>
        <v>44113.64063</v>
      </c>
      <c r="B427" s="42" t="str">
        <f>IFERROR(__xludf.DUMMYFUNCTION("""COMPUTED_VALUE"""),"Iqbal Athorid")</f>
        <v>Iqbal Athorid</v>
      </c>
      <c r="C427" s="42" t="str">
        <f>IFERROR(__xludf.DUMMYFUNCTION("""COMPUTED_VALUE"""),"Online")</f>
        <v>Online</v>
      </c>
      <c r="D427" s="42" t="str">
        <f>IFERROR(__xludf.DUMMYFUNCTION("""COMPUTED_VALUE"""),"Fullstack Mobile Developer")</f>
        <v>Fullstack Mobile Developer</v>
      </c>
      <c r="E427" s="42">
        <f>IFERROR(__xludf.DUMMYFUNCTION("""COMPUTED_VALUE"""),17.0)</f>
        <v>17</v>
      </c>
      <c r="F427" s="42">
        <f>IFERROR(__xludf.DUMMYFUNCTION("""COMPUTED_VALUE"""),2.0)</f>
        <v>2</v>
      </c>
      <c r="G427" s="42" t="str">
        <f>IFERROR(__xludf.DUMMYFUNCTION("""COMPUTED_VALUE"""),"ARKWH3")</f>
        <v>ARKWH3</v>
      </c>
      <c r="H427" s="42"/>
      <c r="I427" s="46" t="str">
        <f>IFERROR(__xludf.DUMMYFUNCTION("""COMPUTED_VALUE"""),"https://repl.it/@IqbalAthorid/ARKWH3")</f>
        <v>https://repl.it/@IqbalAthorid/ARKWH3</v>
      </c>
      <c r="J427" s="46" t="str">
        <f>IFERROR(__xludf.DUMMYFUNCTION("""COMPUTED_VALUE"""),"https://drive.google.com/file/d/1r2DrpGntQRD8bLcxuTQUWNg09os9UfcX/view?usp=sharing")</f>
        <v>https://drive.google.com/file/d/1r2DrpGntQRD8bLcxuTQUWNg09os9UfcX/view?usp=sharing</v>
      </c>
      <c r="K427" s="42"/>
      <c r="L427" s="42"/>
      <c r="M427" s="42"/>
    </row>
    <row r="428">
      <c r="A428" s="43">
        <f>IFERROR(__xludf.DUMMYFUNCTION("""COMPUTED_VALUE"""),44113.64068693287)</f>
        <v>44113.64069</v>
      </c>
      <c r="B428" s="42" t="str">
        <f>IFERROR(__xludf.DUMMYFUNCTION("""COMPUTED_VALUE"""),"Mohamad Ali Farhan")</f>
        <v>Mohamad Ali Farhan</v>
      </c>
      <c r="C428" s="42" t="str">
        <f>IFERROR(__xludf.DUMMYFUNCTION("""COMPUTED_VALUE"""),"Online")</f>
        <v>Online</v>
      </c>
      <c r="D428" s="42" t="str">
        <f>IFERROR(__xludf.DUMMYFUNCTION("""COMPUTED_VALUE"""),"Fullstack Web Developer")</f>
        <v>Fullstack Web Developer</v>
      </c>
      <c r="E428" s="42">
        <f>IFERROR(__xludf.DUMMYFUNCTION("""COMPUTED_VALUE"""),4.0)</f>
        <v>4</v>
      </c>
      <c r="F428" s="42">
        <f>IFERROR(__xludf.DUMMYFUNCTION("""COMPUTED_VALUE"""),1.0)</f>
        <v>1</v>
      </c>
      <c r="G428" s="42" t="str">
        <f>IFERROR(__xludf.DUMMYFUNCTION("""COMPUTED_VALUE"""),"ARKWH8")</f>
        <v>ARKWH8</v>
      </c>
      <c r="H428" s="42"/>
      <c r="I428" s="46" t="str">
        <f>IFERROR(__xludf.DUMMYFUNCTION("""COMPUTED_VALUE"""),"https://repl.it/join/kcxjyaib-alfahan")</f>
        <v>https://repl.it/join/kcxjyaib-alfahan</v>
      </c>
      <c r="J428" s="42" t="str">
        <f>IFERROR(__xludf.DUMMYFUNCTION("""COMPUTED_VALUE"""),"none")</f>
        <v>none</v>
      </c>
      <c r="K428" s="42"/>
      <c r="L428" s="42"/>
      <c r="M428" s="42"/>
    </row>
    <row r="429">
      <c r="A429" s="43">
        <f>IFERROR(__xludf.DUMMYFUNCTION("""COMPUTED_VALUE"""),44113.64248435185)</f>
        <v>44113.64248</v>
      </c>
      <c r="B429" s="42" t="str">
        <f>IFERROR(__xludf.DUMMYFUNCTION("""COMPUTED_VALUE"""),"Satrio Nugroho")</f>
        <v>Satrio Nugroho</v>
      </c>
      <c r="C429" s="42" t="str">
        <f>IFERROR(__xludf.DUMMYFUNCTION("""COMPUTED_VALUE"""),"Online")</f>
        <v>Online</v>
      </c>
      <c r="D429" s="42" t="str">
        <f>IFERROR(__xludf.DUMMYFUNCTION("""COMPUTED_VALUE"""),"Fullstack Mobile Developer")</f>
        <v>Fullstack Mobile Developer</v>
      </c>
      <c r="E429" s="42">
        <f>IFERROR(__xludf.DUMMYFUNCTION("""COMPUTED_VALUE"""),17.0)</f>
        <v>17</v>
      </c>
      <c r="F429" s="42">
        <f>IFERROR(__xludf.DUMMYFUNCTION("""COMPUTED_VALUE"""),2.0)</f>
        <v>2</v>
      </c>
      <c r="G429" s="42" t="str">
        <f>IFERROR(__xludf.DUMMYFUNCTION("""COMPUTED_VALUE"""),"ARKWH3")</f>
        <v>ARKWH3</v>
      </c>
      <c r="H429" s="42"/>
      <c r="I429" s="46" t="str">
        <f>IFERROR(__xludf.DUMMYFUNCTION("""COMPUTED_VALUE"""),"https://repl.it/@SatrioNugroho/quiz-sequence-arithmatic")</f>
        <v>https://repl.it/@SatrioNugroho/quiz-sequence-arithmatic</v>
      </c>
      <c r="J429" s="46" t="str">
        <f>IFERROR(__xludf.DUMMYFUNCTION("""COMPUTED_VALUE"""),"https://drive.google.com/file/d/1Hm1JTR9foOCLweVs2dYZK9z50huiLXj3/view?usp=sharing")</f>
        <v>https://drive.google.com/file/d/1Hm1JTR9foOCLweVs2dYZK9z50huiLXj3/view?usp=sharing</v>
      </c>
      <c r="K429" s="42"/>
      <c r="L429" s="42"/>
      <c r="M429" s="42"/>
    </row>
    <row r="430">
      <c r="A430" s="43">
        <f>IFERROR(__xludf.DUMMYFUNCTION("""COMPUTED_VALUE"""),44113.64324135416)</f>
        <v>44113.64324</v>
      </c>
      <c r="B430" s="42" t="str">
        <f>IFERROR(__xludf.DUMMYFUNCTION("""COMPUTED_VALUE"""),"Timotius Simanjuntak")</f>
        <v>Timotius Simanjuntak</v>
      </c>
      <c r="C430" s="42" t="str">
        <f>IFERROR(__xludf.DUMMYFUNCTION("""COMPUTED_VALUE"""),"Online")</f>
        <v>Online</v>
      </c>
      <c r="D430" s="42" t="str">
        <f>IFERROR(__xludf.DUMMYFUNCTION("""COMPUTED_VALUE"""),"Fullstack Mobile Developer")</f>
        <v>Fullstack Mobile Developer</v>
      </c>
      <c r="E430" s="42">
        <f>IFERROR(__xludf.DUMMYFUNCTION("""COMPUTED_VALUE"""),17.0)</f>
        <v>17</v>
      </c>
      <c r="F430" s="42">
        <f>IFERROR(__xludf.DUMMYFUNCTION("""COMPUTED_VALUE"""),2.0)</f>
        <v>2</v>
      </c>
      <c r="G430" s="42" t="str">
        <f>IFERROR(__xludf.DUMMYFUNCTION("""COMPUTED_VALUE"""),"ARKWH3")</f>
        <v>ARKWH3</v>
      </c>
      <c r="H430" s="42"/>
      <c r="I430" s="46" t="str">
        <f>IFERROR(__xludf.DUMMYFUNCTION("""COMPUTED_VALUE"""),"http://playcode.io/689652")</f>
        <v>http://playcode.io/689652</v>
      </c>
      <c r="J430" s="42"/>
      <c r="K430" s="42"/>
      <c r="L430" s="42"/>
      <c r="M430" s="42"/>
    </row>
    <row r="431">
      <c r="A431" s="43">
        <f>IFERROR(__xludf.DUMMYFUNCTION("""COMPUTED_VALUE"""),44113.651541018524)</f>
        <v>44113.65154</v>
      </c>
      <c r="B431" s="42" t="str">
        <f>IFERROR(__xludf.DUMMYFUNCTION("""COMPUTED_VALUE"""),"Muhammad")</f>
        <v>Muhammad</v>
      </c>
      <c r="C431" s="42" t="str">
        <f>IFERROR(__xludf.DUMMYFUNCTION("""COMPUTED_VALUE"""),"Online")</f>
        <v>Online</v>
      </c>
      <c r="D431" s="42" t="str">
        <f>IFERROR(__xludf.DUMMYFUNCTION("""COMPUTED_VALUE"""),"Fullstack Mobile Developer")</f>
        <v>Fullstack Mobile Developer</v>
      </c>
      <c r="E431" s="42">
        <f>IFERROR(__xludf.DUMMYFUNCTION("""COMPUTED_VALUE"""),17.0)</f>
        <v>17</v>
      </c>
      <c r="F431" s="42">
        <f>IFERROR(__xludf.DUMMYFUNCTION("""COMPUTED_VALUE"""),2.0)</f>
        <v>2</v>
      </c>
      <c r="G431" s="42" t="str">
        <f>IFERROR(__xludf.DUMMYFUNCTION("""COMPUTED_VALUE"""),"ARKWH3")</f>
        <v>ARKWH3</v>
      </c>
      <c r="H431" s="42"/>
      <c r="I431" s="46" t="str">
        <f>IFERROR(__xludf.DUMMYFUNCTION("""COMPUTED_VALUE"""),"https://repl.it/@Wazieer/ArithmeticSequence")</f>
        <v>https://repl.it/@Wazieer/ArithmeticSequence</v>
      </c>
      <c r="J431" s="46" t="str">
        <f>IFERROR(__xludf.DUMMYFUNCTION("""COMPUTED_VALUE"""),"https://drive.google.com/drive/u/1/folders/1x9yxHQVJamZyadnyofthR4Pg3MRwf6yC")</f>
        <v>https://drive.google.com/drive/u/1/folders/1x9yxHQVJamZyadnyofthR4Pg3MRwf6yC</v>
      </c>
      <c r="K431" s="42"/>
      <c r="L431" s="42"/>
      <c r="M431" s="42"/>
    </row>
    <row r="432">
      <c r="A432" s="43">
        <f>IFERROR(__xludf.DUMMYFUNCTION("""COMPUTED_VALUE"""),44113.65962049768)</f>
        <v>44113.65962</v>
      </c>
      <c r="B432" s="42" t="str">
        <f>IFERROR(__xludf.DUMMYFUNCTION("""COMPUTED_VALUE"""),"Muhamad Riko Arafi")</f>
        <v>Muhamad Riko Arafi</v>
      </c>
      <c r="C432" s="42" t="str">
        <f>IFERROR(__xludf.DUMMYFUNCTION("""COMPUTED_VALUE"""),"Online")</f>
        <v>Online</v>
      </c>
      <c r="D432" s="42" t="str">
        <f>IFERROR(__xludf.DUMMYFUNCTION("""COMPUTED_VALUE"""),"Fullstack Web Developer")</f>
        <v>Fullstack Web Developer</v>
      </c>
      <c r="E432" s="42">
        <f>IFERROR(__xludf.DUMMYFUNCTION("""COMPUTED_VALUE"""),4.0)</f>
        <v>4</v>
      </c>
      <c r="F432" s="42">
        <f>IFERROR(__xludf.DUMMYFUNCTION("""COMPUTED_VALUE"""),7.0)</f>
        <v>7</v>
      </c>
      <c r="G432" s="42" t="str">
        <f>IFERROR(__xludf.DUMMYFUNCTION("""COMPUTED_VALUE"""),"ARKWH8")</f>
        <v>ARKWH8</v>
      </c>
      <c r="H432" s="42"/>
      <c r="I432" s="46" t="str">
        <f>IFERROR(__xludf.DUMMYFUNCTION("""COMPUTED_VALUE"""),"https://playcode.io/689696")</f>
        <v>https://playcode.io/689696</v>
      </c>
      <c r="J432" s="42"/>
      <c r="K432" s="42"/>
      <c r="L432" s="42"/>
      <c r="M432" s="42"/>
    </row>
    <row r="433">
      <c r="A433" s="43">
        <f>IFERROR(__xludf.DUMMYFUNCTION("""COMPUTED_VALUE"""),44113.66126256944)</f>
        <v>44113.66126</v>
      </c>
      <c r="B433" s="42" t="str">
        <f>IFERROR(__xludf.DUMMYFUNCTION("""COMPUTED_VALUE"""),"Mochamad sofyan")</f>
        <v>Mochamad sofyan</v>
      </c>
      <c r="C433" s="42" t="str">
        <f>IFERROR(__xludf.DUMMYFUNCTION("""COMPUTED_VALUE"""),"Online")</f>
        <v>Online</v>
      </c>
      <c r="D433" s="42" t="str">
        <f>IFERROR(__xludf.DUMMYFUNCTION("""COMPUTED_VALUE"""),"Fullstack Web Developer")</f>
        <v>Fullstack Web Developer</v>
      </c>
      <c r="E433" s="42">
        <f>IFERROR(__xludf.DUMMYFUNCTION("""COMPUTED_VALUE"""),4.0)</f>
        <v>4</v>
      </c>
      <c r="F433" s="42">
        <f>IFERROR(__xludf.DUMMYFUNCTION("""COMPUTED_VALUE"""),1.0)</f>
        <v>1</v>
      </c>
      <c r="G433" s="42" t="str">
        <f>IFERROR(__xludf.DUMMYFUNCTION("""COMPUTED_VALUE"""),"ARKWH8")</f>
        <v>ARKWH8</v>
      </c>
      <c r="H433" s="42"/>
      <c r="I433" s="46" t="str">
        <f>IFERROR(__xludf.DUMMYFUNCTION("""COMPUTED_VALUE"""),"https://repl.it/@mochsofyan17/CoordinatedIncomparableDoom#index.js")</f>
        <v>https://repl.it/@mochsofyan17/CoordinatedIncomparableDoom#index.js</v>
      </c>
      <c r="J433" s="42"/>
      <c r="K433" s="42"/>
      <c r="L433" s="42"/>
      <c r="M433" s="42"/>
    </row>
    <row r="434">
      <c r="A434" s="43">
        <f>IFERROR(__xludf.DUMMYFUNCTION("""COMPUTED_VALUE"""),44113.66680025463)</f>
        <v>44113.6668</v>
      </c>
      <c r="B434" s="42" t="str">
        <f>IFERROR(__xludf.DUMMYFUNCTION("""COMPUTED_VALUE"""),"Shofira Khairunnisa")</f>
        <v>Shofira Khairunnisa</v>
      </c>
      <c r="C434" s="42" t="str">
        <f>IFERROR(__xludf.DUMMYFUNCTION("""COMPUTED_VALUE"""),"Online")</f>
        <v>Online</v>
      </c>
      <c r="D434" s="42" t="str">
        <f>IFERROR(__xludf.DUMMYFUNCTION("""COMPUTED_VALUE"""),"Fullstack Web Developer")</f>
        <v>Fullstack Web Developer</v>
      </c>
      <c r="E434" s="42">
        <f>IFERROR(__xludf.DUMMYFUNCTION("""COMPUTED_VALUE"""),4.0)</f>
        <v>4</v>
      </c>
      <c r="F434" s="42">
        <f>IFERROR(__xludf.DUMMYFUNCTION("""COMPUTED_VALUE"""),1.0)</f>
        <v>1</v>
      </c>
      <c r="G434" s="42" t="str">
        <f>IFERROR(__xludf.DUMMYFUNCTION("""COMPUTED_VALUE"""),"ARKWH8")</f>
        <v>ARKWH8</v>
      </c>
      <c r="H434" s="42"/>
      <c r="I434" s="46" t="str">
        <f>IFERROR(__xludf.DUMMYFUNCTION("""COMPUTED_VALUE"""),"https://repl.it/@Shofira/quiz6")</f>
        <v>https://repl.it/@Shofira/quiz6</v>
      </c>
      <c r="J434" s="42"/>
      <c r="K434" s="42"/>
      <c r="L434" s="42"/>
      <c r="M434" s="42"/>
    </row>
    <row r="435">
      <c r="A435" s="43">
        <f>IFERROR(__xludf.DUMMYFUNCTION("""COMPUTED_VALUE"""),44113.673023043986)</f>
        <v>44113.67302</v>
      </c>
      <c r="B435" s="42" t="str">
        <f>IFERROR(__xludf.DUMMYFUNCTION("""COMPUTED_VALUE"""),"Reynaldi Putra Hertiansa")</f>
        <v>Reynaldi Putra Hertiansa</v>
      </c>
      <c r="C435" s="42" t="str">
        <f>IFERROR(__xludf.DUMMYFUNCTION("""COMPUTED_VALUE"""),"Online")</f>
        <v>Online</v>
      </c>
      <c r="D435" s="42" t="str">
        <f>IFERROR(__xludf.DUMMYFUNCTION("""COMPUTED_VALUE"""),"Fullstack Web Developer")</f>
        <v>Fullstack Web Developer</v>
      </c>
      <c r="E435" s="42">
        <f>IFERROR(__xludf.DUMMYFUNCTION("""COMPUTED_VALUE"""),4.0)</f>
        <v>4</v>
      </c>
      <c r="F435" s="42">
        <f>IFERROR(__xludf.DUMMYFUNCTION("""COMPUTED_VALUE"""),1.0)</f>
        <v>1</v>
      </c>
      <c r="G435" s="42" t="str">
        <f>IFERROR(__xludf.DUMMYFUNCTION("""COMPUTED_VALUE"""),"ARKWH8")</f>
        <v>ARKWH8</v>
      </c>
      <c r="H435" s="42"/>
      <c r="I435" s="46" t="str">
        <f>IFERROR(__xludf.DUMMYFUNCTION("""COMPUTED_VALUE"""),"https://repl.it/@rphertiansa/ARKWH8")</f>
        <v>https://repl.it/@rphertiansa/ARKWH8</v>
      </c>
      <c r="J435" s="42"/>
      <c r="K435" s="42"/>
      <c r="L435" s="42"/>
      <c r="M435" s="42"/>
    </row>
    <row r="436">
      <c r="A436" s="43">
        <f>IFERROR(__xludf.DUMMYFUNCTION("""COMPUTED_VALUE"""),44113.67302984954)</f>
        <v>44113.67303</v>
      </c>
      <c r="B436" s="42" t="str">
        <f>IFERROR(__xludf.DUMMYFUNCTION("""COMPUTED_VALUE"""),"farhan ammar ")</f>
        <v>farhan ammar </v>
      </c>
      <c r="C436" s="42" t="str">
        <f>IFERROR(__xludf.DUMMYFUNCTION("""COMPUTED_VALUE"""),"Online")</f>
        <v>Online</v>
      </c>
      <c r="D436" s="42" t="str">
        <f>IFERROR(__xludf.DUMMYFUNCTION("""COMPUTED_VALUE"""),"Fullstack Web Developer")</f>
        <v>Fullstack Web Developer</v>
      </c>
      <c r="E436" s="42">
        <f>IFERROR(__xludf.DUMMYFUNCTION("""COMPUTED_VALUE"""),4.0)</f>
        <v>4</v>
      </c>
      <c r="F436" s="42">
        <f>IFERROR(__xludf.DUMMYFUNCTION("""COMPUTED_VALUE"""),1.0)</f>
        <v>1</v>
      </c>
      <c r="G436" s="42" t="str">
        <f>IFERROR(__xludf.DUMMYFUNCTION("""COMPUTED_VALUE"""),"ARKWH8")</f>
        <v>ARKWH8</v>
      </c>
      <c r="H436" s="42"/>
      <c r="I436" s="46" t="str">
        <f>IFERROR(__xludf.DUMMYFUNCTION("""COMPUTED_VALUE"""),"https://repl.it/join/duxmlesh-farhanammar")</f>
        <v>https://repl.it/join/duxmlesh-farhanammar</v>
      </c>
      <c r="J436" s="42"/>
      <c r="K436" s="42"/>
      <c r="L436" s="42"/>
      <c r="M436" s="42"/>
    </row>
    <row r="437">
      <c r="A437" s="43">
        <f>IFERROR(__xludf.DUMMYFUNCTION("""COMPUTED_VALUE"""),44113.67557918982)</f>
        <v>44113.67558</v>
      </c>
      <c r="B437" s="42" t="str">
        <f>IFERROR(__xludf.DUMMYFUNCTION("""COMPUTED_VALUE"""),"Miftakh Ali Said")</f>
        <v>Miftakh Ali Said</v>
      </c>
      <c r="C437" s="42" t="str">
        <f>IFERROR(__xludf.DUMMYFUNCTION("""COMPUTED_VALUE"""),"Online")</f>
        <v>Online</v>
      </c>
      <c r="D437" s="42" t="str">
        <f>IFERROR(__xludf.DUMMYFUNCTION("""COMPUTED_VALUE"""),"Fullstack Web Developer")</f>
        <v>Fullstack Web Developer</v>
      </c>
      <c r="E437" s="42">
        <f>IFERROR(__xludf.DUMMYFUNCTION("""COMPUTED_VALUE"""),4.0)</f>
        <v>4</v>
      </c>
      <c r="F437" s="42">
        <f>IFERROR(__xludf.DUMMYFUNCTION("""COMPUTED_VALUE"""),1.0)</f>
        <v>1</v>
      </c>
      <c r="G437" s="42" t="str">
        <f>IFERROR(__xludf.DUMMYFUNCTION("""COMPUTED_VALUE"""),"ARKWH8")</f>
        <v>ARKWH8</v>
      </c>
      <c r="H437" s="42"/>
      <c r="I437" s="46" t="str">
        <f>IFERROR(__xludf.DUMMYFUNCTION("""COMPUTED_VALUE"""),"https://repl.it/repls/FumblingJoyfulSoftwaresuite#index.js")</f>
        <v>https://repl.it/repls/FumblingJoyfulSoftwaresuite#index.js</v>
      </c>
      <c r="J437" s="42"/>
      <c r="K437" s="42"/>
      <c r="L437" s="42"/>
      <c r="M437" s="42"/>
    </row>
    <row r="438">
      <c r="A438" s="43">
        <f>IFERROR(__xludf.DUMMYFUNCTION("""COMPUTED_VALUE"""),44113.67758876157)</f>
        <v>44113.67759</v>
      </c>
      <c r="B438" s="42" t="str">
        <f>IFERROR(__xludf.DUMMYFUNCTION("""COMPUTED_VALUE"""),"Bagaskara Ramadhan")</f>
        <v>Bagaskara Ramadhan</v>
      </c>
      <c r="C438" s="42" t="str">
        <f>IFERROR(__xludf.DUMMYFUNCTION("""COMPUTED_VALUE"""),"Online")</f>
        <v>Online</v>
      </c>
      <c r="D438" s="42" t="str">
        <f>IFERROR(__xludf.DUMMYFUNCTION("""COMPUTED_VALUE"""),"Fullstack Web Developer")</f>
        <v>Fullstack Web Developer</v>
      </c>
      <c r="E438" s="42">
        <f>IFERROR(__xludf.DUMMYFUNCTION("""COMPUTED_VALUE"""),4.0)</f>
        <v>4</v>
      </c>
      <c r="F438" s="42">
        <f>IFERROR(__xludf.DUMMYFUNCTION("""COMPUTED_VALUE"""),1.0)</f>
        <v>1</v>
      </c>
      <c r="G438" s="42" t="str">
        <f>IFERROR(__xludf.DUMMYFUNCTION("""COMPUTED_VALUE"""),"ARKWH8")</f>
        <v>ARKWH8</v>
      </c>
      <c r="H438" s="42"/>
      <c r="I438" s="46" t="str">
        <f>IFERROR(__xludf.DUMMYFUNCTION("""COMPUTED_VALUE"""),"https://repl.it/@bagaskaramadhan/QuizW8#index.js")</f>
        <v>https://repl.it/@bagaskaramadhan/QuizW8#index.js</v>
      </c>
      <c r="J438" s="42"/>
      <c r="K438" s="42"/>
      <c r="L438" s="42"/>
      <c r="M438" s="42"/>
    </row>
    <row r="439">
      <c r="A439" s="43">
        <f>IFERROR(__xludf.DUMMYFUNCTION("""COMPUTED_VALUE"""),44113.68294677083)</f>
        <v>44113.68295</v>
      </c>
      <c r="B439" s="42" t="str">
        <f>IFERROR(__xludf.DUMMYFUNCTION("""COMPUTED_VALUE"""),"Riza Radia Rivaldo")</f>
        <v>Riza Radia Rivaldo</v>
      </c>
      <c r="C439" s="42" t="str">
        <f>IFERROR(__xludf.DUMMYFUNCTION("""COMPUTED_VALUE"""),"Online")</f>
        <v>Online</v>
      </c>
      <c r="D439" s="42" t="str">
        <f>IFERROR(__xludf.DUMMYFUNCTION("""COMPUTED_VALUE"""),"Fullstack Web Developer")</f>
        <v>Fullstack Web Developer</v>
      </c>
      <c r="E439" s="42">
        <f>IFERROR(__xludf.DUMMYFUNCTION("""COMPUTED_VALUE"""),4.0)</f>
        <v>4</v>
      </c>
      <c r="F439" s="42">
        <f>IFERROR(__xludf.DUMMYFUNCTION("""COMPUTED_VALUE"""),1.0)</f>
        <v>1</v>
      </c>
      <c r="G439" s="42" t="str">
        <f>IFERROR(__xludf.DUMMYFUNCTION("""COMPUTED_VALUE"""),"ARKWH8")</f>
        <v>ARKWH8</v>
      </c>
      <c r="H439" s="42"/>
      <c r="I439" s="46" t="str">
        <f>IFERROR(__xludf.DUMMYFUNCTION("""COMPUTED_VALUE"""),"https://repl.it/@RizaRadiaRadia/Quiz-5#index.js")</f>
        <v>https://repl.it/@RizaRadiaRadia/Quiz-5#index.js</v>
      </c>
      <c r="J439" s="42"/>
      <c r="K439" s="42"/>
      <c r="L439" s="42"/>
      <c r="M439" s="42"/>
    </row>
    <row r="440">
      <c r="A440" s="43">
        <f>IFERROR(__xludf.DUMMYFUNCTION("""COMPUTED_VALUE"""),44113.68492652778)</f>
        <v>44113.68493</v>
      </c>
      <c r="B440" s="42" t="str">
        <f>IFERROR(__xludf.DUMMYFUNCTION("""COMPUTED_VALUE"""),"Dicky Firmansyah")</f>
        <v>Dicky Firmansyah</v>
      </c>
      <c r="C440" s="42" t="str">
        <f>IFERROR(__xludf.DUMMYFUNCTION("""COMPUTED_VALUE"""),"Online")</f>
        <v>Online</v>
      </c>
      <c r="D440" s="42" t="str">
        <f>IFERROR(__xludf.DUMMYFUNCTION("""COMPUTED_VALUE"""),"Fullstack Web Developer")</f>
        <v>Fullstack Web Developer</v>
      </c>
      <c r="E440" s="42">
        <f>IFERROR(__xludf.DUMMYFUNCTION("""COMPUTED_VALUE"""),4.0)</f>
        <v>4</v>
      </c>
      <c r="F440" s="42">
        <f>IFERROR(__xludf.DUMMYFUNCTION("""COMPUTED_VALUE"""),1.0)</f>
        <v>1</v>
      </c>
      <c r="G440" s="42" t="str">
        <f>IFERROR(__xludf.DUMMYFUNCTION("""COMPUTED_VALUE"""),"ARKWH8")</f>
        <v>ARKWH8</v>
      </c>
      <c r="H440" s="42"/>
      <c r="I440" s="46" t="str">
        <f>IFERROR(__xludf.DUMMYFUNCTION("""COMPUTED_VALUE"""),"https://repl.it/@diki08/week10#index.js")</f>
        <v>https://repl.it/@diki08/week10#index.js</v>
      </c>
      <c r="J440" s="42"/>
      <c r="K440" s="42"/>
      <c r="L440" s="42"/>
      <c r="M440" s="42"/>
    </row>
    <row r="441">
      <c r="A441" s="43">
        <f>IFERROR(__xludf.DUMMYFUNCTION("""COMPUTED_VALUE"""),44113.686171747686)</f>
        <v>44113.68617</v>
      </c>
      <c r="B441" s="42" t="str">
        <f>IFERROR(__xludf.DUMMYFUNCTION("""COMPUTED_VALUE"""),"Panji Kusumarizki")</f>
        <v>Panji Kusumarizki</v>
      </c>
      <c r="C441" s="42" t="str">
        <f>IFERROR(__xludf.DUMMYFUNCTION("""COMPUTED_VALUE"""),"Online")</f>
        <v>Online</v>
      </c>
      <c r="D441" s="42" t="str">
        <f>IFERROR(__xludf.DUMMYFUNCTION("""COMPUTED_VALUE"""),"Fullstack Web Developer")</f>
        <v>Fullstack Web Developer</v>
      </c>
      <c r="E441" s="42">
        <f>IFERROR(__xludf.DUMMYFUNCTION("""COMPUTED_VALUE"""),4.0)</f>
        <v>4</v>
      </c>
      <c r="F441" s="42">
        <f>IFERROR(__xludf.DUMMYFUNCTION("""COMPUTED_VALUE"""),1.0)</f>
        <v>1</v>
      </c>
      <c r="G441" s="42" t="str">
        <f>IFERROR(__xludf.DUMMYFUNCTION("""COMPUTED_VALUE"""),"ARKWH8")</f>
        <v>ARKWH8</v>
      </c>
      <c r="H441" s="42"/>
      <c r="I441" s="46" t="str">
        <f>IFERROR(__xludf.DUMMYFUNCTION("""COMPUTED_VALUE"""),"https://repl.it/@PanjiKusuma/kuis8#index.js")</f>
        <v>https://repl.it/@PanjiKusuma/kuis8#index.js</v>
      </c>
      <c r="J441" s="42"/>
      <c r="K441" s="42"/>
      <c r="L441" s="42"/>
      <c r="M441" s="42"/>
    </row>
    <row r="442">
      <c r="A442" s="43">
        <f>IFERROR(__xludf.DUMMYFUNCTION("""COMPUTED_VALUE"""),44113.6862346875)</f>
        <v>44113.68623</v>
      </c>
      <c r="B442" s="42" t="str">
        <f>IFERROR(__xludf.DUMMYFUNCTION("""COMPUTED_VALUE"""),"Wisnu Giri")</f>
        <v>Wisnu Giri</v>
      </c>
      <c r="C442" s="42" t="str">
        <f>IFERROR(__xludf.DUMMYFUNCTION("""COMPUTED_VALUE"""),"Online")</f>
        <v>Online</v>
      </c>
      <c r="D442" s="42" t="str">
        <f>IFERROR(__xludf.DUMMYFUNCTION("""COMPUTED_VALUE"""),"Fullstack Web Developer")</f>
        <v>Fullstack Web Developer</v>
      </c>
      <c r="E442" s="42">
        <f>IFERROR(__xludf.DUMMYFUNCTION("""COMPUTED_VALUE"""),4.0)</f>
        <v>4</v>
      </c>
      <c r="F442" s="42">
        <f>IFERROR(__xludf.DUMMYFUNCTION("""COMPUTED_VALUE"""),1.0)</f>
        <v>1</v>
      </c>
      <c r="G442" s="42" t="str">
        <f>IFERROR(__xludf.DUMMYFUNCTION("""COMPUTED_VALUE"""),"ARKWH8")</f>
        <v>ARKWH8</v>
      </c>
      <c r="H442" s="42"/>
      <c r="I442" s="42"/>
      <c r="J442" s="46" t="str">
        <f>IFERROR(__xludf.DUMMYFUNCTION("""COMPUTED_VALUE"""),"https://repl.it/@Wsngr/Quiz-8")</f>
        <v>https://repl.it/@Wsngr/Quiz-8</v>
      </c>
      <c r="K442" s="42"/>
      <c r="L442" s="42"/>
      <c r="M442" s="42"/>
    </row>
    <row r="443">
      <c r="A443" s="43">
        <f>IFERROR(__xludf.DUMMYFUNCTION("""COMPUTED_VALUE"""),44113.687760625)</f>
        <v>44113.68776</v>
      </c>
      <c r="B443" s="42" t="str">
        <f>IFERROR(__xludf.DUMMYFUNCTION("""COMPUTED_VALUE"""),"Satria Adhi Nugraha")</f>
        <v>Satria Adhi Nugraha</v>
      </c>
      <c r="C443" s="42" t="str">
        <f>IFERROR(__xludf.DUMMYFUNCTION("""COMPUTED_VALUE"""),"Online")</f>
        <v>Online</v>
      </c>
      <c r="D443" s="42" t="str">
        <f>IFERROR(__xludf.DUMMYFUNCTION("""COMPUTED_VALUE"""),"Fullstack Web Developer")</f>
        <v>Fullstack Web Developer</v>
      </c>
      <c r="E443" s="42">
        <f>IFERROR(__xludf.DUMMYFUNCTION("""COMPUTED_VALUE"""),4.0)</f>
        <v>4</v>
      </c>
      <c r="F443" s="42">
        <f>IFERROR(__xludf.DUMMYFUNCTION("""COMPUTED_VALUE"""),1.0)</f>
        <v>1</v>
      </c>
      <c r="G443" s="42" t="str">
        <f>IFERROR(__xludf.DUMMYFUNCTION("""COMPUTED_VALUE"""),"ARKWH8")</f>
        <v>ARKWH8</v>
      </c>
      <c r="H443" s="42"/>
      <c r="I443" s="46" t="str">
        <f>IFERROR(__xludf.DUMMYFUNCTION("""COMPUTED_VALUE"""),"https://repl.it/@SATRIA05/Quiz-Week-8")</f>
        <v>https://repl.it/@SATRIA05/Quiz-Week-8</v>
      </c>
      <c r="J443" s="42"/>
      <c r="K443" s="42"/>
      <c r="L443" s="42"/>
      <c r="M443" s="42"/>
    </row>
    <row r="444">
      <c r="A444" s="43">
        <f>IFERROR(__xludf.DUMMYFUNCTION("""COMPUTED_VALUE"""),44113.688763067126)</f>
        <v>44113.68876</v>
      </c>
      <c r="B444" s="42" t="str">
        <f>IFERROR(__xludf.DUMMYFUNCTION("""COMPUTED_VALUE"""),"Rifqy Andika a")</f>
        <v>Rifqy Andika a</v>
      </c>
      <c r="C444" s="42" t="str">
        <f>IFERROR(__xludf.DUMMYFUNCTION("""COMPUTED_VALUE"""),"Online")</f>
        <v>Online</v>
      </c>
      <c r="D444" s="42" t="str">
        <f>IFERROR(__xludf.DUMMYFUNCTION("""COMPUTED_VALUE"""),"Fullstack Web Developer")</f>
        <v>Fullstack Web Developer</v>
      </c>
      <c r="E444" s="42">
        <f>IFERROR(__xludf.DUMMYFUNCTION("""COMPUTED_VALUE"""),4.0)</f>
        <v>4</v>
      </c>
      <c r="F444" s="42">
        <f>IFERROR(__xludf.DUMMYFUNCTION("""COMPUTED_VALUE"""),1.0)</f>
        <v>1</v>
      </c>
      <c r="G444" s="42" t="str">
        <f>IFERROR(__xludf.DUMMYFUNCTION("""COMPUTED_VALUE"""),"ARKWH8")</f>
        <v>ARKWH8</v>
      </c>
      <c r="H444" s="42"/>
      <c r="I444" s="46" t="str">
        <f>IFERROR(__xludf.DUMMYFUNCTION("""COMPUTED_VALUE"""),"https://playcode.io/689722")</f>
        <v>https://playcode.io/689722</v>
      </c>
      <c r="J444" s="42"/>
      <c r="K444" s="42"/>
      <c r="L444" s="42"/>
      <c r="M444" s="42"/>
    </row>
    <row r="445">
      <c r="A445" s="43">
        <f>IFERROR(__xludf.DUMMYFUNCTION("""COMPUTED_VALUE"""),44113.69236753472)</f>
        <v>44113.69237</v>
      </c>
      <c r="B445" s="42" t="str">
        <f>IFERROR(__xludf.DUMMYFUNCTION("""COMPUTED_VALUE"""),"Raden Syamsa Nur")</f>
        <v>Raden Syamsa Nur</v>
      </c>
      <c r="C445" s="42" t="str">
        <f>IFERROR(__xludf.DUMMYFUNCTION("""COMPUTED_VALUE"""),"Online")</f>
        <v>Online</v>
      </c>
      <c r="D445" s="42" t="str">
        <f>IFERROR(__xludf.DUMMYFUNCTION("""COMPUTED_VALUE"""),"Fullstack Web Developer")</f>
        <v>Fullstack Web Developer</v>
      </c>
      <c r="E445" s="42">
        <f>IFERROR(__xludf.DUMMYFUNCTION("""COMPUTED_VALUE"""),4.0)</f>
        <v>4</v>
      </c>
      <c r="F445" s="42">
        <f>IFERROR(__xludf.DUMMYFUNCTION("""COMPUTED_VALUE"""),1.0)</f>
        <v>1</v>
      </c>
      <c r="G445" s="42" t="str">
        <f>IFERROR(__xludf.DUMMYFUNCTION("""COMPUTED_VALUE"""),"ARKWH8")</f>
        <v>ARKWH8</v>
      </c>
      <c r="H445" s="42"/>
      <c r="I445" s="46" t="str">
        <f>IFERROR(__xludf.DUMMYFUNCTION("""COMPUTED_VALUE"""),"https://repl.it/@syamsa/quiz-6")</f>
        <v>https://repl.it/@syamsa/quiz-6</v>
      </c>
      <c r="J445" s="42"/>
      <c r="K445" s="42"/>
      <c r="L445" s="42"/>
      <c r="M445" s="42"/>
    </row>
    <row r="446">
      <c r="A446" s="43">
        <f>IFERROR(__xludf.DUMMYFUNCTION("""COMPUTED_VALUE"""),44116.597104479166)</f>
        <v>44116.5971</v>
      </c>
      <c r="B446" s="42" t="str">
        <f>IFERROR(__xludf.DUMMYFUNCTION("""COMPUTED_VALUE"""),"Ervin Nurhediyanto")</f>
        <v>Ervin Nurhediyanto</v>
      </c>
      <c r="C446" s="42" t="str">
        <f>IFERROR(__xludf.DUMMYFUNCTION("""COMPUTED_VALUE"""),"Online")</f>
        <v>Online</v>
      </c>
      <c r="D446" s="42" t="str">
        <f>IFERROR(__xludf.DUMMYFUNCTION("""COMPUTED_VALUE"""),"Fullstack Web Developer")</f>
        <v>Fullstack Web Developer</v>
      </c>
      <c r="E446" s="42">
        <f>IFERROR(__xludf.DUMMYFUNCTION("""COMPUTED_VALUE"""),2.0)</f>
        <v>2</v>
      </c>
      <c r="F446" s="42">
        <f>IFERROR(__xludf.DUMMYFUNCTION("""COMPUTED_VALUE"""),1.0)</f>
        <v>1</v>
      </c>
      <c r="G446" s="42" t="str">
        <f>IFERROR(__xludf.DUMMYFUNCTION("""COMPUTED_VALUE"""),"ARKWH11")</f>
        <v>ARKWH11</v>
      </c>
      <c r="H446" s="42"/>
      <c r="I446" s="46" t="str">
        <f>IFERROR(__xludf.DUMMYFUNCTION("""COMPUTED_VALUE"""),"https://repl.it/join/snvhzkdg-ervinnurhediyan")</f>
        <v>https://repl.it/join/snvhzkdg-ervinnurhediyan</v>
      </c>
      <c r="J446" s="42"/>
      <c r="K446" s="42"/>
      <c r="L446" s="42">
        <f>IFERROR(__xludf.DUMMYFUNCTION("""COMPUTED_VALUE"""),1.0)</f>
        <v>1</v>
      </c>
      <c r="M446" s="42" t="str">
        <f>IFERROR(__xludf.DUMMYFUNCTION("""COMPUTED_VALUE"""),"good")</f>
        <v>good</v>
      </c>
    </row>
    <row r="447">
      <c r="A447" s="43">
        <f>IFERROR(__xludf.DUMMYFUNCTION("""COMPUTED_VALUE"""),44116.601270555555)</f>
        <v>44116.60127</v>
      </c>
      <c r="B447" s="42" t="str">
        <f>IFERROR(__xludf.DUMMYFUNCTION("""COMPUTED_VALUE"""),"Regina Putri Arinda")</f>
        <v>Regina Putri Arinda</v>
      </c>
      <c r="C447" s="42" t="str">
        <f>IFERROR(__xludf.DUMMYFUNCTION("""COMPUTED_VALUE"""),"Online")</f>
        <v>Online</v>
      </c>
      <c r="D447" s="42" t="str">
        <f>IFERROR(__xludf.DUMMYFUNCTION("""COMPUTED_VALUE"""),"Fullstack Web Developer")</f>
        <v>Fullstack Web Developer</v>
      </c>
      <c r="E447" s="42">
        <f>IFERROR(__xludf.DUMMYFUNCTION("""COMPUTED_VALUE"""),2.0)</f>
        <v>2</v>
      </c>
      <c r="F447" s="42">
        <f>IFERROR(__xludf.DUMMYFUNCTION("""COMPUTED_VALUE"""),1.0)</f>
        <v>1</v>
      </c>
      <c r="G447" s="42" t="str">
        <f>IFERROR(__xludf.DUMMYFUNCTION("""COMPUTED_VALUE"""),"ARKWH11")</f>
        <v>ARKWH11</v>
      </c>
      <c r="H447" s="42"/>
      <c r="I447" s="46" t="str">
        <f>IFERROR(__xludf.DUMMYFUNCTION("""COMPUTED_VALUE"""),"https://repl.it/@ReginaPutri/quizArk11#index.js")</f>
        <v>https://repl.it/@ReginaPutri/quizArk11#index.js</v>
      </c>
      <c r="J447" s="42"/>
      <c r="K447" s="42"/>
      <c r="L447" s="42">
        <f>IFERROR(__xludf.DUMMYFUNCTION("""COMPUTED_VALUE"""),1.0)</f>
        <v>1</v>
      </c>
      <c r="M447" s="42" t="str">
        <f>IFERROR(__xludf.DUMMYFUNCTION("""COMPUTED_VALUE"""),"good")</f>
        <v>good</v>
      </c>
    </row>
    <row r="448">
      <c r="A448" s="43">
        <f>IFERROR(__xludf.DUMMYFUNCTION("""COMPUTED_VALUE"""),44116.602306076384)</f>
        <v>44116.60231</v>
      </c>
      <c r="B448" s="42" t="str">
        <f>IFERROR(__xludf.DUMMYFUNCTION("""COMPUTED_VALUE"""),"Cep Guna Widodo")</f>
        <v>Cep Guna Widodo</v>
      </c>
      <c r="C448" s="42" t="str">
        <f>IFERROR(__xludf.DUMMYFUNCTION("""COMPUTED_VALUE"""),"Online")</f>
        <v>Online</v>
      </c>
      <c r="D448" s="42" t="str">
        <f>IFERROR(__xludf.DUMMYFUNCTION("""COMPUTED_VALUE"""),"Fullstack Web Developer")</f>
        <v>Fullstack Web Developer</v>
      </c>
      <c r="E448" s="42">
        <f>IFERROR(__xludf.DUMMYFUNCTION("""COMPUTED_VALUE"""),2.0)</f>
        <v>2</v>
      </c>
      <c r="F448" s="42">
        <f>IFERROR(__xludf.DUMMYFUNCTION("""COMPUTED_VALUE"""),1.0)</f>
        <v>1</v>
      </c>
      <c r="G448" s="42" t="str">
        <f>IFERROR(__xludf.DUMMYFUNCTION("""COMPUTED_VALUE"""),"ARKWH11")</f>
        <v>ARKWH11</v>
      </c>
      <c r="H448" s="42"/>
      <c r="I448" s="46" t="str">
        <f>IFERROR(__xludf.DUMMYFUNCTION("""COMPUTED_VALUE"""),"https://repl.it/@cepguna/last-quiz")</f>
        <v>https://repl.it/@cepguna/last-quiz</v>
      </c>
      <c r="J448" s="42"/>
      <c r="K448" s="42"/>
      <c r="L448" s="42">
        <f>IFERROR(__xludf.DUMMYFUNCTION("""COMPUTED_VALUE"""),1.0)</f>
        <v>1</v>
      </c>
      <c r="M448" s="42" t="str">
        <f>IFERROR(__xludf.DUMMYFUNCTION("""COMPUTED_VALUE"""),"good")</f>
        <v>good</v>
      </c>
    </row>
    <row r="449">
      <c r="A449" s="43">
        <f>IFERROR(__xludf.DUMMYFUNCTION("""COMPUTED_VALUE"""),44116.615011319445)</f>
        <v>44116.61501</v>
      </c>
      <c r="B449" s="42" t="str">
        <f>IFERROR(__xludf.DUMMYFUNCTION("""COMPUTED_VALUE"""),"Dewondo Friemorn")</f>
        <v>Dewondo Friemorn</v>
      </c>
      <c r="C449" s="42" t="str">
        <f>IFERROR(__xludf.DUMMYFUNCTION("""COMPUTED_VALUE"""),"Online")</f>
        <v>Online</v>
      </c>
      <c r="D449" s="42" t="str">
        <f>IFERROR(__xludf.DUMMYFUNCTION("""COMPUTED_VALUE"""),"Fullstack Web Developer")</f>
        <v>Fullstack Web Developer</v>
      </c>
      <c r="E449" s="42">
        <f>IFERROR(__xludf.DUMMYFUNCTION("""COMPUTED_VALUE"""),2.0)</f>
        <v>2</v>
      </c>
      <c r="F449" s="42">
        <f>IFERROR(__xludf.DUMMYFUNCTION("""COMPUTED_VALUE"""),1.0)</f>
        <v>1</v>
      </c>
      <c r="G449" s="42" t="str">
        <f>IFERROR(__xludf.DUMMYFUNCTION("""COMPUTED_VALUE"""),"ARKWH11")</f>
        <v>ARKWH11</v>
      </c>
      <c r="H449" s="42"/>
      <c r="I449" s="46" t="str">
        <f>IFERROR(__xludf.DUMMYFUNCTION("""COMPUTED_VALUE"""),"https://repl.it/@Friemorn/beautifulDays#index.js")</f>
        <v>https://repl.it/@Friemorn/beautifulDays#index.js</v>
      </c>
      <c r="J449" s="42"/>
      <c r="K449" s="42"/>
      <c r="L449" s="42">
        <f>IFERROR(__xludf.DUMMYFUNCTION("""COMPUTED_VALUE"""),1.0)</f>
        <v>1</v>
      </c>
      <c r="M449" s="42" t="str">
        <f>IFERROR(__xludf.DUMMYFUNCTION("""COMPUTED_VALUE"""),"good")</f>
        <v>good</v>
      </c>
    </row>
    <row r="450">
      <c r="A450" s="43">
        <f>IFERROR(__xludf.DUMMYFUNCTION("""COMPUTED_VALUE"""),44116.68024427083)</f>
        <v>44116.68024</v>
      </c>
      <c r="B450" s="42" t="str">
        <f>IFERROR(__xludf.DUMMYFUNCTION("""COMPUTED_VALUE"""),"Erlangga Jatikusuma")</f>
        <v>Erlangga Jatikusuma</v>
      </c>
      <c r="C450" s="42" t="str">
        <f>IFERROR(__xludf.DUMMYFUNCTION("""COMPUTED_VALUE"""),"Online")</f>
        <v>Online</v>
      </c>
      <c r="D450" s="42" t="str">
        <f>IFERROR(__xludf.DUMMYFUNCTION("""COMPUTED_VALUE"""),"Fullstack Web Developer")</f>
        <v>Fullstack Web Developer</v>
      </c>
      <c r="E450" s="42">
        <f>IFERROR(__xludf.DUMMYFUNCTION("""COMPUTED_VALUE"""),2.0)</f>
        <v>2</v>
      </c>
      <c r="F450" s="42">
        <f>IFERROR(__xludf.DUMMYFUNCTION("""COMPUTED_VALUE"""),1.0)</f>
        <v>1</v>
      </c>
      <c r="G450" s="42" t="str">
        <f>IFERROR(__xludf.DUMMYFUNCTION("""COMPUTED_VALUE"""),"ARKWH11")</f>
        <v>ARKWH11</v>
      </c>
      <c r="H450" s="42"/>
      <c r="I450" s="46" t="str">
        <f>IFERROR(__xludf.DUMMYFUNCTION("""COMPUTED_VALUE"""),"https://repl.it/repls/TrustingHurtfulConnection#index.js")</f>
        <v>https://repl.it/repls/TrustingHurtfulConnection#index.js</v>
      </c>
      <c r="J450" s="42"/>
      <c r="K450" s="42"/>
      <c r="L450" s="42">
        <f>IFERROR(__xludf.DUMMYFUNCTION("""COMPUTED_VALUE"""),0.5)</f>
        <v>0.5</v>
      </c>
      <c r="M450" s="42" t="str">
        <f>IFERROR(__xludf.DUMMYFUNCTION("""COMPUTED_VALUE"""),"hasilnya masih belum sesuai")</f>
        <v>hasilnya masih belum sesuai</v>
      </c>
    </row>
    <row r="451">
      <c r="A451" s="43">
        <f>IFERROR(__xludf.DUMMYFUNCTION("""COMPUTED_VALUE"""),44117.10411983797)</f>
        <v>44117.10412</v>
      </c>
      <c r="B451" s="42" t="str">
        <f>IFERROR(__xludf.DUMMYFUNCTION("""COMPUTED_VALUE"""),"Andria Bakti Mahendra")</f>
        <v>Andria Bakti Mahendra</v>
      </c>
      <c r="C451" s="42" t="str">
        <f>IFERROR(__xludf.DUMMYFUNCTION("""COMPUTED_VALUE"""),"Online")</f>
        <v>Online</v>
      </c>
      <c r="D451" s="42" t="str">
        <f>IFERROR(__xludf.DUMMYFUNCTION("""COMPUTED_VALUE"""),"Fullstack Web Developer")</f>
        <v>Fullstack Web Developer</v>
      </c>
      <c r="E451" s="42">
        <f>IFERROR(__xludf.DUMMYFUNCTION("""COMPUTED_VALUE"""),2.0)</f>
        <v>2</v>
      </c>
      <c r="F451" s="42">
        <f>IFERROR(__xludf.DUMMYFUNCTION("""COMPUTED_VALUE"""),1.0)</f>
        <v>1</v>
      </c>
      <c r="G451" s="42" t="str">
        <f>IFERROR(__xludf.DUMMYFUNCTION("""COMPUTED_VALUE"""),"ARKWH11")</f>
        <v>ARKWH11</v>
      </c>
      <c r="H451" s="42"/>
      <c r="I451" s="46" t="str">
        <f>IFERROR(__xludf.DUMMYFUNCTION("""COMPUTED_VALUE"""),"https://repl.it/@Arimahen8/Quiz6#index.js")</f>
        <v>https://repl.it/@Arimahen8/Quiz6#index.js</v>
      </c>
      <c r="J451" s="42"/>
      <c r="K451" s="42"/>
      <c r="L451" s="42">
        <f>IFERROR(__xludf.DUMMYFUNCTION("""COMPUTED_VALUE"""),1.0)</f>
        <v>1</v>
      </c>
      <c r="M451" s="42" t="str">
        <f>IFERROR(__xludf.DUMMYFUNCTION("""COMPUTED_VALUE"""),"good")</f>
        <v>good</v>
      </c>
    </row>
    <row r="452">
      <c r="A452" s="43">
        <f>IFERROR(__xludf.DUMMYFUNCTION("""COMPUTED_VALUE"""),44117.37780299768)</f>
        <v>44117.3778</v>
      </c>
      <c r="B452" s="42" t="str">
        <f>IFERROR(__xludf.DUMMYFUNCTION("""COMPUTED_VALUE"""),"Kemal Reza")</f>
        <v>Kemal Reza</v>
      </c>
      <c r="C452" s="42" t="str">
        <f>IFERROR(__xludf.DUMMYFUNCTION("""COMPUTED_VALUE"""),"Online")</f>
        <v>Online</v>
      </c>
      <c r="D452" s="42" t="str">
        <f>IFERROR(__xludf.DUMMYFUNCTION("""COMPUTED_VALUE"""),"Fullstack Web Developer")</f>
        <v>Fullstack Web Developer</v>
      </c>
      <c r="E452" s="42">
        <f>IFERROR(__xludf.DUMMYFUNCTION("""COMPUTED_VALUE"""),2.0)</f>
        <v>2</v>
      </c>
      <c r="F452" s="42">
        <f>IFERROR(__xludf.DUMMYFUNCTION("""COMPUTED_VALUE"""),1.0)</f>
        <v>1</v>
      </c>
      <c r="G452" s="42" t="str">
        <f>IFERROR(__xludf.DUMMYFUNCTION("""COMPUTED_VALUE"""),"ARKWH11")</f>
        <v>ARKWH11</v>
      </c>
      <c r="H452" s="42"/>
      <c r="I452" s="46" t="str">
        <f>IFERROR(__xludf.DUMMYFUNCTION("""COMPUTED_VALUE"""),"https://repl.it/@kemalreza/beautifulDays#index.js")</f>
        <v>https://repl.it/@kemalreza/beautifulDays#index.js</v>
      </c>
      <c r="J452" s="42"/>
      <c r="K452" s="42"/>
      <c r="L452" s="42">
        <f>IFERROR(__xludf.DUMMYFUNCTION("""COMPUTED_VALUE"""),1.0)</f>
        <v>1</v>
      </c>
      <c r="M452" s="42" t="str">
        <f>IFERROR(__xludf.DUMMYFUNCTION("""COMPUTED_VALUE"""),"good")</f>
        <v>good</v>
      </c>
    </row>
    <row r="453">
      <c r="A453" s="43">
        <f>IFERROR(__xludf.DUMMYFUNCTION("""COMPUTED_VALUE"""),44117.40562837963)</f>
        <v>44117.40563</v>
      </c>
      <c r="B453" s="42" t="str">
        <f>IFERROR(__xludf.DUMMYFUNCTION("""COMPUTED_VALUE"""),"Sinta Anggun Puspita")</f>
        <v>Sinta Anggun Puspita</v>
      </c>
      <c r="C453" s="42" t="str">
        <f>IFERROR(__xludf.DUMMYFUNCTION("""COMPUTED_VALUE"""),"Depok")</f>
        <v>Depok</v>
      </c>
      <c r="D453" s="42" t="str">
        <f>IFERROR(__xludf.DUMMYFUNCTION("""COMPUTED_VALUE"""),"Fullstack Web Developer")</f>
        <v>Fullstack Web Developer</v>
      </c>
      <c r="E453" s="42">
        <f>IFERROR(__xludf.DUMMYFUNCTION("""COMPUTED_VALUE"""),2.0)</f>
        <v>2</v>
      </c>
      <c r="F453" s="42">
        <f>IFERROR(__xludf.DUMMYFUNCTION("""COMPUTED_VALUE"""),1.0)</f>
        <v>1</v>
      </c>
      <c r="G453" s="42" t="str">
        <f>IFERROR(__xludf.DUMMYFUNCTION("""COMPUTED_VALUE"""),"ARKWH11")</f>
        <v>ARKWH11</v>
      </c>
      <c r="H453" s="42"/>
      <c r="I453" s="46" t="str">
        <f>IFERROR(__xludf.DUMMYFUNCTION("""COMPUTED_VALUE"""),"https://repl.it/@SintaAnggun/ConcernedDopeyProlog#index.js")</f>
        <v>https://repl.it/@SintaAnggun/ConcernedDopeyProlog#index.js</v>
      </c>
      <c r="J453" s="42"/>
      <c r="K453" s="42"/>
      <c r="L453" s="42">
        <f>IFERROR(__xludf.DUMMYFUNCTION("""COMPUTED_VALUE"""),1.0)</f>
        <v>1</v>
      </c>
      <c r="M453" s="42" t="str">
        <f>IFERROR(__xludf.DUMMYFUNCTION("""COMPUTED_VALUE"""),"good")</f>
        <v>good</v>
      </c>
    </row>
    <row r="454">
      <c r="A454" s="43">
        <f>IFERROR(__xludf.DUMMYFUNCTION("""COMPUTED_VALUE"""),44120.44819221065)</f>
        <v>44120.44819</v>
      </c>
      <c r="B454" s="42" t="str">
        <f>IFERROR(__xludf.DUMMYFUNCTION("""COMPUTED_VALUE"""),"Muhamad Safrudin Abdul Azis")</f>
        <v>Muhamad Safrudin Abdul Azis</v>
      </c>
      <c r="C454" s="42" t="str">
        <f>IFERROR(__xludf.DUMMYFUNCTION("""COMPUTED_VALUE"""),"Online")</f>
        <v>Online</v>
      </c>
      <c r="D454" s="42" t="str">
        <f>IFERROR(__xludf.DUMMYFUNCTION("""COMPUTED_VALUE"""),"DevOps Engineer")</f>
        <v>DevOps Engineer</v>
      </c>
      <c r="E454" s="42">
        <f>IFERROR(__xludf.DUMMYFUNCTION("""COMPUTED_VALUE"""),1.0)</f>
        <v>1</v>
      </c>
      <c r="F454" s="42">
        <f>IFERROR(__xludf.DUMMYFUNCTION("""COMPUTED_VALUE"""),1.0)</f>
        <v>1</v>
      </c>
      <c r="G454" s="42" t="str">
        <f>IFERROR(__xludf.DUMMYFUNCTION("""COMPUTED_VALUE"""),"ARKWH11")</f>
        <v>ARKWH11</v>
      </c>
      <c r="H454" s="42"/>
      <c r="I454" s="46" t="str">
        <f>IFERROR(__xludf.DUMMYFUNCTION("""COMPUTED_VALUE"""),"http://playcode.io/692964/")</f>
        <v>http://playcode.io/692964/</v>
      </c>
      <c r="J454" s="42"/>
      <c r="K454" s="42"/>
      <c r="L454" s="42"/>
      <c r="M454" s="42"/>
    </row>
    <row r="455">
      <c r="A455" s="43">
        <f>IFERROR(__xludf.DUMMYFUNCTION("""COMPUTED_VALUE"""),44120.44822868056)</f>
        <v>44120.44823</v>
      </c>
      <c r="B455" s="42" t="str">
        <f>IFERROR(__xludf.DUMMYFUNCTION("""COMPUTED_VALUE"""),"Kamriyadin")</f>
        <v>Kamriyadin</v>
      </c>
      <c r="C455" s="42" t="str">
        <f>IFERROR(__xludf.DUMMYFUNCTION("""COMPUTED_VALUE"""),"Online")</f>
        <v>Online</v>
      </c>
      <c r="D455" s="42" t="str">
        <f>IFERROR(__xludf.DUMMYFUNCTION("""COMPUTED_VALUE"""),"DevOps Engineer")</f>
        <v>DevOps Engineer</v>
      </c>
      <c r="E455" s="42">
        <f>IFERROR(__xludf.DUMMYFUNCTION("""COMPUTED_VALUE"""),1.0)</f>
        <v>1</v>
      </c>
      <c r="F455" s="42">
        <f>IFERROR(__xludf.DUMMYFUNCTION("""COMPUTED_VALUE"""),1.0)</f>
        <v>1</v>
      </c>
      <c r="G455" s="42" t="str">
        <f>IFERROR(__xludf.DUMMYFUNCTION("""COMPUTED_VALUE"""),"ARKWH11")</f>
        <v>ARKWH11</v>
      </c>
      <c r="H455" s="42"/>
      <c r="I455" s="46" t="str">
        <f>IFERROR(__xludf.DUMMYFUNCTION("""COMPUTED_VALUE"""),"https://playcode.io/451387/")</f>
        <v>https://playcode.io/451387/</v>
      </c>
      <c r="J455" s="42"/>
      <c r="K455" s="42"/>
      <c r="L455" s="42"/>
      <c r="M455" s="42"/>
    </row>
    <row r="456">
      <c r="A456" s="43">
        <f>IFERROR(__xludf.DUMMYFUNCTION("""COMPUTED_VALUE"""),44120.44872480324)</f>
        <v>44120.44872</v>
      </c>
      <c r="B456" s="42" t="str">
        <f>IFERROR(__xludf.DUMMYFUNCTION("""COMPUTED_VALUE"""),"Fitra Elbi Amrullah")</f>
        <v>Fitra Elbi Amrullah</v>
      </c>
      <c r="C456" s="42" t="str">
        <f>IFERROR(__xludf.DUMMYFUNCTION("""COMPUTED_VALUE"""),"Online")</f>
        <v>Online</v>
      </c>
      <c r="D456" s="42" t="str">
        <f>IFERROR(__xludf.DUMMYFUNCTION("""COMPUTED_VALUE"""),"DevOps Engineer")</f>
        <v>DevOps Engineer</v>
      </c>
      <c r="E456" s="42">
        <f>IFERROR(__xludf.DUMMYFUNCTION("""COMPUTED_VALUE"""),1.0)</f>
        <v>1</v>
      </c>
      <c r="F456" s="42">
        <f>IFERROR(__xludf.DUMMYFUNCTION("""COMPUTED_VALUE"""),1.0)</f>
        <v>1</v>
      </c>
      <c r="G456" s="42" t="str">
        <f>IFERROR(__xludf.DUMMYFUNCTION("""COMPUTED_VALUE"""),"ARKWH11")</f>
        <v>ARKWH11</v>
      </c>
      <c r="H456" s="42"/>
      <c r="I456" s="46" t="str">
        <f>IFERROR(__xludf.DUMMYFUNCTION("""COMPUTED_VALUE"""),"https://repl.it/@fitraelbi/TimelyIllustriousNet")</f>
        <v>https://repl.it/@fitraelbi/TimelyIllustriousNet</v>
      </c>
      <c r="J456" s="42"/>
      <c r="K456" s="42"/>
      <c r="L456" s="42"/>
      <c r="M456" s="42"/>
    </row>
    <row r="457">
      <c r="A457" s="43">
        <f>IFERROR(__xludf.DUMMYFUNCTION("""COMPUTED_VALUE"""),44120.44879056713)</f>
        <v>44120.44879</v>
      </c>
      <c r="B457" s="42" t="str">
        <f>IFERROR(__xludf.DUMMYFUNCTION("""COMPUTED_VALUE"""),"Enda Afiandika")</f>
        <v>Enda Afiandika</v>
      </c>
      <c r="C457" s="42" t="str">
        <f>IFERROR(__xludf.DUMMYFUNCTION("""COMPUTED_VALUE"""),"Online")</f>
        <v>Online</v>
      </c>
      <c r="D457" s="42" t="str">
        <f>IFERROR(__xludf.DUMMYFUNCTION("""COMPUTED_VALUE"""),"DevOps Engineer")</f>
        <v>DevOps Engineer</v>
      </c>
      <c r="E457" s="42">
        <f>IFERROR(__xludf.DUMMYFUNCTION("""COMPUTED_VALUE"""),1.0)</f>
        <v>1</v>
      </c>
      <c r="F457" s="42">
        <f>IFERROR(__xludf.DUMMYFUNCTION("""COMPUTED_VALUE"""),1.0)</f>
        <v>1</v>
      </c>
      <c r="G457" s="42" t="str">
        <f>IFERROR(__xludf.DUMMYFUNCTION("""COMPUTED_VALUE"""),"ARKWH11")</f>
        <v>ARKWH11</v>
      </c>
      <c r="H457" s="42"/>
      <c r="I457" s="46" t="str">
        <f>IFERROR(__xludf.DUMMYFUNCTION("""COMPUTED_VALUE"""),"https://repl.it/@aberama/quiz#index.js")</f>
        <v>https://repl.it/@aberama/quiz#index.js</v>
      </c>
      <c r="J457" s="42"/>
      <c r="K457" s="42"/>
      <c r="L457" s="42"/>
      <c r="M457" s="42"/>
    </row>
    <row r="458">
      <c r="A458" s="43">
        <f>IFERROR(__xludf.DUMMYFUNCTION("""COMPUTED_VALUE"""),44120.44913810185)</f>
        <v>44120.44914</v>
      </c>
      <c r="B458" s="42" t="str">
        <f>IFERROR(__xludf.DUMMYFUNCTION("""COMPUTED_VALUE"""),"Tresna Adi Nugroho")</f>
        <v>Tresna Adi Nugroho</v>
      </c>
      <c r="C458" s="42" t="str">
        <f>IFERROR(__xludf.DUMMYFUNCTION("""COMPUTED_VALUE"""),"Online")</f>
        <v>Online</v>
      </c>
      <c r="D458" s="42" t="str">
        <f>IFERROR(__xludf.DUMMYFUNCTION("""COMPUTED_VALUE"""),"DevOps Engineer")</f>
        <v>DevOps Engineer</v>
      </c>
      <c r="E458" s="42">
        <f>IFERROR(__xludf.DUMMYFUNCTION("""COMPUTED_VALUE"""),1.0)</f>
        <v>1</v>
      </c>
      <c r="F458" s="42">
        <f>IFERROR(__xludf.DUMMYFUNCTION("""COMPUTED_VALUE"""),1.0)</f>
        <v>1</v>
      </c>
      <c r="G458" s="42" t="str">
        <f>IFERROR(__xludf.DUMMYFUNCTION("""COMPUTED_VALUE"""),"ARKWH11")</f>
        <v>ARKWH11</v>
      </c>
      <c r="H458" s="42"/>
      <c r="I458" s="46" t="str">
        <f>IFERROR(__xludf.DUMMYFUNCTION("""COMPUTED_VALUE"""),"http://playcode.io/692970/")</f>
        <v>http://playcode.io/692970/</v>
      </c>
      <c r="J458" s="42"/>
      <c r="K458" s="42"/>
      <c r="L458" s="42"/>
      <c r="M458" s="42"/>
    </row>
    <row r="459">
      <c r="A459" s="43">
        <f>IFERROR(__xludf.DUMMYFUNCTION("""COMPUTED_VALUE"""),44120.44922556713)</f>
        <v>44120.44923</v>
      </c>
      <c r="B459" s="42" t="str">
        <f>IFERROR(__xludf.DUMMYFUNCTION("""COMPUTED_VALUE"""),"Arif Hidayat")</f>
        <v>Arif Hidayat</v>
      </c>
      <c r="C459" s="42" t="str">
        <f>IFERROR(__xludf.DUMMYFUNCTION("""COMPUTED_VALUE"""),"Online")</f>
        <v>Online</v>
      </c>
      <c r="D459" s="42" t="str">
        <f>IFERROR(__xludf.DUMMYFUNCTION("""COMPUTED_VALUE"""),"DevOps Engineer")</f>
        <v>DevOps Engineer</v>
      </c>
      <c r="E459" s="42">
        <f>IFERROR(__xludf.DUMMYFUNCTION("""COMPUTED_VALUE"""),1.0)</f>
        <v>1</v>
      </c>
      <c r="F459" s="42">
        <f>IFERROR(__xludf.DUMMYFUNCTION("""COMPUTED_VALUE"""),1.0)</f>
        <v>1</v>
      </c>
      <c r="G459" s="42" t="str">
        <f>IFERROR(__xludf.DUMMYFUNCTION("""COMPUTED_VALUE"""),"ARKWH11")</f>
        <v>ARKWH11</v>
      </c>
      <c r="H459" s="42"/>
      <c r="I459" s="46" t="str">
        <f>IFERROR(__xludf.DUMMYFUNCTION("""COMPUTED_VALUE"""),"https://repl.it/repls/HideousMundaneTrials#index.js")</f>
        <v>https://repl.it/repls/HideousMundaneTrials#index.js</v>
      </c>
      <c r="J459" s="42"/>
      <c r="K459" s="42"/>
      <c r="L459" s="42"/>
      <c r="M459" s="42"/>
    </row>
    <row r="460">
      <c r="A460" s="43">
        <f>IFERROR(__xludf.DUMMYFUNCTION("""COMPUTED_VALUE"""),44120.44984298611)</f>
        <v>44120.44984</v>
      </c>
      <c r="B460" s="42" t="str">
        <f>IFERROR(__xludf.DUMMYFUNCTION("""COMPUTED_VALUE"""),"enda afiandika")</f>
        <v>enda afiandika</v>
      </c>
      <c r="C460" s="42" t="str">
        <f>IFERROR(__xludf.DUMMYFUNCTION("""COMPUTED_VALUE"""),"Online")</f>
        <v>Online</v>
      </c>
      <c r="D460" s="42" t="str">
        <f>IFERROR(__xludf.DUMMYFUNCTION("""COMPUTED_VALUE"""),"DevOps Engineer")</f>
        <v>DevOps Engineer</v>
      </c>
      <c r="E460" s="42">
        <f>IFERROR(__xludf.DUMMYFUNCTION("""COMPUTED_VALUE"""),1.0)</f>
        <v>1</v>
      </c>
      <c r="F460" s="42">
        <f>IFERROR(__xludf.DUMMYFUNCTION("""COMPUTED_VALUE"""),1.0)</f>
        <v>1</v>
      </c>
      <c r="G460" s="42" t="str">
        <f>IFERROR(__xludf.DUMMYFUNCTION("""COMPUTED_VALUE"""),"ARKWH11")</f>
        <v>ARKWH11</v>
      </c>
      <c r="H460" s="42"/>
      <c r="I460" s="46" t="str">
        <f>IFERROR(__xludf.DUMMYFUNCTION("""COMPUTED_VALUE"""),"https://repl.it/join/oyfwwkpm-aberama")</f>
        <v>https://repl.it/join/oyfwwkpm-aberama</v>
      </c>
      <c r="J460" s="42"/>
      <c r="K460" s="42"/>
      <c r="L460" s="42"/>
      <c r="M460" s="42"/>
    </row>
    <row r="461">
      <c r="A461" s="43">
        <f>IFERROR(__xludf.DUMMYFUNCTION("""COMPUTED_VALUE"""),44120.45000532408)</f>
        <v>44120.45001</v>
      </c>
      <c r="B461" s="42" t="str">
        <f>IFERROR(__xludf.DUMMYFUNCTION("""COMPUTED_VALUE"""),"Aditya Udi Anggoro")</f>
        <v>Aditya Udi Anggoro</v>
      </c>
      <c r="C461" s="42" t="str">
        <f>IFERROR(__xludf.DUMMYFUNCTION("""COMPUTED_VALUE"""),"Online")</f>
        <v>Online</v>
      </c>
      <c r="D461" s="42" t="str">
        <f>IFERROR(__xludf.DUMMYFUNCTION("""COMPUTED_VALUE"""),"DevOps Engineer")</f>
        <v>DevOps Engineer</v>
      </c>
      <c r="E461" s="42">
        <f>IFERROR(__xludf.DUMMYFUNCTION("""COMPUTED_VALUE"""),1.0)</f>
        <v>1</v>
      </c>
      <c r="F461" s="42">
        <f>IFERROR(__xludf.DUMMYFUNCTION("""COMPUTED_VALUE"""),1.0)</f>
        <v>1</v>
      </c>
      <c r="G461" s="42" t="str">
        <f>IFERROR(__xludf.DUMMYFUNCTION("""COMPUTED_VALUE"""),"ARKWH11")</f>
        <v>ARKWH11</v>
      </c>
      <c r="H461" s="42"/>
      <c r="I461" s="46" t="str">
        <f>IFERROR(__xludf.DUMMYFUNCTION("""COMPUTED_VALUE"""),"https://repl.it/@adityaudianggor/task1#index.js")</f>
        <v>https://repl.it/@adityaudianggor/task1#index.js</v>
      </c>
      <c r="J461" s="42"/>
      <c r="K461" s="42"/>
      <c r="L461" s="42"/>
      <c r="M461" s="42"/>
    </row>
    <row r="462">
      <c r="A462" s="43">
        <f>IFERROR(__xludf.DUMMYFUNCTION("""COMPUTED_VALUE"""),44120.450266064814)</f>
        <v>44120.45027</v>
      </c>
      <c r="B462" s="42" t="str">
        <f>IFERROR(__xludf.DUMMYFUNCTION("""COMPUTED_VALUE"""),"Baskara Erbasakti")</f>
        <v>Baskara Erbasakti</v>
      </c>
      <c r="C462" s="42" t="str">
        <f>IFERROR(__xludf.DUMMYFUNCTION("""COMPUTED_VALUE"""),"Online")</f>
        <v>Online</v>
      </c>
      <c r="D462" s="42" t="str">
        <f>IFERROR(__xludf.DUMMYFUNCTION("""COMPUTED_VALUE"""),"DevOps Engineer")</f>
        <v>DevOps Engineer</v>
      </c>
      <c r="E462" s="42">
        <f>IFERROR(__xludf.DUMMYFUNCTION("""COMPUTED_VALUE"""),1.0)</f>
        <v>1</v>
      </c>
      <c r="F462" s="42">
        <f>IFERROR(__xludf.DUMMYFUNCTION("""COMPUTED_VALUE"""),1.0)</f>
        <v>1</v>
      </c>
      <c r="G462" s="42" t="str">
        <f>IFERROR(__xludf.DUMMYFUNCTION("""COMPUTED_VALUE"""),"ARKWH11")</f>
        <v>ARKWH11</v>
      </c>
      <c r="H462" s="42"/>
      <c r="I462" s="46" t="str">
        <f>IFERROR(__xludf.DUMMYFUNCTION("""COMPUTED_VALUE"""),"https://repl.it/join/ppfrjtyy-baskaraerbasakt")</f>
        <v>https://repl.it/join/ppfrjtyy-baskaraerbasakt</v>
      </c>
      <c r="J462" s="42"/>
      <c r="K462" s="42"/>
      <c r="L462" s="42"/>
      <c r="M462" s="42"/>
    </row>
    <row r="463">
      <c r="A463" s="43">
        <f>IFERROR(__xludf.DUMMYFUNCTION("""COMPUTED_VALUE"""),44120.45050466435)</f>
        <v>44120.4505</v>
      </c>
      <c r="B463" s="42" t="str">
        <f>IFERROR(__xludf.DUMMYFUNCTION("""COMPUTED_VALUE"""),"Qaulan Makruf")</f>
        <v>Qaulan Makruf</v>
      </c>
      <c r="C463" s="42" t="str">
        <f>IFERROR(__xludf.DUMMYFUNCTION("""COMPUTED_VALUE"""),"Online")</f>
        <v>Online</v>
      </c>
      <c r="D463" s="42" t="str">
        <f>IFERROR(__xludf.DUMMYFUNCTION("""COMPUTED_VALUE"""),"DevOps Engineer")</f>
        <v>DevOps Engineer</v>
      </c>
      <c r="E463" s="42">
        <f>IFERROR(__xludf.DUMMYFUNCTION("""COMPUTED_VALUE"""),1.0)</f>
        <v>1</v>
      </c>
      <c r="F463" s="42">
        <f>IFERROR(__xludf.DUMMYFUNCTION("""COMPUTED_VALUE"""),1.0)</f>
        <v>1</v>
      </c>
      <c r="G463" s="42" t="str">
        <f>IFERROR(__xludf.DUMMYFUNCTION("""COMPUTED_VALUE"""),"ARKWH11")</f>
        <v>ARKWH11</v>
      </c>
      <c r="H463" s="42"/>
      <c r="I463" s="46" t="str">
        <f>IFERROR(__xludf.DUMMYFUNCTION("""COMPUTED_VALUE"""),"https://repl.it/repls/VirtuousMoccasinUnit#index.js")</f>
        <v>https://repl.it/repls/VirtuousMoccasinUnit#index.js</v>
      </c>
      <c r="J463" s="46" t="str">
        <f>IFERROR(__xludf.DUMMYFUNCTION("""COMPUTED_VALUE"""),"https://repl.it/repls/VirtuousMoccasinUnit#index.js")</f>
        <v>https://repl.it/repls/VirtuousMoccasinUnit#index.js</v>
      </c>
      <c r="K463" s="42"/>
      <c r="L463" s="42"/>
      <c r="M463" s="42"/>
    </row>
    <row r="464">
      <c r="A464" s="43">
        <f>IFERROR(__xludf.DUMMYFUNCTION("""COMPUTED_VALUE"""),44120.45065796297)</f>
        <v>44120.45066</v>
      </c>
      <c r="B464" s="42" t="str">
        <f>IFERROR(__xludf.DUMMYFUNCTION("""COMPUTED_VALUE"""),"Corry Fazid Kalam")</f>
        <v>Corry Fazid Kalam</v>
      </c>
      <c r="C464" s="42" t="str">
        <f>IFERROR(__xludf.DUMMYFUNCTION("""COMPUTED_VALUE"""),"Online")</f>
        <v>Online</v>
      </c>
      <c r="D464" s="42" t="str">
        <f>IFERROR(__xludf.DUMMYFUNCTION("""COMPUTED_VALUE"""),"DevOps Engineer")</f>
        <v>DevOps Engineer</v>
      </c>
      <c r="E464" s="42">
        <f>IFERROR(__xludf.DUMMYFUNCTION("""COMPUTED_VALUE"""),1.0)</f>
        <v>1</v>
      </c>
      <c r="F464" s="42">
        <f>IFERROR(__xludf.DUMMYFUNCTION("""COMPUTED_VALUE"""),1.0)</f>
        <v>1</v>
      </c>
      <c r="G464" s="42" t="str">
        <f>IFERROR(__xludf.DUMMYFUNCTION("""COMPUTED_VALUE"""),"ARKWH11")</f>
        <v>ARKWH11</v>
      </c>
      <c r="H464" s="42"/>
      <c r="I464" s="46" t="str">
        <f>IFERROR(__xludf.DUMMYFUNCTION("""COMPUTED_VALUE"""),"https://repl.it/@corrykalam1/PurpleEverlastingJavabytecode")</f>
        <v>https://repl.it/@corrykalam1/PurpleEverlastingJavabytecode</v>
      </c>
      <c r="J464" s="42"/>
      <c r="K464" s="42"/>
      <c r="L464" s="42"/>
      <c r="M464" s="42"/>
    </row>
    <row r="465">
      <c r="A465" s="43">
        <f>IFERROR(__xludf.DUMMYFUNCTION("""COMPUTED_VALUE"""),44120.45119570602)</f>
        <v>44120.4512</v>
      </c>
      <c r="B465" s="42" t="str">
        <f>IFERROR(__xludf.DUMMYFUNCTION("""COMPUTED_VALUE"""),"Fitra Elbi Amrullah")</f>
        <v>Fitra Elbi Amrullah</v>
      </c>
      <c r="C465" s="42" t="str">
        <f>IFERROR(__xludf.DUMMYFUNCTION("""COMPUTED_VALUE"""),"Online")</f>
        <v>Online</v>
      </c>
      <c r="D465" s="42" t="str">
        <f>IFERROR(__xludf.DUMMYFUNCTION("""COMPUTED_VALUE"""),"DevOps Engineer")</f>
        <v>DevOps Engineer</v>
      </c>
      <c r="E465" s="42">
        <f>IFERROR(__xludf.DUMMYFUNCTION("""COMPUTED_VALUE"""),1.0)</f>
        <v>1</v>
      </c>
      <c r="F465" s="42">
        <f>IFERROR(__xludf.DUMMYFUNCTION("""COMPUTED_VALUE"""),1.0)</f>
        <v>1</v>
      </c>
      <c r="G465" s="42" t="str">
        <f>IFERROR(__xludf.DUMMYFUNCTION("""COMPUTED_VALUE"""),"ARKWH11")</f>
        <v>ARKWH11</v>
      </c>
      <c r="H465" s="42"/>
      <c r="I465" s="46" t="str">
        <f>IFERROR(__xludf.DUMMYFUNCTION("""COMPUTED_VALUE"""),"https://repl.it/talk/share/tugas/58307")</f>
        <v>https://repl.it/talk/share/tugas/58307</v>
      </c>
      <c r="J465" s="42"/>
      <c r="K465" s="42"/>
      <c r="L465" s="42"/>
      <c r="M465" s="42"/>
    </row>
    <row r="466">
      <c r="A466" s="43">
        <f>IFERROR(__xludf.DUMMYFUNCTION("""COMPUTED_VALUE"""),44120.45132555555)</f>
        <v>44120.45133</v>
      </c>
      <c r="B466" s="42" t="str">
        <f>IFERROR(__xludf.DUMMYFUNCTION("""COMPUTED_VALUE"""),"Afsana Rozan Naufal")</f>
        <v>Afsana Rozan Naufal</v>
      </c>
      <c r="C466" s="42" t="str">
        <f>IFERROR(__xludf.DUMMYFUNCTION("""COMPUTED_VALUE"""),"Online")</f>
        <v>Online</v>
      </c>
      <c r="D466" s="42" t="str">
        <f>IFERROR(__xludf.DUMMYFUNCTION("""COMPUTED_VALUE"""),"DevOps Engineer")</f>
        <v>DevOps Engineer</v>
      </c>
      <c r="E466" s="42">
        <f>IFERROR(__xludf.DUMMYFUNCTION("""COMPUTED_VALUE"""),1.0)</f>
        <v>1</v>
      </c>
      <c r="F466" s="42">
        <f>IFERROR(__xludf.DUMMYFUNCTION("""COMPUTED_VALUE"""),1.0)</f>
        <v>1</v>
      </c>
      <c r="G466" s="42" t="str">
        <f>IFERROR(__xludf.DUMMYFUNCTION("""COMPUTED_VALUE"""),"ARKWH11")</f>
        <v>ARKWH11</v>
      </c>
      <c r="H466" s="42"/>
      <c r="I466" s="46" t="str">
        <f>IFERROR(__xludf.DUMMYFUNCTION("""COMPUTED_VALUE"""),"https://repl.it/join/irxfterz-arozannaufal")</f>
        <v>https://repl.it/join/irxfterz-arozannaufal</v>
      </c>
      <c r="J466" s="42"/>
      <c r="K466" s="42"/>
      <c r="L466" s="42"/>
      <c r="M466" s="42"/>
    </row>
    <row r="467">
      <c r="A467" s="43">
        <f>IFERROR(__xludf.DUMMYFUNCTION("""COMPUTED_VALUE"""),44125.63253371528)</f>
        <v>44125.63253</v>
      </c>
      <c r="B467" s="42" t="str">
        <f>IFERROR(__xludf.DUMMYFUNCTION("""COMPUTED_VALUE"""),"Taufiq Widi")</f>
        <v>Taufiq Widi</v>
      </c>
      <c r="C467" s="42" t="str">
        <f>IFERROR(__xludf.DUMMYFUNCTION("""COMPUTED_VALUE"""),"Online")</f>
        <v>Online</v>
      </c>
      <c r="D467" s="42" t="str">
        <f>IFERROR(__xludf.DUMMYFUNCTION("""COMPUTED_VALUE"""),"Fullstack Mobile Developer")</f>
        <v>Fullstack Mobile Developer</v>
      </c>
      <c r="E467" s="42">
        <f>IFERROR(__xludf.DUMMYFUNCTION("""COMPUTED_VALUE"""),17.0)</f>
        <v>17</v>
      </c>
      <c r="F467" s="42">
        <f>IFERROR(__xludf.DUMMYFUNCTION("""COMPUTED_VALUE"""),1.0)</f>
        <v>1</v>
      </c>
      <c r="G467" s="42" t="str">
        <f>IFERROR(__xludf.DUMMYFUNCTION("""COMPUTED_VALUE"""),"ARKWH13")</f>
        <v>ARKWH13</v>
      </c>
      <c r="H467" s="42"/>
      <c r="I467" s="46" t="str">
        <f>IFERROR(__xludf.DUMMYFUNCTION("""COMPUTED_VALUE"""),"https://playcode.io/695128/")</f>
        <v>https://playcode.io/695128/</v>
      </c>
      <c r="J467" s="42"/>
      <c r="K467" s="42"/>
      <c r="L467" s="42"/>
      <c r="M467" s="42"/>
    </row>
    <row r="468">
      <c r="A468" s="43">
        <f>IFERROR(__xludf.DUMMYFUNCTION("""COMPUTED_VALUE"""),44125.63285109954)</f>
        <v>44125.63285</v>
      </c>
      <c r="B468" s="42" t="str">
        <f>IFERROR(__xludf.DUMMYFUNCTION("""COMPUTED_VALUE"""),"Giri Nurfauzan")</f>
        <v>Giri Nurfauzan</v>
      </c>
      <c r="C468" s="42" t="str">
        <f>IFERROR(__xludf.DUMMYFUNCTION("""COMPUTED_VALUE"""),"Online")</f>
        <v>Online</v>
      </c>
      <c r="D468" s="42" t="str">
        <f>IFERROR(__xludf.DUMMYFUNCTION("""COMPUTED_VALUE"""),"Fullstack Web Developer")</f>
        <v>Fullstack Web Developer</v>
      </c>
      <c r="E468" s="42">
        <f>IFERROR(__xludf.DUMMYFUNCTION("""COMPUTED_VALUE"""),3.0)</f>
        <v>3</v>
      </c>
      <c r="F468" s="42">
        <f>IFERROR(__xludf.DUMMYFUNCTION("""COMPUTED_VALUE"""),1.0)</f>
        <v>1</v>
      </c>
      <c r="G468" s="42" t="str">
        <f>IFERROR(__xludf.DUMMYFUNCTION("""COMPUTED_VALUE"""),"ARKWH13")</f>
        <v>ARKWH13</v>
      </c>
      <c r="H468" s="42"/>
      <c r="I468" s="46" t="str">
        <f>IFERROR(__xludf.DUMMYFUNCTION("""COMPUTED_VALUE"""),"https://repl.it/@GiriNurfauzan/Weekly-Quiz-Week-13")</f>
        <v>https://repl.it/@GiriNurfauzan/Weekly-Quiz-Week-13</v>
      </c>
      <c r="J468" s="42"/>
      <c r="K468" s="42"/>
      <c r="L468" s="42">
        <f>IFERROR(__xludf.DUMMYFUNCTION("""COMPUTED_VALUE"""),1.8)</f>
        <v>1.8</v>
      </c>
      <c r="M468" s="42" t="str">
        <f>IFERROR(__xludf.DUMMYFUNCTION("""COMPUTED_VALUE"""),"good")</f>
        <v>good</v>
      </c>
    </row>
    <row r="469">
      <c r="A469" s="43">
        <f>IFERROR(__xludf.DUMMYFUNCTION("""COMPUTED_VALUE"""),44125.63354871528)</f>
        <v>44125.63355</v>
      </c>
      <c r="B469" s="42" t="str">
        <f>IFERROR(__xludf.DUMMYFUNCTION("""COMPUTED_VALUE"""),"Regina Putri Arinda")</f>
        <v>Regina Putri Arinda</v>
      </c>
      <c r="C469" s="42" t="str">
        <f>IFERROR(__xludf.DUMMYFUNCTION("""COMPUTED_VALUE"""),"Online")</f>
        <v>Online</v>
      </c>
      <c r="D469" s="42" t="str">
        <f>IFERROR(__xludf.DUMMYFUNCTION("""COMPUTED_VALUE"""),"Fullstack Web Developer")</f>
        <v>Fullstack Web Developer</v>
      </c>
      <c r="E469" s="42">
        <f>IFERROR(__xludf.DUMMYFUNCTION("""COMPUTED_VALUE"""),2.0)</f>
        <v>2</v>
      </c>
      <c r="F469" s="42">
        <f>IFERROR(__xludf.DUMMYFUNCTION("""COMPUTED_VALUE"""),1.0)</f>
        <v>1</v>
      </c>
      <c r="G469" s="42" t="str">
        <f>IFERROR(__xludf.DUMMYFUNCTION("""COMPUTED_VALUE"""),"ARKWH13")</f>
        <v>ARKWH13</v>
      </c>
      <c r="H469" s="42"/>
      <c r="I469" s="46" t="str">
        <f>IFERROR(__xludf.DUMMYFUNCTION("""COMPUTED_VALUE"""),"https://repl.it/@ReginaPutri/timeConversion")</f>
        <v>https://repl.it/@ReginaPutri/timeConversion</v>
      </c>
      <c r="J469" s="42"/>
      <c r="K469" s="42"/>
      <c r="L469" s="42"/>
      <c r="M469" s="42"/>
    </row>
    <row r="470">
      <c r="A470" s="43">
        <f>IFERROR(__xludf.DUMMYFUNCTION("""COMPUTED_VALUE"""),44125.63796663194)</f>
        <v>44125.63797</v>
      </c>
      <c r="B470" s="42" t="str">
        <f>IFERROR(__xludf.DUMMYFUNCTION("""COMPUTED_VALUE"""),"Cep Guna Widodo")</f>
        <v>Cep Guna Widodo</v>
      </c>
      <c r="C470" s="42" t="str">
        <f>IFERROR(__xludf.DUMMYFUNCTION("""COMPUTED_VALUE"""),"Online")</f>
        <v>Online</v>
      </c>
      <c r="D470" s="42" t="str">
        <f>IFERROR(__xludf.DUMMYFUNCTION("""COMPUTED_VALUE"""),"Fullstack Web Developer")</f>
        <v>Fullstack Web Developer</v>
      </c>
      <c r="E470" s="42">
        <f>IFERROR(__xludf.DUMMYFUNCTION("""COMPUTED_VALUE"""),2.0)</f>
        <v>2</v>
      </c>
      <c r="F470" s="42">
        <f>IFERROR(__xludf.DUMMYFUNCTION("""COMPUTED_VALUE"""),1.0)</f>
        <v>1</v>
      </c>
      <c r="G470" s="42" t="str">
        <f>IFERROR(__xludf.DUMMYFUNCTION("""COMPUTED_VALUE"""),"ARKWH13")</f>
        <v>ARKWH13</v>
      </c>
      <c r="H470" s="42"/>
      <c r="I470" s="46" t="str">
        <f>IFERROR(__xludf.DUMMYFUNCTION("""COMPUTED_VALUE"""),"https://repl.it/@cepguna/ARK13")</f>
        <v>https://repl.it/@cepguna/ARK13</v>
      </c>
      <c r="J470" s="42"/>
      <c r="K470" s="42"/>
      <c r="L470" s="42"/>
      <c r="M470" s="42"/>
    </row>
    <row r="471">
      <c r="A471" s="43">
        <f>IFERROR(__xludf.DUMMYFUNCTION("""COMPUTED_VALUE"""),44125.64066505787)</f>
        <v>44125.64067</v>
      </c>
      <c r="B471" s="42" t="str">
        <f>IFERROR(__xludf.DUMMYFUNCTION("""COMPUTED_VALUE"""),"Ardhika R.N")</f>
        <v>Ardhika R.N</v>
      </c>
      <c r="C471" s="42" t="str">
        <f>IFERROR(__xludf.DUMMYFUNCTION("""COMPUTED_VALUE"""),"Online")</f>
        <v>Online</v>
      </c>
      <c r="D471" s="42" t="str">
        <f>IFERROR(__xludf.DUMMYFUNCTION("""COMPUTED_VALUE"""),"Fullstack Web Developer")</f>
        <v>Fullstack Web Developer</v>
      </c>
      <c r="E471" s="42">
        <f>IFERROR(__xludf.DUMMYFUNCTION("""COMPUTED_VALUE"""),3.0)</f>
        <v>3</v>
      </c>
      <c r="F471" s="42">
        <f>IFERROR(__xludf.DUMMYFUNCTION("""COMPUTED_VALUE"""),1.0)</f>
        <v>1</v>
      </c>
      <c r="G471" s="42" t="str">
        <f>IFERROR(__xludf.DUMMYFUNCTION("""COMPUTED_VALUE"""),"ARKWH13")</f>
        <v>ARKWH13</v>
      </c>
      <c r="H471" s="42"/>
      <c r="I471" s="46" t="str">
        <f>IFERROR(__xludf.DUMMYFUNCTION("""COMPUTED_VALUE"""),"https://repl.it/@ardhikarn/arkwh13#index.js")</f>
        <v>https://repl.it/@ardhikarn/arkwh13#index.js</v>
      </c>
      <c r="J471" s="42"/>
      <c r="K471" s="42"/>
      <c r="L471" s="42">
        <f>IFERROR(__xludf.DUMMYFUNCTION("""COMPUTED_VALUE"""),1.0)</f>
        <v>1</v>
      </c>
      <c r="M471" s="42" t="str">
        <f>IFERROR(__xludf.DUMMYFUNCTION("""COMPUTED_VALUE"""),"untuk yang fungsitime convert sudah good, untuk faktorial blm diselesaikan")</f>
        <v>untuk yang fungsitime convert sudah good, untuk faktorial blm diselesaikan</v>
      </c>
    </row>
    <row r="472">
      <c r="A472" s="43">
        <f>IFERROR(__xludf.DUMMYFUNCTION("""COMPUTED_VALUE"""),44125.64450115741)</f>
        <v>44125.6445</v>
      </c>
      <c r="B472" s="42" t="str">
        <f>IFERROR(__xludf.DUMMYFUNCTION("""COMPUTED_VALUE"""),"Erlangga Jatikusuma")</f>
        <v>Erlangga Jatikusuma</v>
      </c>
      <c r="C472" s="42" t="str">
        <f>IFERROR(__xludf.DUMMYFUNCTION("""COMPUTED_VALUE"""),"Online")</f>
        <v>Online</v>
      </c>
      <c r="D472" s="42" t="str">
        <f>IFERROR(__xludf.DUMMYFUNCTION("""COMPUTED_VALUE"""),"Fullstack Web Developer")</f>
        <v>Fullstack Web Developer</v>
      </c>
      <c r="E472" s="42">
        <f>IFERROR(__xludf.DUMMYFUNCTION("""COMPUTED_VALUE"""),2.0)</f>
        <v>2</v>
      </c>
      <c r="F472" s="42">
        <f>IFERROR(__xludf.DUMMYFUNCTION("""COMPUTED_VALUE"""),1.0)</f>
        <v>1</v>
      </c>
      <c r="G472" s="42" t="str">
        <f>IFERROR(__xludf.DUMMYFUNCTION("""COMPUTED_VALUE"""),"ARKWH13")</f>
        <v>ARKWH13</v>
      </c>
      <c r="H472" s="42"/>
      <c r="I472" s="46" t="str">
        <f>IFERROR(__xludf.DUMMYFUNCTION("""COMPUTED_VALUE"""),"https://repl.it/@kusumasuma/Logic-Task-W13#index.js")</f>
        <v>https://repl.it/@kusumasuma/Logic-Task-W13#index.js</v>
      </c>
      <c r="J472" s="42"/>
      <c r="K472" s="42"/>
      <c r="L472" s="42"/>
      <c r="M472" s="42"/>
    </row>
    <row r="473">
      <c r="A473" s="43">
        <f>IFERROR(__xludf.DUMMYFUNCTION("""COMPUTED_VALUE"""),44125.645443877314)</f>
        <v>44125.64544</v>
      </c>
      <c r="B473" s="42" t="str">
        <f>IFERROR(__xludf.DUMMYFUNCTION("""COMPUTED_VALUE"""),"Andria Bakti Mahendra")</f>
        <v>Andria Bakti Mahendra</v>
      </c>
      <c r="C473" s="42" t="str">
        <f>IFERROR(__xludf.DUMMYFUNCTION("""COMPUTED_VALUE"""),"Online")</f>
        <v>Online</v>
      </c>
      <c r="D473" s="42" t="str">
        <f>IFERROR(__xludf.DUMMYFUNCTION("""COMPUTED_VALUE"""),"Fullstack Web Developer")</f>
        <v>Fullstack Web Developer</v>
      </c>
      <c r="E473" s="42">
        <f>IFERROR(__xludf.DUMMYFUNCTION("""COMPUTED_VALUE"""),2.0)</f>
        <v>2</v>
      </c>
      <c r="F473" s="42">
        <f>IFERROR(__xludf.DUMMYFUNCTION("""COMPUTED_VALUE"""),1.0)</f>
        <v>1</v>
      </c>
      <c r="G473" s="42" t="str">
        <f>IFERROR(__xludf.DUMMYFUNCTION("""COMPUTED_VALUE"""),"ARKWH13")</f>
        <v>ARKWH13</v>
      </c>
      <c r="H473" s="42"/>
      <c r="I473" s="46" t="str">
        <f>IFERROR(__xludf.DUMMYFUNCTION("""COMPUTED_VALUE"""),"https://repl.it/@Arimahen8/Quiz7#index.js")</f>
        <v>https://repl.it/@Arimahen8/Quiz7#index.js</v>
      </c>
      <c r="J473" s="42"/>
      <c r="K473" s="42"/>
      <c r="L473" s="42"/>
      <c r="M473" s="42"/>
    </row>
    <row r="474">
      <c r="A474" s="43">
        <f>IFERROR(__xludf.DUMMYFUNCTION("""COMPUTED_VALUE"""),44125.645761921296)</f>
        <v>44125.64576</v>
      </c>
      <c r="B474" s="42" t="str">
        <f>IFERROR(__xludf.DUMMYFUNCTION("""COMPUTED_VALUE"""),"Mohamad Ali Farhan")</f>
        <v>Mohamad Ali Farhan</v>
      </c>
      <c r="C474" s="42" t="str">
        <f>IFERROR(__xludf.DUMMYFUNCTION("""COMPUTED_VALUE"""),"Online")</f>
        <v>Online</v>
      </c>
      <c r="D474" s="42" t="str">
        <f>IFERROR(__xludf.DUMMYFUNCTION("""COMPUTED_VALUE"""),"Fullstack Web Developer")</f>
        <v>Fullstack Web Developer</v>
      </c>
      <c r="E474" s="42">
        <f>IFERROR(__xludf.DUMMYFUNCTION("""COMPUTED_VALUE"""),4.0)</f>
        <v>4</v>
      </c>
      <c r="F474" s="42">
        <f>IFERROR(__xludf.DUMMYFUNCTION("""COMPUTED_VALUE"""),1.0)</f>
        <v>1</v>
      </c>
      <c r="G474" s="42" t="str">
        <f>IFERROR(__xludf.DUMMYFUNCTION("""COMPUTED_VALUE"""),"ARKWH13")</f>
        <v>ARKWH13</v>
      </c>
      <c r="H474" s="42"/>
      <c r="I474" s="42" t="str">
        <f>IFERROR(__xludf.DUMMYFUNCTION("""COMPUTED_VALUE"""),"https://repl.it/join/dcieiwaa-alfahan  ||   https://repl.it/join/rboxesmq-alfahan")</f>
        <v>https://repl.it/join/dcieiwaa-alfahan  ||   https://repl.it/join/rboxesmq-alfahan</v>
      </c>
      <c r="J474" s="42"/>
      <c r="K474" s="42"/>
      <c r="L474" s="42"/>
      <c r="M474" s="42"/>
    </row>
    <row r="475">
      <c r="A475" s="43">
        <f>IFERROR(__xludf.DUMMYFUNCTION("""COMPUTED_VALUE"""),44125.645808761576)</f>
        <v>44125.64581</v>
      </c>
      <c r="B475" s="42" t="str">
        <f>IFERROR(__xludf.DUMMYFUNCTION("""COMPUTED_VALUE"""),"NAWIRUDIN")</f>
        <v>NAWIRUDIN</v>
      </c>
      <c r="C475" s="42" t="str">
        <f>IFERROR(__xludf.DUMMYFUNCTION("""COMPUTED_VALUE"""),"Online")</f>
        <v>Online</v>
      </c>
      <c r="D475" s="42" t="str">
        <f>IFERROR(__xludf.DUMMYFUNCTION("""COMPUTED_VALUE"""),"Fullstack Mobile Developer")</f>
        <v>Fullstack Mobile Developer</v>
      </c>
      <c r="E475" s="42">
        <f>IFERROR(__xludf.DUMMYFUNCTION("""COMPUTED_VALUE"""),17.0)</f>
        <v>17</v>
      </c>
      <c r="F475" s="42">
        <f>IFERROR(__xludf.DUMMYFUNCTION("""COMPUTED_VALUE"""),1.0)</f>
        <v>1</v>
      </c>
      <c r="G475" s="42" t="str">
        <f>IFERROR(__xludf.DUMMYFUNCTION("""COMPUTED_VALUE"""),"ARKWH13")</f>
        <v>ARKWH13</v>
      </c>
      <c r="H475" s="42"/>
      <c r="I475" s="46" t="str">
        <f>IFERROR(__xludf.DUMMYFUNCTION("""COMPUTED_VALUE"""),"https://playcode.io/695112")</f>
        <v>https://playcode.io/695112</v>
      </c>
      <c r="J475" s="42"/>
      <c r="K475" s="42"/>
      <c r="L475" s="42"/>
      <c r="M475" s="42"/>
    </row>
    <row r="476">
      <c r="A476" s="43">
        <f>IFERROR(__xludf.DUMMYFUNCTION("""COMPUTED_VALUE"""),44125.64586621527)</f>
        <v>44125.64587</v>
      </c>
      <c r="B476" s="42" t="str">
        <f>IFERROR(__xludf.DUMMYFUNCTION("""COMPUTED_VALUE"""),"Iqbal Setiawan")</f>
        <v>Iqbal Setiawan</v>
      </c>
      <c r="C476" s="42" t="str">
        <f>IFERROR(__xludf.DUMMYFUNCTION("""COMPUTED_VALUE"""),"Online")</f>
        <v>Online</v>
      </c>
      <c r="D476" s="42" t="str">
        <f>IFERROR(__xludf.DUMMYFUNCTION("""COMPUTED_VALUE"""),"Fullstack Web Developer")</f>
        <v>Fullstack Web Developer</v>
      </c>
      <c r="E476" s="42">
        <f>IFERROR(__xludf.DUMMYFUNCTION("""COMPUTED_VALUE"""),3.0)</f>
        <v>3</v>
      </c>
      <c r="F476" s="42">
        <f>IFERROR(__xludf.DUMMYFUNCTION("""COMPUTED_VALUE"""),1.0)</f>
        <v>1</v>
      </c>
      <c r="G476" s="42" t="str">
        <f>IFERROR(__xludf.DUMMYFUNCTION("""COMPUTED_VALUE"""),"ARKWH13")</f>
        <v>ARKWH13</v>
      </c>
      <c r="H476" s="42"/>
      <c r="I476" s="46" t="str">
        <f>IFERROR(__xludf.DUMMYFUNCTION("""COMPUTED_VALUE"""),"https://repl.it/@iqbalstwan/QuizwithGo#index.js")</f>
        <v>https://repl.it/@iqbalstwan/QuizwithGo#index.js</v>
      </c>
      <c r="J476" s="42"/>
      <c r="K476" s="42"/>
      <c r="L476" s="42">
        <f>IFERROR(__xludf.DUMMYFUNCTION("""COMPUTED_VALUE"""),1.8)</f>
        <v>1.8</v>
      </c>
      <c r="M476" s="42" t="str">
        <f>IFERROR(__xludf.DUMMYFUNCTION("""COMPUTED_VALUE"""),"ada beberapa kondisi yang belum lengkap di fungsi convert time misal jam diatas jam 24 masih isa dihitung")</f>
        <v>ada beberapa kondisi yang belum lengkap di fungsi convert time misal jam diatas jam 24 masih isa dihitung</v>
      </c>
    </row>
    <row r="477">
      <c r="A477" s="43">
        <f>IFERROR(__xludf.DUMMYFUNCTION("""COMPUTED_VALUE"""),44125.64588783565)</f>
        <v>44125.64589</v>
      </c>
      <c r="B477" s="42" t="str">
        <f>IFERROR(__xludf.DUMMYFUNCTION("""COMPUTED_VALUE"""),"Dhea Qonita")</f>
        <v>Dhea Qonita</v>
      </c>
      <c r="C477" s="42" t="str">
        <f>IFERROR(__xludf.DUMMYFUNCTION("""COMPUTED_VALUE"""),"Online")</f>
        <v>Online</v>
      </c>
      <c r="D477" s="42" t="str">
        <f>IFERROR(__xludf.DUMMYFUNCTION("""COMPUTED_VALUE"""),"Fullstack Web Developer")</f>
        <v>Fullstack Web Developer</v>
      </c>
      <c r="E477" s="42">
        <f>IFERROR(__xludf.DUMMYFUNCTION("""COMPUTED_VALUE"""),3.0)</f>
        <v>3</v>
      </c>
      <c r="F477" s="42">
        <f>IFERROR(__xludf.DUMMYFUNCTION("""COMPUTED_VALUE"""),1.0)</f>
        <v>1</v>
      </c>
      <c r="G477" s="42" t="str">
        <f>IFERROR(__xludf.DUMMYFUNCTION("""COMPUTED_VALUE"""),"ARKWH13")</f>
        <v>ARKWH13</v>
      </c>
      <c r="H477" s="42"/>
      <c r="I477" s="46" t="str">
        <f>IFERROR(__xludf.DUMMYFUNCTION("""COMPUTED_VALUE"""),"https://playcode.io/695138")</f>
        <v>https://playcode.io/695138</v>
      </c>
      <c r="J477" s="42"/>
      <c r="K477" s="42"/>
      <c r="L477" s="42">
        <f>IFERROR(__xludf.DUMMYFUNCTION("""COMPUTED_VALUE"""),1.0)</f>
        <v>1</v>
      </c>
      <c r="M477" s="42" t="str">
        <f>IFERROR(__xludf.DUMMYFUNCTION("""COMPUTED_VALUE"""),"untuk yang fungsi faktorial sudah good, untuk time convert blm diselesaikan")</f>
        <v>untuk yang fungsi faktorial sudah good, untuk time convert blm diselesaikan</v>
      </c>
    </row>
    <row r="478">
      <c r="A478" s="43">
        <f>IFERROR(__xludf.DUMMYFUNCTION("""COMPUTED_VALUE"""),44125.64591918982)</f>
        <v>44125.64592</v>
      </c>
      <c r="B478" s="42" t="str">
        <f>IFERROR(__xludf.DUMMYFUNCTION("""COMPUTED_VALUE"""),"Arqi Alfaritsi")</f>
        <v>Arqi Alfaritsi</v>
      </c>
      <c r="C478" s="42" t="str">
        <f>IFERROR(__xludf.DUMMYFUNCTION("""COMPUTED_VALUE"""),"Online")</f>
        <v>Online</v>
      </c>
      <c r="D478" s="42" t="str">
        <f>IFERROR(__xludf.DUMMYFUNCTION("""COMPUTED_VALUE"""),"Fullstack Web Developer")</f>
        <v>Fullstack Web Developer</v>
      </c>
      <c r="E478" s="42">
        <f>IFERROR(__xludf.DUMMYFUNCTION("""COMPUTED_VALUE"""),3.0)</f>
        <v>3</v>
      </c>
      <c r="F478" s="42">
        <f>IFERROR(__xludf.DUMMYFUNCTION("""COMPUTED_VALUE"""),1.0)</f>
        <v>1</v>
      </c>
      <c r="G478" s="42" t="str">
        <f>IFERROR(__xludf.DUMMYFUNCTION("""COMPUTED_VALUE"""),"ARKWH13")</f>
        <v>ARKWH13</v>
      </c>
      <c r="H478" s="42"/>
      <c r="I478" s="46" t="str">
        <f>IFERROR(__xludf.DUMMYFUNCTION("""COMPUTED_VALUE"""),"https://repl.it/@ArqiAlfaritsi/AuthorizedYearlyChapter#index.js")</f>
        <v>https://repl.it/@ArqiAlfaritsi/AuthorizedYearlyChapter#index.js</v>
      </c>
      <c r="J478" s="42"/>
      <c r="K478" s="42"/>
      <c r="L478" s="42"/>
      <c r="M478" s="42"/>
    </row>
    <row r="479">
      <c r="A479" s="43">
        <f>IFERROR(__xludf.DUMMYFUNCTION("""COMPUTED_VALUE"""),44125.64598221065)</f>
        <v>44125.64598</v>
      </c>
      <c r="B479" s="42" t="str">
        <f>IFERROR(__xludf.DUMMYFUNCTION("""COMPUTED_VALUE"""),"Muhammad Faishal")</f>
        <v>Muhammad Faishal</v>
      </c>
      <c r="C479" s="42" t="str">
        <f>IFERROR(__xludf.DUMMYFUNCTION("""COMPUTED_VALUE"""),"Online")</f>
        <v>Online</v>
      </c>
      <c r="D479" s="42" t="str">
        <f>IFERROR(__xludf.DUMMYFUNCTION("""COMPUTED_VALUE"""),"Fullstack Web Developer")</f>
        <v>Fullstack Web Developer</v>
      </c>
      <c r="E479" s="42">
        <f>IFERROR(__xludf.DUMMYFUNCTION("""COMPUTED_VALUE"""),3.0)</f>
        <v>3</v>
      </c>
      <c r="F479" s="42">
        <f>IFERROR(__xludf.DUMMYFUNCTION("""COMPUTED_VALUE"""),1.0)</f>
        <v>1</v>
      </c>
      <c r="G479" s="42" t="str">
        <f>IFERROR(__xludf.DUMMYFUNCTION("""COMPUTED_VALUE"""),"ARKWH13")</f>
        <v>ARKWH13</v>
      </c>
      <c r="H479" s="42"/>
      <c r="I479" s="46" t="str">
        <f>IFERROR(__xludf.DUMMYFUNCTION("""COMPUTED_VALUE"""),"https://repl.it/join/jakvifnm-faishalrmdhn")</f>
        <v>https://repl.it/join/jakvifnm-faishalrmdhn</v>
      </c>
      <c r="J479" s="42"/>
      <c r="K479" s="42"/>
      <c r="L479" s="42">
        <f>IFERROR(__xludf.DUMMYFUNCTION("""COMPUTED_VALUE"""),1.0)</f>
        <v>1</v>
      </c>
      <c r="M479" s="42" t="str">
        <f>IFERROR(__xludf.DUMMYFUNCTION("""COMPUTED_VALUE"""),"untuk yang fungsi faktorial sudah good, untuk time convert blm diselesaikan")</f>
        <v>untuk yang fungsi faktorial sudah good, untuk time convert blm diselesaikan</v>
      </c>
    </row>
    <row r="480">
      <c r="A480" s="43">
        <f>IFERROR(__xludf.DUMMYFUNCTION("""COMPUTED_VALUE"""),44125.64598983796)</f>
        <v>44125.64599</v>
      </c>
      <c r="B480" s="42" t="str">
        <f>IFERROR(__xludf.DUMMYFUNCTION("""COMPUTED_VALUE"""),"Ahmad Zaky")</f>
        <v>Ahmad Zaky</v>
      </c>
      <c r="C480" s="42" t="str">
        <f>IFERROR(__xludf.DUMMYFUNCTION("""COMPUTED_VALUE"""),"Online")</f>
        <v>Online</v>
      </c>
      <c r="D480" s="42" t="str">
        <f>IFERROR(__xludf.DUMMYFUNCTION("""COMPUTED_VALUE"""),"Fullstack Mobile Developer")</f>
        <v>Fullstack Mobile Developer</v>
      </c>
      <c r="E480" s="42">
        <f>IFERROR(__xludf.DUMMYFUNCTION("""COMPUTED_VALUE"""),17.0)</f>
        <v>17</v>
      </c>
      <c r="F480" s="42">
        <f>IFERROR(__xludf.DUMMYFUNCTION("""COMPUTED_VALUE"""),1.0)</f>
        <v>1</v>
      </c>
      <c r="G480" s="42" t="str">
        <f>IFERROR(__xludf.DUMMYFUNCTION("""COMPUTED_VALUE"""),"ARKWH13")</f>
        <v>ARKWH13</v>
      </c>
      <c r="H480" s="42"/>
      <c r="I480" s="46" t="str">
        <f>IFERROR(__xludf.DUMMYFUNCTION("""COMPUTED_VALUE"""),"http://playcode.io/695133/")</f>
        <v>http://playcode.io/695133/</v>
      </c>
      <c r="J480" s="42"/>
      <c r="K480" s="42"/>
      <c r="L480" s="42"/>
      <c r="M480" s="42"/>
    </row>
    <row r="481">
      <c r="A481" s="43">
        <f>IFERROR(__xludf.DUMMYFUNCTION("""COMPUTED_VALUE"""),44125.645994375)</f>
        <v>44125.64599</v>
      </c>
      <c r="B481" s="42" t="str">
        <f>IFERROR(__xludf.DUMMYFUNCTION("""COMPUTED_VALUE"""),"Solehudin")</f>
        <v>Solehudin</v>
      </c>
      <c r="C481" s="42" t="str">
        <f>IFERROR(__xludf.DUMMYFUNCTION("""COMPUTED_VALUE"""),"Online")</f>
        <v>Online</v>
      </c>
      <c r="D481" s="42" t="str">
        <f>IFERROR(__xludf.DUMMYFUNCTION("""COMPUTED_VALUE"""),"Fullstack Mobile Developer")</f>
        <v>Fullstack Mobile Developer</v>
      </c>
      <c r="E481" s="42">
        <f>IFERROR(__xludf.DUMMYFUNCTION("""COMPUTED_VALUE"""),17.0)</f>
        <v>17</v>
      </c>
      <c r="F481" s="42">
        <f>IFERROR(__xludf.DUMMYFUNCTION("""COMPUTED_VALUE"""),1.0)</f>
        <v>1</v>
      </c>
      <c r="G481" s="42" t="str">
        <f>IFERROR(__xludf.DUMMYFUNCTION("""COMPUTED_VALUE"""),"ARKWH13")</f>
        <v>ARKWH13</v>
      </c>
      <c r="H481" s="42"/>
      <c r="I481" s="42" t="str">
        <f>IFERROR(__xludf.DUMMYFUNCTION("""COMPUTED_VALUE"""),"https://playcode.io/695125 ;  https://playcode.io/695141")</f>
        <v>https://playcode.io/695125 ;  https://playcode.io/695141</v>
      </c>
      <c r="J481" s="42"/>
      <c r="K481" s="42"/>
      <c r="L481" s="42"/>
      <c r="M481" s="42"/>
    </row>
    <row r="482">
      <c r="A482" s="43">
        <f>IFERROR(__xludf.DUMMYFUNCTION("""COMPUTED_VALUE"""),44125.646077094905)</f>
        <v>44125.64608</v>
      </c>
      <c r="B482" s="42" t="str">
        <f>IFERROR(__xludf.DUMMYFUNCTION("""COMPUTED_VALUE"""),"Arif Rahman")</f>
        <v>Arif Rahman</v>
      </c>
      <c r="C482" s="42" t="str">
        <f>IFERROR(__xludf.DUMMYFUNCTION("""COMPUTED_VALUE"""),"Online")</f>
        <v>Online</v>
      </c>
      <c r="D482" s="42" t="str">
        <f>IFERROR(__xludf.DUMMYFUNCTION("""COMPUTED_VALUE"""),"Fullstack Web Developer")</f>
        <v>Fullstack Web Developer</v>
      </c>
      <c r="E482" s="42">
        <f>IFERROR(__xludf.DUMMYFUNCTION("""COMPUTED_VALUE"""),3.0)</f>
        <v>3</v>
      </c>
      <c r="F482" s="42">
        <f>IFERROR(__xludf.DUMMYFUNCTION("""COMPUTED_VALUE"""),1.0)</f>
        <v>1</v>
      </c>
      <c r="G482" s="42" t="str">
        <f>IFERROR(__xludf.DUMMYFUNCTION("""COMPUTED_VALUE"""),"ARKWH13")</f>
        <v>ARKWH13</v>
      </c>
      <c r="H482" s="42"/>
      <c r="I482" s="46" t="str">
        <f>IFERROR(__xludf.DUMMYFUNCTION("""COMPUTED_VALUE"""),"https://repl.it/join/lqwdcqxy-arifrahman6")</f>
        <v>https://repl.it/join/lqwdcqxy-arifrahman6</v>
      </c>
      <c r="J482" s="42"/>
      <c r="K482" s="42"/>
      <c r="L482" s="42">
        <f>IFERROR(__xludf.DUMMYFUNCTION("""COMPUTED_VALUE"""),1.7)</f>
        <v>1.7</v>
      </c>
      <c r="M482" s="42" t="str">
        <f>IFERROR(__xludf.DUMMYFUNCTION("""COMPUTED_VALUE"""),"fungsi faktorial sudah bagus, untuk convert time ketika pada keterangan pm jika diinputkan angka &gt; 12 masih format salah, hrsnya bsa ditampilkan")</f>
        <v>fungsi faktorial sudah bagus, untuk convert time ketika pada keterangan pm jika diinputkan angka &gt; 12 masih format salah, hrsnya bsa ditampilkan</v>
      </c>
    </row>
    <row r="483">
      <c r="A483" s="43">
        <f>IFERROR(__xludf.DUMMYFUNCTION("""COMPUTED_VALUE"""),44125.64617445602)</f>
        <v>44125.64617</v>
      </c>
      <c r="B483" s="42" t="str">
        <f>IFERROR(__xludf.DUMMYFUNCTION("""COMPUTED_VALUE"""),"Muzmi Ulya")</f>
        <v>Muzmi Ulya</v>
      </c>
      <c r="C483" s="42" t="str">
        <f>IFERROR(__xludf.DUMMYFUNCTION("""COMPUTED_VALUE"""),"Online")</f>
        <v>Online</v>
      </c>
      <c r="D483" s="42" t="str">
        <f>IFERROR(__xludf.DUMMYFUNCTION("""COMPUTED_VALUE"""),"Fullstack Web Developer")</f>
        <v>Fullstack Web Developer</v>
      </c>
      <c r="E483" s="42">
        <f>IFERROR(__xludf.DUMMYFUNCTION("""COMPUTED_VALUE"""),3.0)</f>
        <v>3</v>
      </c>
      <c r="F483" s="42">
        <f>IFERROR(__xludf.DUMMYFUNCTION("""COMPUTED_VALUE"""),1.0)</f>
        <v>1</v>
      </c>
      <c r="G483" s="42" t="str">
        <f>IFERROR(__xludf.DUMMYFUNCTION("""COMPUTED_VALUE"""),"ARKWH13")</f>
        <v>ARKWH13</v>
      </c>
      <c r="H483" s="42"/>
      <c r="I483" s="46" t="str">
        <f>IFERROR(__xludf.DUMMYFUNCTION("""COMPUTED_VALUE"""),"https://repl.it/@muzmi1234/quizz-logic#index.js")</f>
        <v>https://repl.it/@muzmi1234/quizz-logic#index.js</v>
      </c>
      <c r="J483" s="42"/>
      <c r="K483" s="42"/>
      <c r="L483" s="42">
        <f>IFERROR(__xludf.DUMMYFUNCTION("""COMPUTED_VALUE"""),1.0)</f>
        <v>1</v>
      </c>
      <c r="M483" s="42" t="str">
        <f>IFERROR(__xludf.DUMMYFUNCTION("""COMPUTED_VALUE"""),"mungkin bsa di perjelas lagi untuk hasil return yang ada di fungsi time convert, untuk faktorial blm diselesaikan")</f>
        <v>mungkin bsa di perjelas lagi untuk hasil return yang ada di fungsi time convert, untuk faktorial blm diselesaikan</v>
      </c>
    </row>
    <row r="484">
      <c r="A484" s="43">
        <f>IFERROR(__xludf.DUMMYFUNCTION("""COMPUTED_VALUE"""),44125.646490127314)</f>
        <v>44125.64649</v>
      </c>
      <c r="B484" s="42" t="str">
        <f>IFERROR(__xludf.DUMMYFUNCTION("""COMPUTED_VALUE"""),"Arqi Alfaritsi")</f>
        <v>Arqi Alfaritsi</v>
      </c>
      <c r="C484" s="42" t="str">
        <f>IFERROR(__xludf.DUMMYFUNCTION("""COMPUTED_VALUE"""),"Online")</f>
        <v>Online</v>
      </c>
      <c r="D484" s="42" t="str">
        <f>IFERROR(__xludf.DUMMYFUNCTION("""COMPUTED_VALUE"""),"Fullstack Web Developer")</f>
        <v>Fullstack Web Developer</v>
      </c>
      <c r="E484" s="42">
        <f>IFERROR(__xludf.DUMMYFUNCTION("""COMPUTED_VALUE"""),3.0)</f>
        <v>3</v>
      </c>
      <c r="F484" s="42">
        <f>IFERROR(__xludf.DUMMYFUNCTION("""COMPUTED_VALUE"""),1.0)</f>
        <v>1</v>
      </c>
      <c r="G484" s="42" t="str">
        <f>IFERROR(__xludf.DUMMYFUNCTION("""COMPUTED_VALUE"""),"ARKWH13")</f>
        <v>ARKWH13</v>
      </c>
      <c r="H484" s="42"/>
      <c r="I484" s="46" t="str">
        <f>IFERROR(__xludf.DUMMYFUNCTION("""COMPUTED_VALUE"""),"https://repl.it/join/fbbhdmpx-arqialfaritsi")</f>
        <v>https://repl.it/join/fbbhdmpx-arqialfaritsi</v>
      </c>
      <c r="J484" s="42"/>
      <c r="K484" s="42"/>
      <c r="L484" s="42">
        <f>IFERROR(__xludf.DUMMYFUNCTION("""COMPUTED_VALUE"""),1.8)</f>
        <v>1.8</v>
      </c>
      <c r="M484" s="42" t="str">
        <f>IFERROR(__xludf.DUMMYFUNCTION("""COMPUTED_VALUE"""),"untuk faktorial sudah bagus, untuk fungsi time convert msh blm sempurna karena ada kondisi yang blm terhandle seperti jika dituliskan jam lebih dari 24")</f>
        <v>untuk faktorial sudah bagus, untuk fungsi time convert msh blm sempurna karena ada kondisi yang blm terhandle seperti jika dituliskan jam lebih dari 24</v>
      </c>
    </row>
    <row r="485">
      <c r="A485" s="43">
        <f>IFERROR(__xludf.DUMMYFUNCTION("""COMPUTED_VALUE"""),44125.64649372685)</f>
        <v>44125.64649</v>
      </c>
      <c r="B485" s="42" t="str">
        <f>IFERROR(__xludf.DUMMYFUNCTION("""COMPUTED_VALUE"""),"Arizal")</f>
        <v>Arizal</v>
      </c>
      <c r="C485" s="42" t="str">
        <f>IFERROR(__xludf.DUMMYFUNCTION("""COMPUTED_VALUE"""),"Online")</f>
        <v>Online</v>
      </c>
      <c r="D485" s="42" t="str">
        <f>IFERROR(__xludf.DUMMYFUNCTION("""COMPUTED_VALUE"""),"Fullstack Web Developer")</f>
        <v>Fullstack Web Developer</v>
      </c>
      <c r="E485" s="42">
        <f>IFERROR(__xludf.DUMMYFUNCTION("""COMPUTED_VALUE"""),3.0)</f>
        <v>3</v>
      </c>
      <c r="F485" s="42">
        <f>IFERROR(__xludf.DUMMYFUNCTION("""COMPUTED_VALUE"""),1.0)</f>
        <v>1</v>
      </c>
      <c r="G485" s="42" t="str">
        <f>IFERROR(__xludf.DUMMYFUNCTION("""COMPUTED_VALUE"""),"ARKWH13")</f>
        <v>ARKWH13</v>
      </c>
      <c r="H485" s="42"/>
      <c r="I485" s="46" t="str">
        <f>IFERROR(__xludf.DUMMYFUNCTION("""COMPUTED_VALUE"""),"https://repl.it/repls/BothExpertOutliers#index.js")</f>
        <v>https://repl.it/repls/BothExpertOutliers#index.js</v>
      </c>
      <c r="J485" s="42"/>
      <c r="K485" s="42"/>
      <c r="L485" s="42">
        <f>IFERROR(__xludf.DUMMYFUNCTION("""COMPUTED_VALUE"""),1.8)</f>
        <v>1.8</v>
      </c>
      <c r="M485" s="42" t="str">
        <f>IFERROR(__xludf.DUMMYFUNCTION("""COMPUTED_VALUE"""),"fungsi faktorial sudah bagus, untuk convert time masih kurang kondisi jika nila keterangannya itu pm dan jika diinputkan jam &gt; 24 masih terjumlah")</f>
        <v>fungsi faktorial sudah bagus, untuk convert time masih kurang kondisi jika nila keterangannya itu pm dan jika diinputkan jam &gt; 24 masih terjumlah</v>
      </c>
    </row>
    <row r="486">
      <c r="A486" s="43">
        <f>IFERROR(__xludf.DUMMYFUNCTION("""COMPUTED_VALUE"""),44125.646511087965)</f>
        <v>44125.64651</v>
      </c>
      <c r="B486" s="42" t="str">
        <f>IFERROR(__xludf.DUMMYFUNCTION("""COMPUTED_VALUE"""),"Dewondo Friemorn")</f>
        <v>Dewondo Friemorn</v>
      </c>
      <c r="C486" s="42" t="str">
        <f>IFERROR(__xludf.DUMMYFUNCTION("""COMPUTED_VALUE"""),"Online")</f>
        <v>Online</v>
      </c>
      <c r="D486" s="42" t="str">
        <f>IFERROR(__xludf.DUMMYFUNCTION("""COMPUTED_VALUE"""),"Fullstack Web Developer")</f>
        <v>Fullstack Web Developer</v>
      </c>
      <c r="E486" s="42">
        <f>IFERROR(__xludf.DUMMYFUNCTION("""COMPUTED_VALUE"""),2.0)</f>
        <v>2</v>
      </c>
      <c r="F486" s="42">
        <f>IFERROR(__xludf.DUMMYFUNCTION("""COMPUTED_VALUE"""),1.0)</f>
        <v>1</v>
      </c>
      <c r="G486" s="42" t="str">
        <f>IFERROR(__xludf.DUMMYFUNCTION("""COMPUTED_VALUE"""),"ARKWH13")</f>
        <v>ARKWH13</v>
      </c>
      <c r="H486" s="42"/>
      <c r="I486" s="46" t="str">
        <f>IFERROR(__xludf.DUMMYFUNCTION("""COMPUTED_VALUE"""),"https://repl.it/@Friemorn/TimeAndFactorial#index.js")</f>
        <v>https://repl.it/@Friemorn/TimeAndFactorial#index.js</v>
      </c>
      <c r="J486" s="42"/>
      <c r="K486" s="42"/>
      <c r="L486" s="42"/>
      <c r="M486" s="42"/>
    </row>
    <row r="487">
      <c r="A487" s="43">
        <f>IFERROR(__xludf.DUMMYFUNCTION("""COMPUTED_VALUE"""),44125.6472537963)</f>
        <v>44125.64725</v>
      </c>
      <c r="B487" s="42" t="str">
        <f>IFERROR(__xludf.DUMMYFUNCTION("""COMPUTED_VALUE"""),"Galuh Prahadi")</f>
        <v>Galuh Prahadi</v>
      </c>
      <c r="C487" s="42" t="str">
        <f>IFERROR(__xludf.DUMMYFUNCTION("""COMPUTED_VALUE"""),"Online")</f>
        <v>Online</v>
      </c>
      <c r="D487" s="42" t="str">
        <f>IFERROR(__xludf.DUMMYFUNCTION("""COMPUTED_VALUE"""),"Fullstack Web Developer")</f>
        <v>Fullstack Web Developer</v>
      </c>
      <c r="E487" s="42">
        <f>IFERROR(__xludf.DUMMYFUNCTION("""COMPUTED_VALUE"""),3.0)</f>
        <v>3</v>
      </c>
      <c r="F487" s="42">
        <f>IFERROR(__xludf.DUMMYFUNCTION("""COMPUTED_VALUE"""),1.0)</f>
        <v>1</v>
      </c>
      <c r="G487" s="42" t="str">
        <f>IFERROR(__xludf.DUMMYFUNCTION("""COMPUTED_VALUE"""),"ARKWH13")</f>
        <v>ARKWH13</v>
      </c>
      <c r="H487" s="42"/>
      <c r="I487" s="46" t="str">
        <f>IFERROR(__xludf.DUMMYFUNCTION("""COMPUTED_VALUE"""),"https://repl.it/join/pahkkbba-galuhprahadi96")</f>
        <v>https://repl.it/join/pahkkbba-galuhprahadi96</v>
      </c>
      <c r="J487" s="42"/>
      <c r="K487" s="42"/>
      <c r="L487" s="42">
        <f>IFERROR(__xludf.DUMMYFUNCTION("""COMPUTED_VALUE"""),1.0)</f>
        <v>1</v>
      </c>
      <c r="M487" s="42" t="str">
        <f>IFERROR(__xludf.DUMMYFUNCTION("""COMPUTED_VALUE"""),"fungsi faktorial sudah bagus, fungsi time convert blm di selesaikan")</f>
        <v>fungsi faktorial sudah bagus, fungsi time convert blm di selesaikan</v>
      </c>
    </row>
    <row r="488">
      <c r="A488" s="43">
        <f>IFERROR(__xludf.DUMMYFUNCTION("""COMPUTED_VALUE"""),44125.6472959838)</f>
        <v>44125.6473</v>
      </c>
      <c r="B488" s="42" t="str">
        <f>IFERROR(__xludf.DUMMYFUNCTION("""COMPUTED_VALUE"""),"Muhammad Nur Hidayat")</f>
        <v>Muhammad Nur Hidayat</v>
      </c>
      <c r="C488" s="42" t="str">
        <f>IFERROR(__xludf.DUMMYFUNCTION("""COMPUTED_VALUE"""),"Online")</f>
        <v>Online</v>
      </c>
      <c r="D488" s="42" t="str">
        <f>IFERROR(__xludf.DUMMYFUNCTION("""COMPUTED_VALUE"""),"Fullstack Web Developer")</f>
        <v>Fullstack Web Developer</v>
      </c>
      <c r="E488" s="42">
        <f>IFERROR(__xludf.DUMMYFUNCTION("""COMPUTED_VALUE"""),3.0)</f>
        <v>3</v>
      </c>
      <c r="F488" s="42">
        <f>IFERROR(__xludf.DUMMYFUNCTION("""COMPUTED_VALUE"""),1.0)</f>
        <v>1</v>
      </c>
      <c r="G488" s="42" t="str">
        <f>IFERROR(__xludf.DUMMYFUNCTION("""COMPUTED_VALUE"""),"ARKWH13")</f>
        <v>ARKWH13</v>
      </c>
      <c r="H488" s="42"/>
      <c r="I488" s="46" t="str">
        <f>IFERROR(__xludf.DUMMYFUNCTION("""COMPUTED_VALUE"""),"https://repl.it/@nurhiday/quiz13")</f>
        <v>https://repl.it/@nurhiday/quiz13</v>
      </c>
      <c r="J488" s="42"/>
      <c r="K488" s="42"/>
      <c r="L488" s="42">
        <f>IFERROR(__xludf.DUMMYFUNCTION("""COMPUTED_VALUE"""),1.8)</f>
        <v>1.8</v>
      </c>
      <c r="M488" s="42" t="str">
        <f>IFERROR(__xludf.DUMMYFUNCTION("""COMPUTED_VALUE"""),"hasil faktorial berbeda kemungkinan untuk rumusnya masih blm sempurna, untuk fungsi convert time kurang kondisi jika keterangannya itu pm dan diinputkan jamnya 24 tidak bsa terhitung / format salah")</f>
        <v>hasil faktorial berbeda kemungkinan untuk rumusnya masih blm sempurna, untuk fungsi convert time kurang kondisi jika keterangannya itu pm dan diinputkan jamnya 24 tidak bsa terhitung / format salah</v>
      </c>
    </row>
    <row r="489">
      <c r="A489" s="43">
        <f>IFERROR(__xludf.DUMMYFUNCTION("""COMPUTED_VALUE"""),44125.64737140047)</f>
        <v>44125.64737</v>
      </c>
      <c r="B489" s="42" t="str">
        <f>IFERROR(__xludf.DUMMYFUNCTION("""COMPUTED_VALUE"""),"Kemal Reza")</f>
        <v>Kemal Reza</v>
      </c>
      <c r="C489" s="42" t="str">
        <f>IFERROR(__xludf.DUMMYFUNCTION("""COMPUTED_VALUE"""),"Online")</f>
        <v>Online</v>
      </c>
      <c r="D489" s="42" t="str">
        <f>IFERROR(__xludf.DUMMYFUNCTION("""COMPUTED_VALUE"""),"Fullstack Web Developer")</f>
        <v>Fullstack Web Developer</v>
      </c>
      <c r="E489" s="42">
        <f>IFERROR(__xludf.DUMMYFUNCTION("""COMPUTED_VALUE"""),2.0)</f>
        <v>2</v>
      </c>
      <c r="F489" s="42">
        <f>IFERROR(__xludf.DUMMYFUNCTION("""COMPUTED_VALUE"""),1.0)</f>
        <v>1</v>
      </c>
      <c r="G489" s="42" t="str">
        <f>IFERROR(__xludf.DUMMYFUNCTION("""COMPUTED_VALUE"""),"ARKWH13")</f>
        <v>ARKWH13</v>
      </c>
      <c r="H489" s="42"/>
      <c r="I489" s="46" t="str">
        <f>IFERROR(__xludf.DUMMYFUNCTION("""COMPUTED_VALUE"""),"https://repl.it/@kemalreza/ExtraLongFactorials")</f>
        <v>https://repl.it/@kemalreza/ExtraLongFactorials</v>
      </c>
      <c r="J489" s="42"/>
      <c r="K489" s="42"/>
      <c r="L489" s="42"/>
      <c r="M489" s="42"/>
    </row>
    <row r="490">
      <c r="A490" s="43">
        <f>IFERROR(__xludf.DUMMYFUNCTION("""COMPUTED_VALUE"""),44125.64739182871)</f>
        <v>44125.64739</v>
      </c>
      <c r="B490" s="42" t="str">
        <f>IFERROR(__xludf.DUMMYFUNCTION("""COMPUTED_VALUE"""),"Dimas Prayoga")</f>
        <v>Dimas Prayoga</v>
      </c>
      <c r="C490" s="42" t="str">
        <f>IFERROR(__xludf.DUMMYFUNCTION("""COMPUTED_VALUE"""),"Online")</f>
        <v>Online</v>
      </c>
      <c r="D490" s="42" t="str">
        <f>IFERROR(__xludf.DUMMYFUNCTION("""COMPUTED_VALUE"""),"Fullstack Web Developer")</f>
        <v>Fullstack Web Developer</v>
      </c>
      <c r="E490" s="42">
        <f>IFERROR(__xludf.DUMMYFUNCTION("""COMPUTED_VALUE"""),3.0)</f>
        <v>3</v>
      </c>
      <c r="F490" s="42">
        <f>IFERROR(__xludf.DUMMYFUNCTION("""COMPUTED_VALUE"""),1.0)</f>
        <v>1</v>
      </c>
      <c r="G490" s="42" t="str">
        <f>IFERROR(__xludf.DUMMYFUNCTION("""COMPUTED_VALUE"""),"ARKWH13")</f>
        <v>ARKWH13</v>
      </c>
      <c r="H490" s="42"/>
      <c r="I490" s="46" t="str">
        <f>IFERROR(__xludf.DUMMYFUNCTION("""COMPUTED_VALUE"""),"https://playcode.io/695119/
")</f>
        <v>https://playcode.io/695119/
</v>
      </c>
      <c r="J490" s="42"/>
      <c r="K490" s="42"/>
      <c r="L490" s="42">
        <f>IFERROR(__xludf.DUMMYFUNCTION("""COMPUTED_VALUE"""),0.5)</f>
        <v>0.5</v>
      </c>
      <c r="M490" s="42" t="str">
        <f>IFERROR(__xludf.DUMMYFUNCTION("""COMPUTED_VALUE"""),"masih belum sama untuk fungsi yang ada di soal")</f>
        <v>masih belum sama untuk fungsi yang ada di soal</v>
      </c>
    </row>
    <row r="491">
      <c r="A491" s="43">
        <f>IFERROR(__xludf.DUMMYFUNCTION("""COMPUTED_VALUE"""),44125.64782863426)</f>
        <v>44125.64783</v>
      </c>
      <c r="B491" s="42" t="str">
        <f>IFERROR(__xludf.DUMMYFUNCTION("""COMPUTED_VALUE"""),"Galuh Prahadi")</f>
        <v>Galuh Prahadi</v>
      </c>
      <c r="C491" s="42" t="str">
        <f>IFERROR(__xludf.DUMMYFUNCTION("""COMPUTED_VALUE"""),"Online")</f>
        <v>Online</v>
      </c>
      <c r="D491" s="42" t="str">
        <f>IFERROR(__xludf.DUMMYFUNCTION("""COMPUTED_VALUE"""),"Fullstack Web Developer")</f>
        <v>Fullstack Web Developer</v>
      </c>
      <c r="E491" s="42">
        <f>IFERROR(__xludf.DUMMYFUNCTION("""COMPUTED_VALUE"""),3.0)</f>
        <v>3</v>
      </c>
      <c r="F491" s="42">
        <f>IFERROR(__xludf.DUMMYFUNCTION("""COMPUTED_VALUE"""),1.0)</f>
        <v>1</v>
      </c>
      <c r="G491" s="42" t="str">
        <f>IFERROR(__xludf.DUMMYFUNCTION("""COMPUTED_VALUE"""),"ARKWH13")</f>
        <v>ARKWH13</v>
      </c>
      <c r="H491" s="42"/>
      <c r="I491" s="46" t="str">
        <f>IFERROR(__xludf.DUMMYFUNCTION("""COMPUTED_VALUE"""),"https://repl.it/@galuhprahadi96/quiz")</f>
        <v>https://repl.it/@galuhprahadi96/quiz</v>
      </c>
      <c r="J491" s="42"/>
      <c r="K491" s="42"/>
      <c r="L491" s="42"/>
      <c r="M491" s="42"/>
    </row>
    <row r="492">
      <c r="A492" s="43">
        <f>IFERROR(__xludf.DUMMYFUNCTION("""COMPUTED_VALUE"""),44125.64866212963)</f>
        <v>44125.64866</v>
      </c>
      <c r="B492" s="42" t="str">
        <f>IFERROR(__xludf.DUMMYFUNCTION("""COMPUTED_VALUE"""),"Gusti Amelia")</f>
        <v>Gusti Amelia</v>
      </c>
      <c r="C492" s="42" t="str">
        <f>IFERROR(__xludf.DUMMYFUNCTION("""COMPUTED_VALUE"""),"Online")</f>
        <v>Online</v>
      </c>
      <c r="D492" s="42" t="str">
        <f>IFERROR(__xludf.DUMMYFUNCTION("""COMPUTED_VALUE"""),"Fullstack Mobile Developer")</f>
        <v>Fullstack Mobile Developer</v>
      </c>
      <c r="E492" s="42">
        <f>IFERROR(__xludf.DUMMYFUNCTION("""COMPUTED_VALUE"""),17.0)</f>
        <v>17</v>
      </c>
      <c r="F492" s="42">
        <f>IFERROR(__xludf.DUMMYFUNCTION("""COMPUTED_VALUE"""),1.0)</f>
        <v>1</v>
      </c>
      <c r="G492" s="42" t="str">
        <f>IFERROR(__xludf.DUMMYFUNCTION("""COMPUTED_VALUE"""),"ARKWH13")</f>
        <v>ARKWH13</v>
      </c>
      <c r="H492" s="42"/>
      <c r="I492" s="42" t="str">
        <f>IFERROR(__xludf.DUMMYFUNCTION("""COMPUTED_VALUE"""),"https://repl.it/@GustiAmelia/extraLongFactorial
dan
https://repl.it/@GustiAmelia/timeConvertion")</f>
        <v>https://repl.it/@GustiAmelia/extraLongFactorial
dan
https://repl.it/@GustiAmelia/timeConvertion</v>
      </c>
      <c r="J492" s="42"/>
      <c r="K492" s="42"/>
      <c r="L492" s="42"/>
      <c r="M492" s="42"/>
    </row>
    <row r="493">
      <c r="A493" s="43">
        <f>IFERROR(__xludf.DUMMYFUNCTION("""COMPUTED_VALUE"""),44125.65638513889)</f>
        <v>44125.65639</v>
      </c>
      <c r="B493" s="42" t="str">
        <f>IFERROR(__xludf.DUMMYFUNCTION("""COMPUTED_VALUE"""),"muhamad riko arafi")</f>
        <v>muhamad riko arafi</v>
      </c>
      <c r="C493" s="42" t="str">
        <f>IFERROR(__xludf.DUMMYFUNCTION("""COMPUTED_VALUE"""),"Online")</f>
        <v>Online</v>
      </c>
      <c r="D493" s="42" t="str">
        <f>IFERROR(__xludf.DUMMYFUNCTION("""COMPUTED_VALUE"""),"Fullstack Web Developer")</f>
        <v>Fullstack Web Developer</v>
      </c>
      <c r="E493" s="42">
        <f>IFERROR(__xludf.DUMMYFUNCTION("""COMPUTED_VALUE"""),4.0)</f>
        <v>4</v>
      </c>
      <c r="F493" s="42">
        <f>IFERROR(__xludf.DUMMYFUNCTION("""COMPUTED_VALUE"""),7.0)</f>
        <v>7</v>
      </c>
      <c r="G493" s="42" t="str">
        <f>IFERROR(__xludf.DUMMYFUNCTION("""COMPUTED_VALUE"""),"ARKWH13")</f>
        <v>ARKWH13</v>
      </c>
      <c r="H493" s="42"/>
      <c r="I493" s="42" t="str">
        <f>IFERROR(__xludf.DUMMYFUNCTION("""COMPUTED_VALUE"""),"const timeConversion = (x) =&gt; {
  const [waktu, ganti] = x.split(' ');
  let [jam, menit,detik] = waktu.split(':');
  if (jam === '12') {
    jam = '00';
  }
  if (ganti === 'PM') {
    jam = parseInt(jam, 10) + 12;
  }
  return `${jam}:${menit}:${det"&amp;"ik}`;
}
timeConversion(""07:05:45 PM"");")</f>
        <v>const timeConversion = (x) =&gt; {
  const [waktu, ganti] = x.split(' ');
  let [jam, menit,detik] = waktu.split(':');
  if (jam === '12') {
    jam = '00';
  }
  if (ganti === 'PM') {
    jam = parseInt(jam, 10) + 12;
  }
  return `${jam}:${menit}:${detik}`;
}
timeConversion("07:05:45 PM");</v>
      </c>
      <c r="J493" s="42" t="str">
        <f>IFERROR(__xludf.DUMMYFUNCTION("""COMPUTED_VALUE"""),"maaf laptop ngelag jadi saya ngoding pake vs code")</f>
        <v>maaf laptop ngelag jadi saya ngoding pake vs code</v>
      </c>
      <c r="K493" s="42"/>
      <c r="L493" s="42"/>
      <c r="M493" s="42"/>
    </row>
    <row r="494">
      <c r="A494" s="43">
        <f>IFERROR(__xludf.DUMMYFUNCTION("""COMPUTED_VALUE"""),44125.65648174769)</f>
        <v>44125.65648</v>
      </c>
      <c r="B494" s="42" t="str">
        <f>IFERROR(__xludf.DUMMYFUNCTION("""COMPUTED_VALUE"""),"Shofira Khairunnisa")</f>
        <v>Shofira Khairunnisa</v>
      </c>
      <c r="C494" s="42" t="str">
        <f>IFERROR(__xludf.DUMMYFUNCTION("""COMPUTED_VALUE"""),"Online")</f>
        <v>Online</v>
      </c>
      <c r="D494" s="42" t="str">
        <f>IFERROR(__xludf.DUMMYFUNCTION("""COMPUTED_VALUE"""),"Fullstack Web Developer")</f>
        <v>Fullstack Web Developer</v>
      </c>
      <c r="E494" s="42">
        <f>IFERROR(__xludf.DUMMYFUNCTION("""COMPUTED_VALUE"""),4.0)</f>
        <v>4</v>
      </c>
      <c r="F494" s="42">
        <f>IFERROR(__xludf.DUMMYFUNCTION("""COMPUTED_VALUE"""),1.0)</f>
        <v>1</v>
      </c>
      <c r="G494" s="42" t="str">
        <f>IFERROR(__xludf.DUMMYFUNCTION("""COMPUTED_VALUE"""),"ARKWH13")</f>
        <v>ARKWH13</v>
      </c>
      <c r="H494" s="42"/>
      <c r="I494" s="46" t="str">
        <f>IFERROR(__xludf.DUMMYFUNCTION("""COMPUTED_VALUE"""),"https://repl.it/@Shofira/quiz13")</f>
        <v>https://repl.it/@Shofira/quiz13</v>
      </c>
      <c r="J494" s="42"/>
      <c r="K494" s="42"/>
      <c r="L494" s="42"/>
      <c r="M494" s="42"/>
    </row>
    <row r="495">
      <c r="A495" s="43">
        <f>IFERROR(__xludf.DUMMYFUNCTION("""COMPUTED_VALUE"""),44125.657890104165)</f>
        <v>44125.65789</v>
      </c>
      <c r="B495" s="42" t="str">
        <f>IFERROR(__xludf.DUMMYFUNCTION("""COMPUTED_VALUE"""),"MOCHAMAD SOFYAN")</f>
        <v>MOCHAMAD SOFYAN</v>
      </c>
      <c r="C495" s="42" t="str">
        <f>IFERROR(__xludf.DUMMYFUNCTION("""COMPUTED_VALUE"""),"Online")</f>
        <v>Online</v>
      </c>
      <c r="D495" s="42" t="str">
        <f>IFERROR(__xludf.DUMMYFUNCTION("""COMPUTED_VALUE"""),"Fullstack Web Developer")</f>
        <v>Fullstack Web Developer</v>
      </c>
      <c r="E495" s="42">
        <f>IFERROR(__xludf.DUMMYFUNCTION("""COMPUTED_VALUE"""),4.0)</f>
        <v>4</v>
      </c>
      <c r="F495" s="42">
        <f>IFERROR(__xludf.DUMMYFUNCTION("""COMPUTED_VALUE"""),1.0)</f>
        <v>1</v>
      </c>
      <c r="G495" s="42" t="str">
        <f>IFERROR(__xludf.DUMMYFUNCTION("""COMPUTED_VALUE"""),"ARKWH13")</f>
        <v>ARKWH13</v>
      </c>
      <c r="H495" s="42"/>
      <c r="I495" s="46" t="str">
        <f>IFERROR(__xludf.DUMMYFUNCTION("""COMPUTED_VALUE"""),"https://repl.it/@mochsofyan17/arkwh13")</f>
        <v>https://repl.it/@mochsofyan17/arkwh13</v>
      </c>
      <c r="J495" s="42"/>
      <c r="K495" s="42"/>
      <c r="L495" s="42"/>
      <c r="M495" s="42"/>
    </row>
    <row r="496">
      <c r="A496" s="43">
        <f>IFERROR(__xludf.DUMMYFUNCTION("""COMPUTED_VALUE"""),44125.65830565972)</f>
        <v>44125.65831</v>
      </c>
      <c r="B496" s="42" t="str">
        <f>IFERROR(__xludf.DUMMYFUNCTION("""COMPUTED_VALUE"""),"Wisnu Giri")</f>
        <v>Wisnu Giri</v>
      </c>
      <c r="C496" s="42" t="str">
        <f>IFERROR(__xludf.DUMMYFUNCTION("""COMPUTED_VALUE"""),"Online")</f>
        <v>Online</v>
      </c>
      <c r="D496" s="42" t="str">
        <f>IFERROR(__xludf.DUMMYFUNCTION("""COMPUTED_VALUE"""),"Fullstack Web Developer")</f>
        <v>Fullstack Web Developer</v>
      </c>
      <c r="E496" s="42">
        <f>IFERROR(__xludf.DUMMYFUNCTION("""COMPUTED_VALUE"""),4.0)</f>
        <v>4</v>
      </c>
      <c r="F496" s="42">
        <f>IFERROR(__xludf.DUMMYFUNCTION("""COMPUTED_VALUE"""),1.0)</f>
        <v>1</v>
      </c>
      <c r="G496" s="42" t="str">
        <f>IFERROR(__xludf.DUMMYFUNCTION("""COMPUTED_VALUE"""),"ARKWH13")</f>
        <v>ARKWH13</v>
      </c>
      <c r="H496" s="42"/>
      <c r="I496" s="46" t="str">
        <f>IFERROR(__xludf.DUMMYFUNCTION("""COMPUTED_VALUE"""),"https://repl.it/@Wsngr/Quiz13")</f>
        <v>https://repl.it/@Wsngr/Quiz13</v>
      </c>
      <c r="J496" s="42"/>
      <c r="K496" s="42"/>
      <c r="L496" s="42"/>
      <c r="M496" s="42"/>
    </row>
    <row r="497">
      <c r="A497" s="43">
        <f>IFERROR(__xludf.DUMMYFUNCTION("""COMPUTED_VALUE"""),44125.65865829861)</f>
        <v>44125.65866</v>
      </c>
      <c r="B497" s="42" t="str">
        <f>IFERROR(__xludf.DUMMYFUNCTION("""COMPUTED_VALUE"""),"Miftakh Ali Said")</f>
        <v>Miftakh Ali Said</v>
      </c>
      <c r="C497" s="42" t="str">
        <f>IFERROR(__xludf.DUMMYFUNCTION("""COMPUTED_VALUE"""),"Online")</f>
        <v>Online</v>
      </c>
      <c r="D497" s="42" t="str">
        <f>IFERROR(__xludf.DUMMYFUNCTION("""COMPUTED_VALUE"""),"Fullstack Web Developer")</f>
        <v>Fullstack Web Developer</v>
      </c>
      <c r="E497" s="42">
        <f>IFERROR(__xludf.DUMMYFUNCTION("""COMPUTED_VALUE"""),4.0)</f>
        <v>4</v>
      </c>
      <c r="F497" s="42">
        <f>IFERROR(__xludf.DUMMYFUNCTION("""COMPUTED_VALUE"""),1.0)</f>
        <v>1</v>
      </c>
      <c r="G497" s="42" t="str">
        <f>IFERROR(__xludf.DUMMYFUNCTION("""COMPUTED_VALUE"""),"ARKWH13")</f>
        <v>ARKWH13</v>
      </c>
      <c r="H497" s="42"/>
      <c r="I497" s="46" t="str">
        <f>IFERROR(__xludf.DUMMYFUNCTION("""COMPUTED_VALUE"""),"https://repl.it/repls/ConsiderateEmptyLists#index.js")</f>
        <v>https://repl.it/repls/ConsiderateEmptyLists#index.js</v>
      </c>
      <c r="J497" s="42"/>
      <c r="K497" s="42"/>
      <c r="L497" s="42"/>
      <c r="M497" s="42"/>
    </row>
    <row r="498">
      <c r="A498" s="43">
        <f>IFERROR(__xludf.DUMMYFUNCTION("""COMPUTED_VALUE"""),44125.6587778588)</f>
        <v>44125.65878</v>
      </c>
      <c r="B498" s="42" t="str">
        <f>IFERROR(__xludf.DUMMYFUNCTION("""COMPUTED_VALUE"""),"Raden Syamsa Nur")</f>
        <v>Raden Syamsa Nur</v>
      </c>
      <c r="C498" s="42" t="str">
        <f>IFERROR(__xludf.DUMMYFUNCTION("""COMPUTED_VALUE"""),"Online")</f>
        <v>Online</v>
      </c>
      <c r="D498" s="42" t="str">
        <f>IFERROR(__xludf.DUMMYFUNCTION("""COMPUTED_VALUE"""),"Fullstack Web Developer")</f>
        <v>Fullstack Web Developer</v>
      </c>
      <c r="E498" s="42">
        <f>IFERROR(__xludf.DUMMYFUNCTION("""COMPUTED_VALUE"""),4.0)</f>
        <v>4</v>
      </c>
      <c r="F498" s="42">
        <f>IFERROR(__xludf.DUMMYFUNCTION("""COMPUTED_VALUE"""),1.0)</f>
        <v>1</v>
      </c>
      <c r="G498" s="42" t="str">
        <f>IFERROR(__xludf.DUMMYFUNCTION("""COMPUTED_VALUE"""),"ARKWH13")</f>
        <v>ARKWH13</v>
      </c>
      <c r="H498" s="42"/>
      <c r="I498" s="42"/>
      <c r="J498" s="46" t="str">
        <f>IFERROR(__xludf.DUMMYFUNCTION("""COMPUTED_VALUE"""),"https://repl.it/@syamsa/quiz-ARKAWH13")</f>
        <v>https://repl.it/@syamsa/quiz-ARKAWH13</v>
      </c>
      <c r="K498" s="42"/>
      <c r="L498" s="42"/>
      <c r="M498" s="42"/>
    </row>
    <row r="499">
      <c r="A499" s="43">
        <f>IFERROR(__xludf.DUMMYFUNCTION("""COMPUTED_VALUE"""),44125.65961290509)</f>
        <v>44125.65961</v>
      </c>
      <c r="B499" s="42" t="str">
        <f>IFERROR(__xludf.DUMMYFUNCTION("""COMPUTED_VALUE"""),"Reynaldi Putra Hertiansa")</f>
        <v>Reynaldi Putra Hertiansa</v>
      </c>
      <c r="C499" s="42" t="str">
        <f>IFERROR(__xludf.DUMMYFUNCTION("""COMPUTED_VALUE"""),"Online")</f>
        <v>Online</v>
      </c>
      <c r="D499" s="42" t="str">
        <f>IFERROR(__xludf.DUMMYFUNCTION("""COMPUTED_VALUE"""),"Fullstack Web Developer")</f>
        <v>Fullstack Web Developer</v>
      </c>
      <c r="E499" s="42">
        <f>IFERROR(__xludf.DUMMYFUNCTION("""COMPUTED_VALUE"""),4.0)</f>
        <v>4</v>
      </c>
      <c r="F499" s="42">
        <f>IFERROR(__xludf.DUMMYFUNCTION("""COMPUTED_VALUE"""),1.0)</f>
        <v>1</v>
      </c>
      <c r="G499" s="42" t="str">
        <f>IFERROR(__xludf.DUMMYFUNCTION("""COMPUTED_VALUE"""),"ARKWH13")</f>
        <v>ARKWH13</v>
      </c>
      <c r="H499" s="42"/>
      <c r="I499" s="46" t="str">
        <f>IFERROR(__xludf.DUMMYFUNCTION("""COMPUTED_VALUE"""),"https://repl.it/@rphertiansa/ARKWH13")</f>
        <v>https://repl.it/@rphertiansa/ARKWH13</v>
      </c>
      <c r="J499" s="42"/>
      <c r="K499" s="42"/>
      <c r="L499" s="42"/>
      <c r="M499" s="42"/>
    </row>
    <row r="500">
      <c r="A500" s="43">
        <f>IFERROR(__xludf.DUMMYFUNCTION("""COMPUTED_VALUE"""),44125.65970200232)</f>
        <v>44125.6597</v>
      </c>
      <c r="B500" s="42" t="str">
        <f>IFERROR(__xludf.DUMMYFUNCTION("""COMPUTED_VALUE"""),"Dicky Firmansyah")</f>
        <v>Dicky Firmansyah</v>
      </c>
      <c r="C500" s="42" t="str">
        <f>IFERROR(__xludf.DUMMYFUNCTION("""COMPUTED_VALUE"""),"Online")</f>
        <v>Online</v>
      </c>
      <c r="D500" s="42" t="str">
        <f>IFERROR(__xludf.DUMMYFUNCTION("""COMPUTED_VALUE"""),"Fullstack Web Developer")</f>
        <v>Fullstack Web Developer</v>
      </c>
      <c r="E500" s="42">
        <f>IFERROR(__xludf.DUMMYFUNCTION("""COMPUTED_VALUE"""),4.0)</f>
        <v>4</v>
      </c>
      <c r="F500" s="42">
        <f>IFERROR(__xludf.DUMMYFUNCTION("""COMPUTED_VALUE"""),17.0)</f>
        <v>17</v>
      </c>
      <c r="G500" s="42" t="str">
        <f>IFERROR(__xludf.DUMMYFUNCTION("""COMPUTED_VALUE"""),"ARKWH13")</f>
        <v>ARKWH13</v>
      </c>
      <c r="H500" s="42"/>
      <c r="I500" s="46" t="str">
        <f>IFERROR(__xludf.DUMMYFUNCTION("""COMPUTED_VALUE"""),"https://repl.it/@diki08/2js#1.js")</f>
        <v>https://repl.it/@diki08/2js#1.js</v>
      </c>
      <c r="J500" s="42"/>
      <c r="K500" s="42"/>
      <c r="L500" s="42"/>
      <c r="M500" s="42"/>
    </row>
    <row r="501">
      <c r="A501" s="43">
        <f>IFERROR(__xludf.DUMMYFUNCTION("""COMPUTED_VALUE"""),44125.65986853009)</f>
        <v>44125.65987</v>
      </c>
      <c r="B501" s="42" t="str">
        <f>IFERROR(__xludf.DUMMYFUNCTION("""COMPUTED_VALUE"""),"mriko.arafi@gmail.com")</f>
        <v>mriko.arafi@gmail.com</v>
      </c>
      <c r="C501" s="42" t="str">
        <f>IFERROR(__xludf.DUMMYFUNCTION("""COMPUTED_VALUE"""),"Online")</f>
        <v>Online</v>
      </c>
      <c r="D501" s="42" t="str">
        <f>IFERROR(__xludf.DUMMYFUNCTION("""COMPUTED_VALUE"""),"Fullstack Web Developer")</f>
        <v>Fullstack Web Developer</v>
      </c>
      <c r="E501" s="42">
        <f>IFERROR(__xludf.DUMMYFUNCTION("""COMPUTED_VALUE"""),4.0)</f>
        <v>4</v>
      </c>
      <c r="F501" s="42">
        <f>IFERROR(__xludf.DUMMYFUNCTION("""COMPUTED_VALUE"""),7.0)</f>
        <v>7</v>
      </c>
      <c r="G501" s="42" t="str">
        <f>IFERROR(__xludf.DUMMYFUNCTION("""COMPUTED_VALUE"""),"ARKWH13")</f>
        <v>ARKWH13</v>
      </c>
      <c r="H501" s="42"/>
      <c r="I501" s="46" t="str">
        <f>IFERROR(__xludf.DUMMYFUNCTION("""COMPUTED_VALUE"""),"https://repl.it/join/pobftzen-mrikoarafi")</f>
        <v>https://repl.it/join/pobftzen-mrikoarafi</v>
      </c>
      <c r="J501" s="42"/>
      <c r="K501" s="42"/>
      <c r="L501" s="42"/>
      <c r="M501" s="42"/>
    </row>
    <row r="502">
      <c r="A502" s="43">
        <f>IFERROR(__xludf.DUMMYFUNCTION("""COMPUTED_VALUE"""),44125.66087190973)</f>
        <v>44125.66087</v>
      </c>
      <c r="B502" s="42" t="str">
        <f>IFERROR(__xludf.DUMMYFUNCTION("""COMPUTED_VALUE"""),"Riza Radia Rivaldo")</f>
        <v>Riza Radia Rivaldo</v>
      </c>
      <c r="C502" s="42" t="str">
        <f>IFERROR(__xludf.DUMMYFUNCTION("""COMPUTED_VALUE"""),"Online")</f>
        <v>Online</v>
      </c>
      <c r="D502" s="42" t="str">
        <f>IFERROR(__xludf.DUMMYFUNCTION("""COMPUTED_VALUE"""),"Fullstack Web Developer")</f>
        <v>Fullstack Web Developer</v>
      </c>
      <c r="E502" s="42">
        <f>IFERROR(__xludf.DUMMYFUNCTION("""COMPUTED_VALUE"""),4.0)</f>
        <v>4</v>
      </c>
      <c r="F502" s="42">
        <f>IFERROR(__xludf.DUMMYFUNCTION("""COMPUTED_VALUE"""),1.0)</f>
        <v>1</v>
      </c>
      <c r="G502" s="42" t="str">
        <f>IFERROR(__xludf.DUMMYFUNCTION("""COMPUTED_VALUE"""),"ARKWH13")</f>
        <v>ARKWH13</v>
      </c>
      <c r="H502" s="42"/>
      <c r="I502" s="42"/>
      <c r="J502" s="46" t="str">
        <f>IFERROR(__xludf.DUMMYFUNCTION("""COMPUTED_VALUE"""),"https://repl.it/@RizaRadiaRadia/Quiz-13#index.js")</f>
        <v>https://repl.it/@RizaRadiaRadia/Quiz-13#index.js</v>
      </c>
      <c r="K502" s="42"/>
      <c r="L502" s="42"/>
      <c r="M502" s="42"/>
    </row>
    <row r="503">
      <c r="A503" s="43">
        <f>IFERROR(__xludf.DUMMYFUNCTION("""COMPUTED_VALUE"""),44125.66149670139)</f>
        <v>44125.6615</v>
      </c>
      <c r="B503" s="42" t="str">
        <f>IFERROR(__xludf.DUMMYFUNCTION("""COMPUTED_VALUE"""),"Panji Kusumarizki")</f>
        <v>Panji Kusumarizki</v>
      </c>
      <c r="C503" s="42" t="str">
        <f>IFERROR(__xludf.DUMMYFUNCTION("""COMPUTED_VALUE"""),"Online")</f>
        <v>Online</v>
      </c>
      <c r="D503" s="42" t="str">
        <f>IFERROR(__xludf.DUMMYFUNCTION("""COMPUTED_VALUE"""),"Fullstack Web Developer")</f>
        <v>Fullstack Web Developer</v>
      </c>
      <c r="E503" s="42">
        <f>IFERROR(__xludf.DUMMYFUNCTION("""COMPUTED_VALUE"""),4.0)</f>
        <v>4</v>
      </c>
      <c r="F503" s="42">
        <f>IFERROR(__xludf.DUMMYFUNCTION("""COMPUTED_VALUE"""),1.0)</f>
        <v>1</v>
      </c>
      <c r="G503" s="42" t="str">
        <f>IFERROR(__xludf.DUMMYFUNCTION("""COMPUTED_VALUE"""),"ARKWH13")</f>
        <v>ARKWH13</v>
      </c>
      <c r="H503" s="42"/>
      <c r="I503" s="46" t="str">
        <f>IFERROR(__xludf.DUMMYFUNCTION("""COMPUTED_VALUE"""),"https://repl.it/@PanjiKusuma/kuis13#index.js")</f>
        <v>https://repl.it/@PanjiKusuma/kuis13#index.js</v>
      </c>
      <c r="J503" s="42"/>
      <c r="K503" s="42"/>
      <c r="L503" s="42"/>
      <c r="M503" s="42"/>
    </row>
    <row r="504">
      <c r="A504" s="43">
        <f>IFERROR(__xludf.DUMMYFUNCTION("""COMPUTED_VALUE"""),44125.66168949074)</f>
        <v>44125.66169</v>
      </c>
      <c r="B504" s="42" t="str">
        <f>IFERROR(__xludf.DUMMYFUNCTION("""COMPUTED_VALUE"""),"Rido Maulana Solihin")</f>
        <v>Rido Maulana Solihin</v>
      </c>
      <c r="C504" s="42" t="str">
        <f>IFERROR(__xludf.DUMMYFUNCTION("""COMPUTED_VALUE"""),"Online")</f>
        <v>Online</v>
      </c>
      <c r="D504" s="42" t="str">
        <f>IFERROR(__xludf.DUMMYFUNCTION("""COMPUTED_VALUE"""),"Fullstack Web Developer")</f>
        <v>Fullstack Web Developer</v>
      </c>
      <c r="E504" s="42">
        <f>IFERROR(__xludf.DUMMYFUNCTION("""COMPUTED_VALUE"""),4.0)</f>
        <v>4</v>
      </c>
      <c r="F504" s="42">
        <f>IFERROR(__xludf.DUMMYFUNCTION("""COMPUTED_VALUE"""),1.0)</f>
        <v>1</v>
      </c>
      <c r="G504" s="42" t="str">
        <f>IFERROR(__xludf.DUMMYFUNCTION("""COMPUTED_VALUE"""),"ARKWH13")</f>
        <v>ARKWH13</v>
      </c>
      <c r="H504" s="42"/>
      <c r="I504" s="46" t="str">
        <f>IFERROR(__xludf.DUMMYFUNCTION("""COMPUTED_VALUE"""),"https://repl.it/@ridoNev1/KUIS-ARKWH13")</f>
        <v>https://repl.it/@ridoNev1/KUIS-ARKWH13</v>
      </c>
      <c r="J504" s="42"/>
      <c r="K504" s="42"/>
      <c r="L504" s="42"/>
      <c r="M504" s="42"/>
    </row>
    <row r="505">
      <c r="A505" s="43">
        <f>IFERROR(__xludf.DUMMYFUNCTION("""COMPUTED_VALUE"""),44125.66287608796)</f>
        <v>44125.66288</v>
      </c>
      <c r="B505" s="42" t="str">
        <f>IFERROR(__xludf.DUMMYFUNCTION("""COMPUTED_VALUE"""),"Satria Adhi Nugraha")</f>
        <v>Satria Adhi Nugraha</v>
      </c>
      <c r="C505" s="42" t="str">
        <f>IFERROR(__xludf.DUMMYFUNCTION("""COMPUTED_VALUE"""),"Online")</f>
        <v>Online</v>
      </c>
      <c r="D505" s="42" t="str">
        <f>IFERROR(__xludf.DUMMYFUNCTION("""COMPUTED_VALUE"""),"Fullstack Web Developer")</f>
        <v>Fullstack Web Developer</v>
      </c>
      <c r="E505" s="42">
        <f>IFERROR(__xludf.DUMMYFUNCTION("""COMPUTED_VALUE"""),4.0)</f>
        <v>4</v>
      </c>
      <c r="F505" s="42">
        <f>IFERROR(__xludf.DUMMYFUNCTION("""COMPUTED_VALUE"""),1.0)</f>
        <v>1</v>
      </c>
      <c r="G505" s="42" t="str">
        <f>IFERROR(__xludf.DUMMYFUNCTION("""COMPUTED_VALUE"""),"ARKWH13")</f>
        <v>ARKWH13</v>
      </c>
      <c r="H505" s="42"/>
      <c r="I505" s="46" t="str">
        <f>IFERROR(__xludf.DUMMYFUNCTION("""COMPUTED_VALUE"""),"https://repl.it/@SATRIA05/ARKWH13")</f>
        <v>https://repl.it/@SATRIA05/ARKWH13</v>
      </c>
      <c r="J505" s="42"/>
      <c r="K505" s="42"/>
      <c r="L505" s="42"/>
      <c r="M505" s="42"/>
    </row>
    <row r="506">
      <c r="A506" s="43">
        <f>IFERROR(__xludf.DUMMYFUNCTION("""COMPUTED_VALUE"""),44125.662916608795)</f>
        <v>44125.66292</v>
      </c>
      <c r="B506" s="42" t="str">
        <f>IFERROR(__xludf.DUMMYFUNCTION("""COMPUTED_VALUE"""),"Ghana Widya Afani")</f>
        <v>Ghana Widya Afani</v>
      </c>
      <c r="C506" s="42" t="str">
        <f>IFERROR(__xludf.DUMMYFUNCTION("""COMPUTED_VALUE"""),"Online")</f>
        <v>Online</v>
      </c>
      <c r="D506" s="42" t="str">
        <f>IFERROR(__xludf.DUMMYFUNCTION("""COMPUTED_VALUE"""),"Fullstack Mobile Developer")</f>
        <v>Fullstack Mobile Developer</v>
      </c>
      <c r="E506" s="42">
        <f>IFERROR(__xludf.DUMMYFUNCTION("""COMPUTED_VALUE"""),17.0)</f>
        <v>17</v>
      </c>
      <c r="F506" s="42">
        <f>IFERROR(__xludf.DUMMYFUNCTION("""COMPUTED_VALUE"""),1.0)</f>
        <v>1</v>
      </c>
      <c r="G506" s="42" t="str">
        <f>IFERROR(__xludf.DUMMYFUNCTION("""COMPUTED_VALUE"""),"ARKWH13")</f>
        <v>ARKWH13</v>
      </c>
      <c r="H506" s="42"/>
      <c r="I506" s="42" t="str">
        <f>IFERROR(__xludf.DUMMYFUNCTION("""COMPUTED_VALUE"""),"https://playcode.io/695118/
https://playcode.io/695150/")</f>
        <v>https://playcode.io/695118/
https://playcode.io/695150/</v>
      </c>
      <c r="J506" s="42"/>
      <c r="K506" s="42"/>
      <c r="L506" s="42"/>
      <c r="M506" s="42"/>
    </row>
    <row r="507">
      <c r="A507" s="43">
        <f>IFERROR(__xludf.DUMMYFUNCTION("""COMPUTED_VALUE"""),44125.66453207176)</f>
        <v>44125.66453</v>
      </c>
      <c r="B507" s="42" t="str">
        <f>IFERROR(__xludf.DUMMYFUNCTION("""COMPUTED_VALUE"""),"Regina Putri Arinda")</f>
        <v>Regina Putri Arinda</v>
      </c>
      <c r="C507" s="42" t="str">
        <f>IFERROR(__xludf.DUMMYFUNCTION("""COMPUTED_VALUE"""),"Online")</f>
        <v>Online</v>
      </c>
      <c r="D507" s="42" t="str">
        <f>IFERROR(__xludf.DUMMYFUNCTION("""COMPUTED_VALUE"""),"Fullstack Web Developer")</f>
        <v>Fullstack Web Developer</v>
      </c>
      <c r="E507" s="42">
        <f>IFERROR(__xludf.DUMMYFUNCTION("""COMPUTED_VALUE"""),2.0)</f>
        <v>2</v>
      </c>
      <c r="F507" s="42">
        <f>IFERROR(__xludf.DUMMYFUNCTION("""COMPUTED_VALUE"""),1.0)</f>
        <v>1</v>
      </c>
      <c r="G507" s="42" t="str">
        <f>IFERROR(__xludf.DUMMYFUNCTION("""COMPUTED_VALUE"""),"ARKWH13")</f>
        <v>ARKWH13</v>
      </c>
      <c r="H507" s="42"/>
      <c r="I507" s="46" t="str">
        <f>IFERROR(__xludf.DUMMYFUNCTION("""COMPUTED_VALUE"""),"https://repl.it/@ReginaPutri/extraLongFactorials")</f>
        <v>https://repl.it/@ReginaPutri/extraLongFactorials</v>
      </c>
      <c r="J507" s="42"/>
      <c r="K507" s="42"/>
      <c r="L507" s="42"/>
      <c r="M507" s="42"/>
    </row>
    <row r="508">
      <c r="A508" s="43">
        <f>IFERROR(__xludf.DUMMYFUNCTION("""COMPUTED_VALUE"""),44125.66558994213)</f>
        <v>44125.66559</v>
      </c>
      <c r="B508" s="42" t="str">
        <f>IFERROR(__xludf.DUMMYFUNCTION("""COMPUTED_VALUE"""),"Faiz Sulistyawan")</f>
        <v>Faiz Sulistyawan</v>
      </c>
      <c r="C508" s="42" t="str">
        <f>IFERROR(__xludf.DUMMYFUNCTION("""COMPUTED_VALUE"""),"Online")</f>
        <v>Online</v>
      </c>
      <c r="D508" s="42" t="str">
        <f>IFERROR(__xludf.DUMMYFUNCTION("""COMPUTED_VALUE"""),"Fullstack Mobile Developer")</f>
        <v>Fullstack Mobile Developer</v>
      </c>
      <c r="E508" s="42">
        <f>IFERROR(__xludf.DUMMYFUNCTION("""COMPUTED_VALUE"""),17.0)</f>
        <v>17</v>
      </c>
      <c r="F508" s="42">
        <f>IFERROR(__xludf.DUMMYFUNCTION("""COMPUTED_VALUE"""),1.0)</f>
        <v>1</v>
      </c>
      <c r="G508" s="42" t="str">
        <f>IFERROR(__xludf.DUMMYFUNCTION("""COMPUTED_VALUE"""),"ARKWH13")</f>
        <v>ARKWH13</v>
      </c>
      <c r="H508" s="42"/>
      <c r="I508" s="46" t="str">
        <f>IFERROR(__xludf.DUMMYFUNCTION("""COMPUTED_VALUE"""),"https://playcode.io/695152/")</f>
        <v>https://playcode.io/695152/</v>
      </c>
      <c r="J508" s="42"/>
      <c r="K508" s="42"/>
      <c r="L508" s="42"/>
      <c r="M508" s="42"/>
    </row>
    <row r="509">
      <c r="A509" s="43">
        <f>IFERROR(__xludf.DUMMYFUNCTION("""COMPUTED_VALUE"""),44126.47415633102)</f>
        <v>44126.47416</v>
      </c>
      <c r="B509" s="42" t="str">
        <f>IFERROR(__xludf.DUMMYFUNCTION("""COMPUTED_VALUE"""),"Muhammad Rinaldi")</f>
        <v>Muhammad Rinaldi</v>
      </c>
      <c r="C509" s="42" t="str">
        <f>IFERROR(__xludf.DUMMYFUNCTION("""COMPUTED_VALUE"""),"Online")</f>
        <v>Online</v>
      </c>
      <c r="D509" s="42" t="str">
        <f>IFERROR(__xludf.DUMMYFUNCTION("""COMPUTED_VALUE"""),"Fullstack Web Developer")</f>
        <v>Fullstack Web Developer</v>
      </c>
      <c r="E509" s="42">
        <f>IFERROR(__xludf.DUMMYFUNCTION("""COMPUTED_VALUE"""),3.0)</f>
        <v>3</v>
      </c>
      <c r="F509" s="42">
        <f>IFERROR(__xludf.DUMMYFUNCTION("""COMPUTED_VALUE"""),1.0)</f>
        <v>1</v>
      </c>
      <c r="G509" s="42" t="str">
        <f>IFERROR(__xludf.DUMMYFUNCTION("""COMPUTED_VALUE"""),"ARKWH13")</f>
        <v>ARKWH13</v>
      </c>
      <c r="H509" s="42"/>
      <c r="I509" s="42" t="str">
        <f>IFERROR(__xludf.DUMMYFUNCTION("""COMPUTED_VALUE""")," https://repl.it/@mhdnaldi/Time-conversion#index.js | https://repl.it/@mhdnaldi/Extra-long-factorial#index.js")</f>
        <v> https://repl.it/@mhdnaldi/Time-conversion#index.js | https://repl.it/@mhdnaldi/Extra-long-factorial#index.js</v>
      </c>
      <c r="J509" s="42"/>
      <c r="K509" s="42"/>
      <c r="L509" s="42">
        <f>IFERROR(__xludf.DUMMYFUNCTION("""COMPUTED_VALUE"""),1.8)</f>
        <v>1.8</v>
      </c>
      <c r="M509" s="42" t="str">
        <f>IFERROR(__xludf.DUMMYFUNCTION("""COMPUTED_VALUE"""),"good")</f>
        <v>good</v>
      </c>
    </row>
    <row r="510">
      <c r="A510" s="43">
        <f>IFERROR(__xludf.DUMMYFUNCTION("""COMPUTED_VALUE"""),44126.47486567129)</f>
        <v>44126.47487</v>
      </c>
      <c r="B510" s="42" t="str">
        <f>IFERROR(__xludf.DUMMYFUNCTION("""COMPUTED_VALUE"""),"Rosyida Widadina Ulya")</f>
        <v>Rosyida Widadina Ulya</v>
      </c>
      <c r="C510" s="42" t="str">
        <f>IFERROR(__xludf.DUMMYFUNCTION("""COMPUTED_VALUE"""),"Online")</f>
        <v>Online</v>
      </c>
      <c r="D510" s="42" t="str">
        <f>IFERROR(__xludf.DUMMYFUNCTION("""COMPUTED_VALUE"""),"Android Developer")</f>
        <v>Android Developer</v>
      </c>
      <c r="E510" s="42">
        <f>IFERROR(__xludf.DUMMYFUNCTION("""COMPUTED_VALUE"""),1.0)</f>
        <v>1</v>
      </c>
      <c r="F510" s="42">
        <f>IFERROR(__xludf.DUMMYFUNCTION("""COMPUTED_VALUE"""),1.0)</f>
        <v>1</v>
      </c>
      <c r="G510" s="42" t="str">
        <f>IFERROR(__xludf.DUMMYFUNCTION("""COMPUTED_VALUE"""),"ARKWH2")</f>
        <v>ARKWH2</v>
      </c>
      <c r="H510" s="42"/>
      <c r="I510" s="42"/>
      <c r="J510" s="46" t="str">
        <f>IFERROR(__xludf.DUMMYFUNCTION("""COMPUTED_VALUE"""),"https://drive.google.com/drive/folders/1Qa4jYFmCaEaEs7oGUgwRvyJzV1R-FJGc?usp=sharing")</f>
        <v>https://drive.google.com/drive/folders/1Qa4jYFmCaEaEs7oGUgwRvyJzV1R-FJGc?usp=sharing</v>
      </c>
      <c r="K510" s="46" t="str">
        <f>IFERROR(__xludf.DUMMYFUNCTION("""COMPUTED_VALUE"""),"https://drive.google.com/open?id=1NeDtvN3W25LuRDjWJnh0DIQP7eJXN3sI")</f>
        <v>https://drive.google.com/open?id=1NeDtvN3W25LuRDjWJnh0DIQP7eJXN3sI</v>
      </c>
      <c r="L510" s="42">
        <f>IFERROR(__xludf.DUMMYFUNCTION("""COMPUTED_VALUE"""),1.7)</f>
        <v>1.7</v>
      </c>
      <c r="M510" s="42" t="str">
        <f>IFERROR(__xludf.DUMMYFUNCTION("""COMPUTED_VALUE"""),"Sudah baik, tapi tidak membuat dalam bentuk function")</f>
        <v>Sudah baik, tapi tidak membuat dalam bentuk function</v>
      </c>
    </row>
    <row r="511">
      <c r="A511" s="43">
        <f>IFERROR(__xludf.DUMMYFUNCTION("""COMPUTED_VALUE"""),44126.48482430556)</f>
        <v>44126.48482</v>
      </c>
      <c r="B511" s="42" t="str">
        <f>IFERROR(__xludf.DUMMYFUNCTION("""COMPUTED_VALUE"""),"Muhammad Rizki")</f>
        <v>Muhammad Rizki</v>
      </c>
      <c r="C511" s="42" t="str">
        <f>IFERROR(__xludf.DUMMYFUNCTION("""COMPUTED_VALUE"""),"Online")</f>
        <v>Online</v>
      </c>
      <c r="D511" s="42" t="str">
        <f>IFERROR(__xludf.DUMMYFUNCTION("""COMPUTED_VALUE"""),"Android Developer")</f>
        <v>Android Developer</v>
      </c>
      <c r="E511" s="42">
        <f>IFERROR(__xludf.DUMMYFUNCTION("""COMPUTED_VALUE"""),1.0)</f>
        <v>1</v>
      </c>
      <c r="F511" s="42">
        <f>IFERROR(__xludf.DUMMYFUNCTION("""COMPUTED_VALUE"""),1.0)</f>
        <v>1</v>
      </c>
      <c r="G511" s="42" t="str">
        <f>IFERROR(__xludf.DUMMYFUNCTION("""COMPUTED_VALUE"""),"ARKWH2")</f>
        <v>ARKWH2</v>
      </c>
      <c r="H511" s="42"/>
      <c r="I511" s="42" t="str">
        <f>IFERROR(__xludf.DUMMYFUNCTION("""COMPUTED_VALUE"""),"https://repl.it/join/zzzjtkfl-muhammadrizki2
https://repl.it/join/ptzelauf-muhammadrizki2")</f>
        <v>https://repl.it/join/zzzjtkfl-muhammadrizki2
https://repl.it/join/ptzelauf-muhammadrizki2</v>
      </c>
      <c r="J511" s="46" t="str">
        <f>IFERROR(__xludf.DUMMYFUNCTION("""COMPUTED_VALUE"""),"https://drive.google.com/file/d/1crldIHu2MG1XbUel-Tsmu79SeMDWM1RO/view?usp=sharing")</f>
        <v>https://drive.google.com/file/d/1crldIHu2MG1XbUel-Tsmu79SeMDWM1RO/view?usp=sharing</v>
      </c>
      <c r="K511" s="42"/>
      <c r="L511" s="42">
        <f>IFERROR(__xludf.DUMMYFUNCTION("""COMPUTED_VALUE"""),2.0)</f>
        <v>2</v>
      </c>
      <c r="M511" s="42" t="str">
        <f>IFERROR(__xludf.DUMMYFUNCTION("""COMPUTED_VALUE"""),"Sudah baik")</f>
        <v>Sudah baik</v>
      </c>
    </row>
    <row r="512">
      <c r="A512" s="43">
        <f>IFERROR(__xludf.DUMMYFUNCTION("""COMPUTED_VALUE"""),44126.484986944444)</f>
        <v>44126.48499</v>
      </c>
      <c r="B512" s="42" t="str">
        <f>IFERROR(__xludf.DUMMYFUNCTION("""COMPUTED_VALUE"""),"Reihan Bayzaky Bagus Mahdy")</f>
        <v>Reihan Bayzaky Bagus Mahdy</v>
      </c>
      <c r="C512" s="42" t="str">
        <f>IFERROR(__xludf.DUMMYFUNCTION("""COMPUTED_VALUE"""),"Online")</f>
        <v>Online</v>
      </c>
      <c r="D512" s="42" t="str">
        <f>IFERROR(__xludf.DUMMYFUNCTION("""COMPUTED_VALUE"""),"Android Developer")</f>
        <v>Android Developer</v>
      </c>
      <c r="E512" s="42">
        <f>IFERROR(__xludf.DUMMYFUNCTION("""COMPUTED_VALUE"""),1.0)</f>
        <v>1</v>
      </c>
      <c r="F512" s="42">
        <f>IFERROR(__xludf.DUMMYFUNCTION("""COMPUTED_VALUE"""),1.0)</f>
        <v>1</v>
      </c>
      <c r="G512" s="42" t="str">
        <f>IFERROR(__xludf.DUMMYFUNCTION("""COMPUTED_VALUE"""),"ARKWH2")</f>
        <v>ARKWH2</v>
      </c>
      <c r="H512" s="42"/>
      <c r="I512" s="46" t="str">
        <f>IFERROR(__xludf.DUMMYFUNCTION("""COMPUTED_VALUE"""),"https://repl.it/@ReihanBayzaky/LoudFrailMonads")</f>
        <v>https://repl.it/@ReihanBayzaky/LoudFrailMonads</v>
      </c>
      <c r="J512" s="46" t="str">
        <f>IFERROR(__xludf.DUMMYFUNCTION("""COMPUTED_VALUE"""),"https://drive.google.com/drive/folders/1cJHR2gQ_Sg1pgLUtEbjkify53lmDk3zY?usp=sharing")</f>
        <v>https://drive.google.com/drive/folders/1cJHR2gQ_Sg1pgLUtEbjkify53lmDk3zY?usp=sharing</v>
      </c>
      <c r="K512" s="42"/>
      <c r="L512" s="42">
        <f>IFERROR(__xludf.DUMMYFUNCTION("""COMPUTED_VALUE"""),2.0)</f>
        <v>2</v>
      </c>
      <c r="M512" s="42" t="str">
        <f>IFERROR(__xludf.DUMMYFUNCTION("""COMPUTED_VALUE"""),"Sudah baik")</f>
        <v>Sudah baik</v>
      </c>
    </row>
    <row r="513">
      <c r="A513" s="43">
        <f>IFERROR(__xludf.DUMMYFUNCTION("""COMPUTED_VALUE"""),44126.48510074074)</f>
        <v>44126.4851</v>
      </c>
      <c r="B513" s="42" t="str">
        <f>IFERROR(__xludf.DUMMYFUNCTION("""COMPUTED_VALUE"""),"Budi Darmawan")</f>
        <v>Budi Darmawan</v>
      </c>
      <c r="C513" s="42" t="str">
        <f>IFERROR(__xludf.DUMMYFUNCTION("""COMPUTED_VALUE"""),"Online")</f>
        <v>Online</v>
      </c>
      <c r="D513" s="42" t="str">
        <f>IFERROR(__xludf.DUMMYFUNCTION("""COMPUTED_VALUE"""),"Android Developer")</f>
        <v>Android Developer</v>
      </c>
      <c r="E513" s="42">
        <f>IFERROR(__xludf.DUMMYFUNCTION("""COMPUTED_VALUE"""),1.0)</f>
        <v>1</v>
      </c>
      <c r="F513" s="42">
        <f>IFERROR(__xludf.DUMMYFUNCTION("""COMPUTED_VALUE"""),1.0)</f>
        <v>1</v>
      </c>
      <c r="G513" s="42" t="str">
        <f>IFERROR(__xludf.DUMMYFUNCTION("""COMPUTED_VALUE"""),"ARKWH2")</f>
        <v>ARKWH2</v>
      </c>
      <c r="H513" s="42"/>
      <c r="I513" s="46" t="str">
        <f>IFERROR(__xludf.DUMMYFUNCTION("""COMPUTED_VALUE"""),"https://drive.google.com/file/d/15Fya3ZrLEjHtrInUphpwqOLvlvdLF6In/view?usp=sharing")</f>
        <v>https://drive.google.com/file/d/15Fya3ZrLEjHtrInUphpwqOLvlvdLF6In/view?usp=sharing</v>
      </c>
      <c r="J513" s="46" t="str">
        <f>IFERROR(__xludf.DUMMYFUNCTION("""COMPUTED_VALUE"""),"https://drive.google.com/file/d/1hB6ATYQR7rIvsXjYpZ29KG_kNOIcBeVK/view")</f>
        <v>https://drive.google.com/file/d/1hB6ATYQR7rIvsXjYpZ29KG_kNOIcBeVK/view</v>
      </c>
      <c r="K513" s="42"/>
      <c r="L513" s="42">
        <f>IFERROR(__xludf.DUMMYFUNCTION("""COMPUTED_VALUE"""),1.2)</f>
        <v>1.2</v>
      </c>
      <c r="M513" s="42" t="str">
        <f>IFERROR(__xludf.DUMMYFUNCTION("""COMPUTED_VALUE"""),"Masih belum sesuai bentuk outputnya seperti soal")</f>
        <v>Masih belum sesuai bentuk outputnya seperti soal</v>
      </c>
    </row>
    <row r="514">
      <c r="A514" s="43">
        <f>IFERROR(__xludf.DUMMYFUNCTION("""COMPUTED_VALUE"""),44126.48591445602)</f>
        <v>44126.48591</v>
      </c>
      <c r="B514" s="42" t="str">
        <f>IFERROR(__xludf.DUMMYFUNCTION("""COMPUTED_VALUE"""),"ilham aliyudin")</f>
        <v>ilham aliyudin</v>
      </c>
      <c r="C514" s="42" t="str">
        <f>IFERROR(__xludf.DUMMYFUNCTION("""COMPUTED_VALUE"""),"Online")</f>
        <v>Online</v>
      </c>
      <c r="D514" s="42" t="str">
        <f>IFERROR(__xludf.DUMMYFUNCTION("""COMPUTED_VALUE"""),"Android Developer")</f>
        <v>Android Developer</v>
      </c>
      <c r="E514" s="42">
        <f>IFERROR(__xludf.DUMMYFUNCTION("""COMPUTED_VALUE"""),1.0)</f>
        <v>1</v>
      </c>
      <c r="F514" s="42">
        <f>IFERROR(__xludf.DUMMYFUNCTION("""COMPUTED_VALUE"""),1.0)</f>
        <v>1</v>
      </c>
      <c r="G514" s="42" t="str">
        <f>IFERROR(__xludf.DUMMYFUNCTION("""COMPUTED_VALUE"""),"ARKWH2")</f>
        <v>ARKWH2</v>
      </c>
      <c r="H514" s="42"/>
      <c r="I514" s="42"/>
      <c r="J514" s="46" t="str">
        <f>IFERROR(__xludf.DUMMYFUNCTION("""COMPUTED_VALUE"""),"https://drive.google.com/drive/folders/19rIitz16TbLMLFDEJG_Wfxf3cUQzj-kj?usp=sharing")</f>
        <v>https://drive.google.com/drive/folders/19rIitz16TbLMLFDEJG_Wfxf3cUQzj-kj?usp=sharing</v>
      </c>
      <c r="K514" s="42"/>
      <c r="L514" s="42">
        <f>IFERROR(__xludf.DUMMYFUNCTION("""COMPUTED_VALUE"""),2.0)</f>
        <v>2</v>
      </c>
      <c r="M514" s="42" t="str">
        <f>IFERROR(__xludf.DUMMYFUNCTION("""COMPUTED_VALUE"""),"Sudah baik")</f>
        <v>Sudah baik</v>
      </c>
    </row>
    <row r="515">
      <c r="A515" s="43">
        <f>IFERROR(__xludf.DUMMYFUNCTION("""COMPUTED_VALUE"""),44126.489425625)</f>
        <v>44126.48943</v>
      </c>
      <c r="B515" s="42" t="str">
        <f>IFERROR(__xludf.DUMMYFUNCTION("""COMPUTED_VALUE"""),"khairul ichsan")</f>
        <v>khairul ichsan</v>
      </c>
      <c r="C515" s="42" t="str">
        <f>IFERROR(__xludf.DUMMYFUNCTION("""COMPUTED_VALUE"""),"Online")</f>
        <v>Online</v>
      </c>
      <c r="D515" s="42" t="str">
        <f>IFERROR(__xludf.DUMMYFUNCTION("""COMPUTED_VALUE"""),"Android Developer")</f>
        <v>Android Developer</v>
      </c>
      <c r="E515" s="42">
        <f>IFERROR(__xludf.DUMMYFUNCTION("""COMPUTED_VALUE"""),1.0)</f>
        <v>1</v>
      </c>
      <c r="F515" s="42">
        <f>IFERROR(__xludf.DUMMYFUNCTION("""COMPUTED_VALUE"""),1.0)</f>
        <v>1</v>
      </c>
      <c r="G515" s="42" t="str">
        <f>IFERROR(__xludf.DUMMYFUNCTION("""COMPUTED_VALUE"""),"ARKWH2")</f>
        <v>ARKWH2</v>
      </c>
      <c r="H515" s="42"/>
      <c r="I515" s="46" t="str">
        <f>IFERROR(__xludf.DUMMYFUNCTION("""COMPUTED_VALUE"""),"https://repl.it/@Khairulichsan/Quiz2#main.kt")</f>
        <v>https://repl.it/@Khairulichsan/Quiz2#main.kt</v>
      </c>
      <c r="J515" s="42"/>
      <c r="K515" s="46" t="str">
        <f>IFERROR(__xludf.DUMMYFUNCTION("""COMPUTED_VALUE"""),"https://drive.google.com/open?id=13H3Z83fUJswbS0r-9JTtNnscM2AXYzSi")</f>
        <v>https://drive.google.com/open?id=13H3Z83fUJswbS0r-9JTtNnscM2AXYzSi</v>
      </c>
      <c r="L515" s="42">
        <f>IFERROR(__xludf.DUMMYFUNCTION("""COMPUTED_VALUE"""),2.0)</f>
        <v>2</v>
      </c>
      <c r="M515" s="42" t="str">
        <f>IFERROR(__xludf.DUMMYFUNCTION("""COMPUTED_VALUE"""),"Sudah baik")</f>
        <v>Sudah baik</v>
      </c>
    </row>
    <row r="516">
      <c r="A516" s="43">
        <f>IFERROR(__xludf.DUMMYFUNCTION("""COMPUTED_VALUE"""),44126.489674375)</f>
        <v>44126.48967</v>
      </c>
      <c r="B516" s="42" t="str">
        <f>IFERROR(__xludf.DUMMYFUNCTION("""COMPUTED_VALUE"""),"Wahyu Kurniawan")</f>
        <v>Wahyu Kurniawan</v>
      </c>
      <c r="C516" s="42" t="str">
        <f>IFERROR(__xludf.DUMMYFUNCTION("""COMPUTED_VALUE"""),"Online")</f>
        <v>Online</v>
      </c>
      <c r="D516" s="42" t="str">
        <f>IFERROR(__xludf.DUMMYFUNCTION("""COMPUTED_VALUE"""),"Android Developer")</f>
        <v>Android Developer</v>
      </c>
      <c r="E516" s="42">
        <f>IFERROR(__xludf.DUMMYFUNCTION("""COMPUTED_VALUE"""),1.0)</f>
        <v>1</v>
      </c>
      <c r="F516" s="42">
        <f>IFERROR(__xludf.DUMMYFUNCTION("""COMPUTED_VALUE"""),1.0)</f>
        <v>1</v>
      </c>
      <c r="G516" s="42" t="str">
        <f>IFERROR(__xludf.DUMMYFUNCTION("""COMPUTED_VALUE"""),"ARKWH2")</f>
        <v>ARKWH2</v>
      </c>
      <c r="H516" s="42"/>
      <c r="I516" s="46" t="str">
        <f>IFERROR(__xludf.DUMMYFUNCTION("""COMPUTED_VALUE"""),"https://repl.it/@wahyuKurniawan/Quiz2-ARKWH2")</f>
        <v>https://repl.it/@wahyuKurniawan/Quiz2-ARKWH2</v>
      </c>
      <c r="J516" s="46" t="str">
        <f>IFERROR(__xludf.DUMMYFUNCTION("""COMPUTED_VALUE"""),"https://drive.google.com/file/d/1foe80VJf0D5PEqn9RZ4G1MlORrNcXv1_/view?usp=sharing")</f>
        <v>https://drive.google.com/file/d/1foe80VJf0D5PEqn9RZ4G1MlORrNcXv1_/view?usp=sharing</v>
      </c>
      <c r="K516" s="46" t="str">
        <f>IFERROR(__xludf.DUMMYFUNCTION("""COMPUTED_VALUE"""),"https://drive.google.com/open?id=1hIPiECQaN84v6RUwTMi7G6hOWtZ8CmgL")</f>
        <v>https://drive.google.com/open?id=1hIPiECQaN84v6RUwTMi7G6hOWtZ8CmgL</v>
      </c>
      <c r="L516" s="42">
        <f>IFERROR(__xludf.DUMMYFUNCTION("""COMPUTED_VALUE"""),2.0)</f>
        <v>2</v>
      </c>
      <c r="M516" s="42" t="str">
        <f>IFERROR(__xludf.DUMMYFUNCTION("""COMPUTED_VALUE"""),"Sudah baik")</f>
        <v>Sudah baik</v>
      </c>
    </row>
    <row r="517">
      <c r="A517" s="43">
        <f>IFERROR(__xludf.DUMMYFUNCTION("""COMPUTED_VALUE"""),44126.499261053235)</f>
        <v>44126.49926</v>
      </c>
      <c r="B517" s="42" t="str">
        <f>IFERROR(__xludf.DUMMYFUNCTION("""COMPUTED_VALUE"""),"Ardion Massaid")</f>
        <v>Ardion Massaid</v>
      </c>
      <c r="C517" s="42" t="str">
        <f>IFERROR(__xludf.DUMMYFUNCTION("""COMPUTED_VALUE"""),"Online")</f>
        <v>Online</v>
      </c>
      <c r="D517" s="42" t="str">
        <f>IFERROR(__xludf.DUMMYFUNCTION("""COMPUTED_VALUE"""),"Android Developer")</f>
        <v>Android Developer</v>
      </c>
      <c r="E517" s="42">
        <f>IFERROR(__xludf.DUMMYFUNCTION("""COMPUTED_VALUE"""),1.0)</f>
        <v>1</v>
      </c>
      <c r="F517" s="42">
        <f>IFERROR(__xludf.DUMMYFUNCTION("""COMPUTED_VALUE"""),1.0)</f>
        <v>1</v>
      </c>
      <c r="G517" s="42" t="str">
        <f>IFERROR(__xludf.DUMMYFUNCTION("""COMPUTED_VALUE"""),"ARKWH2")</f>
        <v>ARKWH2</v>
      </c>
      <c r="H517" s="42"/>
      <c r="I517" s="46" t="str">
        <f>IFERROR(__xludf.DUMMYFUNCTION("""COMPUTED_VALUE"""),"https://repl.it/@ArdionMassaid/FrizzyWearyOutcome#main.kt")</f>
        <v>https://repl.it/@ArdionMassaid/FrizzyWearyOutcome#main.kt</v>
      </c>
      <c r="J517" s="46" t="str">
        <f>IFERROR(__xludf.DUMMYFUNCTION("""COMPUTED_VALUE"""),"https://drive.google.com/drive/folders/13njzqh73cIGrn_DmKWmRVaVYJBviZqIw?usp=sharing")</f>
        <v>https://drive.google.com/drive/folders/13njzqh73cIGrn_DmKWmRVaVYJBviZqIw?usp=sharing</v>
      </c>
      <c r="K517" s="46" t="str">
        <f>IFERROR(__xludf.DUMMYFUNCTION("""COMPUTED_VALUE"""),"https://drive.google.com/open?id=1IGwiEhffcREp2vzF4lsMY92Ho2AsTIsR")</f>
        <v>https://drive.google.com/open?id=1IGwiEhffcREp2vzF4lsMY92Ho2AsTIsR</v>
      </c>
      <c r="L517" s="42">
        <f>IFERROR(__xludf.DUMMYFUNCTION("""COMPUTED_VALUE"""),1.2)</f>
        <v>1.2</v>
      </c>
      <c r="M517" s="42" t="str">
        <f>IFERROR(__xludf.DUMMYFUNCTION("""COMPUTED_VALUE"""),"Masih belum sesuai bentuk outputnya seperti soal")</f>
        <v>Masih belum sesuai bentuk outputnya seperti soal</v>
      </c>
    </row>
    <row r="518">
      <c r="A518" s="43">
        <f>IFERROR(__xludf.DUMMYFUNCTION("""COMPUTED_VALUE"""),44138.6355809375)</f>
        <v>44138.63558</v>
      </c>
      <c r="B518" s="42" t="str">
        <f>IFERROR(__xludf.DUMMYFUNCTION("""COMPUTED_VALUE"""),"Abroor Rizky Nouvaldy")</f>
        <v>Abroor Rizky Nouvaldy</v>
      </c>
      <c r="C518" s="42" t="str">
        <f>IFERROR(__xludf.DUMMYFUNCTION("""COMPUTED_VALUE"""),"Online")</f>
        <v>Online</v>
      </c>
      <c r="D518" s="42" t="str">
        <f>IFERROR(__xludf.DUMMYFUNCTION("""COMPUTED_VALUE"""),"Fullstack Mobile Developer")</f>
        <v>Fullstack Mobile Developer</v>
      </c>
      <c r="E518" s="42">
        <f>IFERROR(__xludf.DUMMYFUNCTION("""COMPUTED_VALUE"""),19.0)</f>
        <v>19</v>
      </c>
      <c r="F518" s="42">
        <f>IFERROR(__xludf.DUMMYFUNCTION("""COMPUTED_VALUE"""),1.0)</f>
        <v>1</v>
      </c>
      <c r="G518" s="42" t="str">
        <f>IFERROR(__xludf.DUMMYFUNCTION("""COMPUTED_VALUE"""),"ARKWH1")</f>
        <v>ARKWH1</v>
      </c>
      <c r="H518" s="42"/>
      <c r="I518" s="46" t="str">
        <f>IFERROR(__xludf.DUMMYFUNCTION("""COMPUTED_VALUE"""),"https://repl.it/join/hghclsxy-abroorrizky")</f>
        <v>https://repl.it/join/hghclsxy-abroorrizky</v>
      </c>
      <c r="J518" s="42"/>
      <c r="K518" s="42"/>
      <c r="L518" s="42"/>
      <c r="M518" s="42"/>
    </row>
    <row r="519">
      <c r="A519" s="43">
        <f>IFERROR(__xludf.DUMMYFUNCTION("""COMPUTED_VALUE"""),44138.63523347222)</f>
        <v>44138.63523</v>
      </c>
      <c r="B519" s="42" t="str">
        <f>IFERROR(__xludf.DUMMYFUNCTION("""COMPUTED_VALUE"""),"Akbar Zulfikar")</f>
        <v>Akbar Zulfikar</v>
      </c>
      <c r="C519" s="42" t="str">
        <f>IFERROR(__xludf.DUMMYFUNCTION("""COMPUTED_VALUE"""),"Online")</f>
        <v>Online</v>
      </c>
      <c r="D519" s="42" t="str">
        <f>IFERROR(__xludf.DUMMYFUNCTION("""COMPUTED_VALUE"""),"Fullstack Mobile Developer")</f>
        <v>Fullstack Mobile Developer</v>
      </c>
      <c r="E519" s="42">
        <f>IFERROR(__xludf.DUMMYFUNCTION("""COMPUTED_VALUE"""),19.0)</f>
        <v>19</v>
      </c>
      <c r="F519" s="42">
        <f>IFERROR(__xludf.DUMMYFUNCTION("""COMPUTED_VALUE"""),1.0)</f>
        <v>1</v>
      </c>
      <c r="G519" s="42" t="str">
        <f>IFERROR(__xludf.DUMMYFUNCTION("""COMPUTED_VALUE"""),"ARKWH1")</f>
        <v>ARKWH1</v>
      </c>
      <c r="H519" s="42"/>
      <c r="I519" s="46" t="str">
        <f>IFERROR(__xludf.DUMMYFUNCTION("""COMPUTED_VALUE"""),"https://repl.it/@Akbarzulfikar98/quiz1#index.js")</f>
        <v>https://repl.it/@Akbarzulfikar98/quiz1#index.js</v>
      </c>
      <c r="J519" s="42"/>
      <c r="K519" s="46" t="str">
        <f>IFERROR(__xludf.DUMMYFUNCTION("""COMPUTED_VALUE"""),"https://drive.google.com/open?id=18y0XIPX-exrD7kOGFS-fsCA5taf4c3so")</f>
        <v>https://drive.google.com/open?id=18y0XIPX-exrD7kOGFS-fsCA5taf4c3so</v>
      </c>
      <c r="L519" s="42">
        <f>IFERROR(__xludf.DUMMYFUNCTION("""COMPUTED_VALUE"""),0.75)</f>
        <v>0.75</v>
      </c>
      <c r="M519" s="42" t="str">
        <f>IFERROR(__xludf.DUMMYFUNCTION("""COMPUTED_VALUE"""),"Code baru menangani kode promo, masih belum lengkap; flowchart harus lebih jelas lagi, gunakan variabel untuk mempermudah dalam pembacaan flowchart")</f>
        <v>Code baru menangani kode promo, masih belum lengkap; flowchart harus lebih jelas lagi, gunakan variabel untuk mempermudah dalam pembacaan flowchart</v>
      </c>
    </row>
    <row r="520">
      <c r="A520" s="43">
        <f>IFERROR(__xludf.DUMMYFUNCTION("""COMPUTED_VALUE"""),44138.63556238426)</f>
        <v>44138.63556</v>
      </c>
      <c r="B520" s="42" t="str">
        <f>IFERROR(__xludf.DUMMYFUNCTION("""COMPUTED_VALUE"""),"Amardito Khairi")</f>
        <v>Amardito Khairi</v>
      </c>
      <c r="C520" s="42" t="str">
        <f>IFERROR(__xludf.DUMMYFUNCTION("""COMPUTED_VALUE"""),"Online")</f>
        <v>Online</v>
      </c>
      <c r="D520" s="42" t="str">
        <f>IFERROR(__xludf.DUMMYFUNCTION("""COMPUTED_VALUE"""),"Fullstack Mobile Developer")</f>
        <v>Fullstack Mobile Developer</v>
      </c>
      <c r="E520" s="42">
        <f>IFERROR(__xludf.DUMMYFUNCTION("""COMPUTED_VALUE"""),19.0)</f>
        <v>19</v>
      </c>
      <c r="F520" s="42">
        <f>IFERROR(__xludf.DUMMYFUNCTION("""COMPUTED_VALUE"""),1.0)</f>
        <v>1</v>
      </c>
      <c r="G520" s="42" t="str">
        <f>IFERROR(__xludf.DUMMYFUNCTION("""COMPUTED_VALUE"""),"ARKWH1")</f>
        <v>ARKWH1</v>
      </c>
      <c r="H520" s="42"/>
      <c r="I520" s="46" t="str">
        <f>IFERROR(__xludf.DUMMYFUNCTION("""COMPUTED_VALUE"""),"https://repl.it/@AmarditoKhairi/FMB-19-amarditokhairi-Quiz-1#index.js")</f>
        <v>https://repl.it/@AmarditoKhairi/FMB-19-amarditokhairi-Quiz-1#index.js</v>
      </c>
      <c r="J520" s="46" t="str">
        <f>IFERROR(__xludf.DUMMYFUNCTION("""COMPUTED_VALUE"""),"https://drive.google.com/file/d/1h3W4k6T_kJMJV6px7saebvei0eUOz7Qh/view?usp=sharing")</f>
        <v>https://drive.google.com/file/d/1h3W4k6T_kJMJV6px7saebvei0eUOz7Qh/view?usp=sharing</v>
      </c>
      <c r="K520" s="46" t="str">
        <f>IFERROR(__xludf.DUMMYFUNCTION("""COMPUTED_VALUE"""),"https://drive.google.com/open?id=1sGHQXiopINNCIoquYfmfhcfLahpDlGiS")</f>
        <v>https://drive.google.com/open?id=1sGHQXiopINNCIoquYfmfhcfLahpDlGiS</v>
      </c>
      <c r="L520" s="42">
        <f>IFERROR(__xludf.DUMMYFUNCTION("""COMPUTED_VALUE"""),1.4)</f>
        <v>1.4</v>
      </c>
      <c r="M520" s="42" t="str">
        <f>IFERROR(__xludf.DUMMYFUNCTION("""COMPUTED_VALUE"""),"Code sudah baik, namun output tidak sesuai ketentuan; anak panah di flowchart saling bertumpukan, ada langkah yang tidak dibutuhkan (cek kode voucher; seharusnya langsung ke decision), ada langkah yang tidak dijelaskan step by stepnya (penghitungan ongkir"&amp;"), ada variabel yang tidak ada deklarasi dan assignmentnya")</f>
        <v>Code sudah baik, namun output tidak sesuai ketentuan; anak panah di flowchart saling bertumpukan, ada langkah yang tidak dibutuhkan (cek kode voucher; seharusnya langsung ke decision), ada langkah yang tidak dijelaskan step by stepnya (penghitungan ongkir), ada variabel yang tidak ada deklarasi dan assignmentnya</v>
      </c>
    </row>
    <row r="521">
      <c r="A521" s="43">
        <f>IFERROR(__xludf.DUMMYFUNCTION("""COMPUTED_VALUE"""),44138.636353298614)</f>
        <v>44138.63635</v>
      </c>
      <c r="B521" s="42" t="str">
        <f>IFERROR(__xludf.DUMMYFUNCTION("""COMPUTED_VALUE"""),"Ananda Muhammad Muthaqin")</f>
        <v>Ananda Muhammad Muthaqin</v>
      </c>
      <c r="C521" s="42" t="str">
        <f>IFERROR(__xludf.DUMMYFUNCTION("""COMPUTED_VALUE"""),"Online")</f>
        <v>Online</v>
      </c>
      <c r="D521" s="42" t="str">
        <f>IFERROR(__xludf.DUMMYFUNCTION("""COMPUTED_VALUE"""),"Fullstack Mobile Developer")</f>
        <v>Fullstack Mobile Developer</v>
      </c>
      <c r="E521" s="42">
        <f>IFERROR(__xludf.DUMMYFUNCTION("""COMPUTED_VALUE"""),19.0)</f>
        <v>19</v>
      </c>
      <c r="F521" s="42">
        <f>IFERROR(__xludf.DUMMYFUNCTION("""COMPUTED_VALUE"""),1.0)</f>
        <v>1</v>
      </c>
      <c r="G521" s="42" t="str">
        <f>IFERROR(__xludf.DUMMYFUNCTION("""COMPUTED_VALUE"""),"ARKWH1")</f>
        <v>ARKWH1</v>
      </c>
      <c r="H521" s="42"/>
      <c r="I521" s="46" t="str">
        <f>IFERROR(__xludf.DUMMYFUNCTION("""COMPUTED_VALUE"""),"https://repl.it/@AnandaMuhammad/quiz-1")</f>
        <v>https://repl.it/@AnandaMuhammad/quiz-1</v>
      </c>
      <c r="J521" s="42"/>
      <c r="K521" s="42"/>
      <c r="L521" s="42">
        <f>IFERROR(__xludf.DUMMYFUNCTION("""COMPUTED_VALUE"""),0.8)</f>
        <v>0.8</v>
      </c>
      <c r="M521" s="42" t="str">
        <f>IFERROR(__xludf.DUMMYFUNCTION("""COMPUTED_VALUE"""),"Logic sudah cukup baik, diperhatikan soalnya kembali, parameter keempat menggunakan boolean bukan string, jika parameter keempat diganti menjadi false hasilnya akan NaN (harap error di handle dengan baik); tidak mengerjakan Flowchart")</f>
        <v>Logic sudah cukup baik, diperhatikan soalnya kembali, parameter keempat menggunakan boolean bukan string, jika parameter keempat diganti menjadi false hasilnya akan NaN (harap error di handle dengan baik); tidak mengerjakan Flowchart</v>
      </c>
    </row>
    <row r="522">
      <c r="A522" s="43">
        <f>IFERROR(__xludf.DUMMYFUNCTION("""COMPUTED_VALUE"""),44138.635715185184)</f>
        <v>44138.63572</v>
      </c>
      <c r="B522" s="42" t="str">
        <f>IFERROR(__xludf.DUMMYFUNCTION("""COMPUTED_VALUE"""),"Arief Widiyatmoko")</f>
        <v>Arief Widiyatmoko</v>
      </c>
      <c r="C522" s="42" t="str">
        <f>IFERROR(__xludf.DUMMYFUNCTION("""COMPUTED_VALUE"""),"Online")</f>
        <v>Online</v>
      </c>
      <c r="D522" s="42" t="str">
        <f>IFERROR(__xludf.DUMMYFUNCTION("""COMPUTED_VALUE"""),"Fullstack Mobile Developer")</f>
        <v>Fullstack Mobile Developer</v>
      </c>
      <c r="E522" s="42">
        <f>IFERROR(__xludf.DUMMYFUNCTION("""COMPUTED_VALUE"""),19.0)</f>
        <v>19</v>
      </c>
      <c r="F522" s="42">
        <f>IFERROR(__xludf.DUMMYFUNCTION("""COMPUTED_VALUE"""),1.0)</f>
        <v>1</v>
      </c>
      <c r="G522" s="42" t="str">
        <f>IFERROR(__xludf.DUMMYFUNCTION("""COMPUTED_VALUE"""),"ARKWH1")</f>
        <v>ARKWH1</v>
      </c>
      <c r="H522" s="42"/>
      <c r="I522" s="46" t="str">
        <f>IFERROR(__xludf.DUMMYFUNCTION("""COMPUTED_VALUE"""),"https://repl.it/@bronya96/Q1")</f>
        <v>https://repl.it/@bronya96/Q1</v>
      </c>
      <c r="J522" s="42"/>
      <c r="K522" s="46" t="str">
        <f>IFERROR(__xludf.DUMMYFUNCTION("""COMPUTED_VALUE"""),"https://drive.google.com/open?id=1j6ITwsaRpE5QqdqhvzNOVcouh89Q5Lce")</f>
        <v>https://drive.google.com/open?id=1j6ITwsaRpE5QqdqhvzNOVcouh89Q5Lce</v>
      </c>
      <c r="L522" s="42">
        <f>IFERROR(__xludf.DUMMYFUNCTION("""COMPUTED_VALUE"""),1.8)</f>
        <v>1.8</v>
      </c>
      <c r="M522" s="42" t="str">
        <f>IFERROR(__xludf.DUMMYFUNCTION("""COMPUTED_VALUE"""),"Code sudah baik; Flowchart sudah cukup lengkap namun ada langkah yang putus (Diskon = 0), ada langkah yang tidak sesuai dengan code (diskon_msg = pembelian tidak mencukupi =&gt; cetak diskon_msg =&gt; selesai) (di kode harga tetap dihitung)")</f>
        <v>Code sudah baik; Flowchart sudah cukup lengkap namun ada langkah yang putus (Diskon = 0), ada langkah yang tidak sesuai dengan code (diskon_msg = pembelian tidak mencukupi =&gt; cetak diskon_msg =&gt; selesai) (di kode harga tetap dihitung)</v>
      </c>
    </row>
    <row r="523">
      <c r="A523" s="43">
        <f>IFERROR(__xludf.DUMMYFUNCTION("""COMPUTED_VALUE"""),44138.637245578706)</f>
        <v>44138.63725</v>
      </c>
      <c r="B523" s="42" t="str">
        <f>IFERROR(__xludf.DUMMYFUNCTION("""COMPUTED_VALUE"""),"Arif Nur Agung Laksana")</f>
        <v>Arif Nur Agung Laksana</v>
      </c>
      <c r="C523" s="42" t="str">
        <f>IFERROR(__xludf.DUMMYFUNCTION("""COMPUTED_VALUE"""),"Online")</f>
        <v>Online</v>
      </c>
      <c r="D523" s="42" t="str">
        <f>IFERROR(__xludf.DUMMYFUNCTION("""COMPUTED_VALUE"""),"Fullstack Mobile Developer")</f>
        <v>Fullstack Mobile Developer</v>
      </c>
      <c r="E523" s="42">
        <f>IFERROR(__xludf.DUMMYFUNCTION("""COMPUTED_VALUE"""),19.0)</f>
        <v>19</v>
      </c>
      <c r="F523" s="42">
        <f>IFERROR(__xludf.DUMMYFUNCTION("""COMPUTED_VALUE"""),1.0)</f>
        <v>1</v>
      </c>
      <c r="G523" s="42" t="str">
        <f>IFERROR(__xludf.DUMMYFUNCTION("""COMPUTED_VALUE"""),"ARKWH1")</f>
        <v>ARKWH1</v>
      </c>
      <c r="H523" s="42"/>
      <c r="I523" s="46" t="str">
        <f>IFERROR(__xludf.DUMMYFUNCTION("""COMPUTED_VALUE"""),"https://repl.it/@woobwoofwolf/quiz#index.js")</f>
        <v>https://repl.it/@woobwoofwolf/quiz#index.js</v>
      </c>
      <c r="J523" s="42"/>
      <c r="K523" s="46" t="str">
        <f>IFERROR(__xludf.DUMMYFUNCTION("""COMPUTED_VALUE"""),"https://drive.google.com/open?id=1jMNy3LxAyVHBJw4Hyo1igTV2USY2kpA6")</f>
        <v>https://drive.google.com/open?id=1jMNy3LxAyVHBJw4Hyo1igTV2USY2kpA6</v>
      </c>
      <c r="L523" s="42">
        <f>IFERROR(__xludf.DUMMYFUNCTION("""COMPUTED_VALUE"""),1.5)</f>
        <v>1.5</v>
      </c>
      <c r="M523" s="42" t="str">
        <f>IFERROR(__xludf.DUMMYFUNCTION("""COMPUTED_VALUE"""),"Code sudak baik; Flowchart tidak selesai, untuk decision keluarnya hanyalah true/false, kalau mau ada decision lain silahkan dibuat decision setelah decision")</f>
        <v>Code sudak baik; Flowchart tidak selesai, untuk decision keluarnya hanyalah true/false, kalau mau ada decision lain silahkan dibuat decision setelah decision</v>
      </c>
    </row>
    <row r="524">
      <c r="A524" s="43">
        <f>IFERROR(__xludf.DUMMYFUNCTION("""COMPUTED_VALUE"""),44138.63806070602)</f>
        <v>44138.63806</v>
      </c>
      <c r="B524" s="42" t="str">
        <f>IFERROR(__xludf.DUMMYFUNCTION("""COMPUTED_VALUE"""),"Dhiya Reksa Kusumojati Brameswanto")</f>
        <v>Dhiya Reksa Kusumojati Brameswanto</v>
      </c>
      <c r="C524" s="42" t="str">
        <f>IFERROR(__xludf.DUMMYFUNCTION("""COMPUTED_VALUE"""),"Online")</f>
        <v>Online</v>
      </c>
      <c r="D524" s="42" t="str">
        <f>IFERROR(__xludf.DUMMYFUNCTION("""COMPUTED_VALUE"""),"Fullstack Mobile Developer")</f>
        <v>Fullstack Mobile Developer</v>
      </c>
      <c r="E524" s="42">
        <f>IFERROR(__xludf.DUMMYFUNCTION("""COMPUTED_VALUE"""),19.0)</f>
        <v>19</v>
      </c>
      <c r="F524" s="42">
        <f>IFERROR(__xludf.DUMMYFUNCTION("""COMPUTED_VALUE"""),1.0)</f>
        <v>1</v>
      </c>
      <c r="G524" s="42" t="str">
        <f>IFERROR(__xludf.DUMMYFUNCTION("""COMPUTED_VALUE"""),"ARKWH1")</f>
        <v>ARKWH1</v>
      </c>
      <c r="H524" s="42"/>
      <c r="I524" s="46" t="str">
        <f>IFERROR(__xludf.DUMMYFUNCTION("""COMPUTED_VALUE"""),"https://playcode.io/699997/")</f>
        <v>https://playcode.io/699997/</v>
      </c>
      <c r="J524" s="42"/>
      <c r="K524" s="46" t="str">
        <f>IFERROR(__xludf.DUMMYFUNCTION("""COMPUTED_VALUE"""),"https://drive.google.com/open?id=1ZX40BFhAEQZX4c9KfO3-gouu9qp3XWCI")</f>
        <v>https://drive.google.com/open?id=1ZX40BFhAEQZX4c9KfO3-gouu9qp3XWCI</v>
      </c>
      <c r="L524" s="42">
        <f>IFERROR(__xludf.DUMMYFUNCTION("""COMPUTED_VALUE"""),0.2)</f>
        <v>0.2</v>
      </c>
      <c r="M524" s="42" t="str">
        <f>IFERROR(__xludf.DUMMYFUNCTION("""COMPUTED_VALUE"""),"Code belum selesai, baru validasi voucher saja yang selesai; flowchart tidak selesai, penggunaan decision yang salah")</f>
        <v>Code belum selesai, baru validasi voucher saja yang selesai; flowchart tidak selesai, penggunaan decision yang salah</v>
      </c>
    </row>
    <row r="525">
      <c r="A525" s="43">
        <f>IFERROR(__xludf.DUMMYFUNCTION("""COMPUTED_VALUE"""),44138.63696172454)</f>
        <v>44138.63696</v>
      </c>
      <c r="B525" s="42" t="str">
        <f>IFERROR(__xludf.DUMMYFUNCTION("""COMPUTED_VALUE"""),"Elwandy Tirtana Deriansyah")</f>
        <v>Elwandy Tirtana Deriansyah</v>
      </c>
      <c r="C525" s="42" t="str">
        <f>IFERROR(__xludf.DUMMYFUNCTION("""COMPUTED_VALUE"""),"Online")</f>
        <v>Online</v>
      </c>
      <c r="D525" s="42" t="str">
        <f>IFERROR(__xludf.DUMMYFUNCTION("""COMPUTED_VALUE"""),"Fullstack Mobile Developer")</f>
        <v>Fullstack Mobile Developer</v>
      </c>
      <c r="E525" s="42">
        <f>IFERROR(__xludf.DUMMYFUNCTION("""COMPUTED_VALUE"""),19.0)</f>
        <v>19</v>
      </c>
      <c r="F525" s="42">
        <f>IFERROR(__xludf.DUMMYFUNCTION("""COMPUTED_VALUE"""),1.0)</f>
        <v>1</v>
      </c>
      <c r="G525" s="42" t="str">
        <f>IFERROR(__xludf.DUMMYFUNCTION("""COMPUTED_VALUE"""),"ARKWH1")</f>
        <v>ARKWH1</v>
      </c>
      <c r="H525" s="42"/>
      <c r="I525" s="46" t="str">
        <f>IFERROR(__xludf.DUMMYFUNCTION("""COMPUTED_VALUE"""),"https://repl.it/@eltirder0/Quiz1")</f>
        <v>https://repl.it/@eltirder0/Quiz1</v>
      </c>
      <c r="J525" s="42"/>
      <c r="K525" s="46" t="str">
        <f>IFERROR(__xludf.DUMMYFUNCTION("""COMPUTED_VALUE"""),"https://drive.google.com/open?id=1LS4S3aCSuiXSSRdcQ8o74hrbN-QbqPcM")</f>
        <v>https://drive.google.com/open?id=1LS4S3aCSuiXSSRdcQ8o74hrbN-QbqPcM</v>
      </c>
      <c r="L525" s="42">
        <f>IFERROR(__xludf.DUMMYFUNCTION("""COMPUTED_VALUE"""),1.5)</f>
        <v>1.5</v>
      </c>
      <c r="M525" s="42" t="str">
        <f>IFERROR(__xludf.DUMMYFUNCTION("""COMPUTED_VALUE"""),"Code sudah baik, masih ada kesalahan dalam perhitungan total harga; Flowchart cukup lengkap, decision yang pertama hanya ada satu panah, di decision yang lain tidak ada keterangan panah mana yang true dan panah mana yang false")</f>
        <v>Code sudah baik, masih ada kesalahan dalam perhitungan total harga; Flowchart cukup lengkap, decision yang pertama hanya ada satu panah, di decision yang lain tidak ada keterangan panah mana yang true dan panah mana yang false</v>
      </c>
    </row>
    <row r="526">
      <c r="A526" s="43">
        <f>IFERROR(__xludf.DUMMYFUNCTION("""COMPUTED_VALUE"""),44138.66631082176)</f>
        <v>44138.66631</v>
      </c>
      <c r="B526" s="42" t="str">
        <f>IFERROR(__xludf.DUMMYFUNCTION("""COMPUTED_VALUE"""),"Fachri Ghiffary")</f>
        <v>Fachri Ghiffary</v>
      </c>
      <c r="C526" s="42" t="str">
        <f>IFERROR(__xludf.DUMMYFUNCTION("""COMPUTED_VALUE"""),"Online")</f>
        <v>Online</v>
      </c>
      <c r="D526" s="42" t="str">
        <f>IFERROR(__xludf.DUMMYFUNCTION("""COMPUTED_VALUE"""),"Fullstack Mobile Developer")</f>
        <v>Fullstack Mobile Developer</v>
      </c>
      <c r="E526" s="42">
        <f>IFERROR(__xludf.DUMMYFUNCTION("""COMPUTED_VALUE"""),19.0)</f>
        <v>19</v>
      </c>
      <c r="F526" s="42">
        <f>IFERROR(__xludf.DUMMYFUNCTION("""COMPUTED_VALUE"""),1.0)</f>
        <v>1</v>
      </c>
      <c r="G526" s="42" t="str">
        <f>IFERROR(__xludf.DUMMYFUNCTION("""COMPUTED_VALUE"""),"ARKWH1")</f>
        <v>ARKWH1</v>
      </c>
      <c r="H526" s="42"/>
      <c r="I526" s="46" t="str">
        <f>IFERROR(__xludf.DUMMYFUNCTION("""COMPUTED_VALUE"""),"https://repl.it/@FachriGhiffary/quis1")</f>
        <v>https://repl.it/@FachriGhiffary/quis1</v>
      </c>
      <c r="J526" s="42"/>
      <c r="K526" s="46" t="str">
        <f>IFERROR(__xludf.DUMMYFUNCTION("""COMPUTED_VALUE"""),"https://drive.google.com/open?id=17Cnq9OCDmS3kVk6NZPD1c9yAehu2ZfKH")</f>
        <v>https://drive.google.com/open?id=17Cnq9OCDmS3kVk6NZPD1c9yAehu2ZfKH</v>
      </c>
      <c r="L526" s="42">
        <f>IFERROR(__xludf.DUMMYFUNCTION("""COMPUTED_VALUE"""),0.6)</f>
        <v>0.6</v>
      </c>
      <c r="M526" s="42" t="str">
        <f>IFERROR(__xludf.DUMMYFUNCTION("""COMPUTED_VALUE"""),"Code belum selesai, hanya menangani 2 specific case saja, harus lebih fleksibel codenya; Flowchart sudah cukup lengkap, namun hanya copy paste saja dari algoritma (proses tidak ditampilkan sebagaimana flowchart yang semestinya), penulisan selesai bisa dig"&amp;"abung")</f>
        <v>Code belum selesai, hanya menangani 2 specific case saja, harus lebih fleksibel codenya; Flowchart sudah cukup lengkap, namun hanya copy paste saja dari algoritma (proses tidak ditampilkan sebagaimana flowchart yang semestinya), penulisan selesai bisa digabung</v>
      </c>
    </row>
    <row r="527">
      <c r="A527" s="43">
        <f>IFERROR(__xludf.DUMMYFUNCTION("""COMPUTED_VALUE"""),44138.63718399305)</f>
        <v>44138.63718</v>
      </c>
      <c r="B527" s="42" t="str">
        <f>IFERROR(__xludf.DUMMYFUNCTION("""COMPUTED_VALUE"""),"HENDRA SOLIH ABDURAHMAN")</f>
        <v>HENDRA SOLIH ABDURAHMAN</v>
      </c>
      <c r="C527" s="42" t="str">
        <f>IFERROR(__xludf.DUMMYFUNCTION("""COMPUTED_VALUE"""),"Online")</f>
        <v>Online</v>
      </c>
      <c r="D527" s="42" t="str">
        <f>IFERROR(__xludf.DUMMYFUNCTION("""COMPUTED_VALUE"""),"Fullstack Mobile Developer")</f>
        <v>Fullstack Mobile Developer</v>
      </c>
      <c r="E527" s="42">
        <f>IFERROR(__xludf.DUMMYFUNCTION("""COMPUTED_VALUE"""),19.0)</f>
        <v>19</v>
      </c>
      <c r="F527" s="42">
        <f>IFERROR(__xludf.DUMMYFUNCTION("""COMPUTED_VALUE"""),1.0)</f>
        <v>1</v>
      </c>
      <c r="G527" s="42" t="str">
        <f>IFERROR(__xludf.DUMMYFUNCTION("""COMPUTED_VALUE"""),"ARKWH1")</f>
        <v>ARKWH1</v>
      </c>
      <c r="H527" s="42"/>
      <c r="I527" s="46" t="str">
        <f>IFERROR(__xludf.DUMMYFUNCTION("""COMPUTED_VALUE"""),"https://repl.it/@hendrasolih/quiz#index.js")</f>
        <v>https://repl.it/@hendrasolih/quiz#index.js</v>
      </c>
      <c r="J527" s="42"/>
      <c r="K527" s="46" t="str">
        <f>IFERROR(__xludf.DUMMYFUNCTION("""COMPUTED_VALUE"""),"https://drive.google.com/open?id=1B1O-unVO8YpXuxZhAxt2ymJcohW3jZ0S")</f>
        <v>https://drive.google.com/open?id=1B1O-unVO8YpXuxZhAxt2ymJcohW3jZ0S</v>
      </c>
      <c r="L527" s="42">
        <f>IFERROR(__xludf.DUMMYFUNCTION("""COMPUTED_VALUE"""),1.0)</f>
        <v>1</v>
      </c>
      <c r="M527" s="42" t="str">
        <f>IFERROR(__xludf.DUMMYFUNCTION("""COMPUTED_VALUE"""),"Code belum selesai, fungsi jika diberikan return akan berhenti (hati hati dalam penggunaan return), fungsi nilaiPotongan di deklarasi dan pemanggilan parameternya terbalik, variabel jumlah hanya menerima parameter harga tanpa diberikan apapun (waste of va"&amp;"riable); Flowchart belum lengkap, tidak menggambarkan proses sebagaimana instruksinya")</f>
        <v>Code belum selesai, fungsi jika diberikan return akan berhenti (hati hati dalam penggunaan return), fungsi nilaiPotongan di deklarasi dan pemanggilan parameternya terbalik, variabel jumlah hanya menerima parameter harga tanpa diberikan apapun (waste of variable); Flowchart belum lengkap, tidak menggambarkan proses sebagaimana instruksinya</v>
      </c>
    </row>
    <row r="528">
      <c r="A528" s="43">
        <f>IFERROR(__xludf.DUMMYFUNCTION("""COMPUTED_VALUE"""),44138.637509085645)</f>
        <v>44138.63751</v>
      </c>
      <c r="B528" s="42" t="str">
        <f>IFERROR(__xludf.DUMMYFUNCTION("""COMPUTED_VALUE"""),"M Nur Septian")</f>
        <v>M Nur Septian</v>
      </c>
      <c r="C528" s="42" t="str">
        <f>IFERROR(__xludf.DUMMYFUNCTION("""COMPUTED_VALUE"""),"Online")</f>
        <v>Online</v>
      </c>
      <c r="D528" s="42" t="str">
        <f>IFERROR(__xludf.DUMMYFUNCTION("""COMPUTED_VALUE"""),"Fullstack Mobile Developer")</f>
        <v>Fullstack Mobile Developer</v>
      </c>
      <c r="E528" s="42">
        <f>IFERROR(__xludf.DUMMYFUNCTION("""COMPUTED_VALUE"""),19.0)</f>
        <v>19</v>
      </c>
      <c r="F528" s="42">
        <f>IFERROR(__xludf.DUMMYFUNCTION("""COMPUTED_VALUE"""),1.0)</f>
        <v>1</v>
      </c>
      <c r="G528" s="42" t="str">
        <f>IFERROR(__xludf.DUMMYFUNCTION("""COMPUTED_VALUE"""),"ARKWH1")</f>
        <v>ARKWH1</v>
      </c>
      <c r="H528" s="42"/>
      <c r="I528" s="46" t="str">
        <f>IFERROR(__xludf.DUMMYFUNCTION("""COMPUTED_VALUE"""),"https://playcode.io/699396/")</f>
        <v>https://playcode.io/699396/</v>
      </c>
      <c r="J528" s="42"/>
      <c r="K528" s="46" t="str">
        <f>IFERROR(__xludf.DUMMYFUNCTION("""COMPUTED_VALUE"""),"https://drive.google.com/open?id=1YtXbH4WW5AFpoYpGseQ-b8ZIC-8QM8ZP")</f>
        <v>https://drive.google.com/open?id=1YtXbH4WW5AFpoYpGseQ-b8ZIC-8QM8ZP</v>
      </c>
      <c r="L528" s="42">
        <f>IFERROR(__xludf.DUMMYFUNCTION("""COMPUTED_VALUE"""),0.4)</f>
        <v>0.4</v>
      </c>
      <c r="M528" s="42" t="str">
        <f>IFERROR(__xludf.DUMMYFUNCTION("""COMPUTED_VALUE"""),"Code belum selesai, ada fungsi didalam (jarakTempuh, pajak) yang tidak dipanggil, jika belum final nilai jangan dioutputkan namun disimpan terlebih dahulu di variabel; Flowchart belum lengkap, tidak menggambarkan proses sebagaimana instruksinya")</f>
        <v>Code belum selesai, ada fungsi didalam (jarakTempuh, pajak) yang tidak dipanggil, jika belum final nilai jangan dioutputkan namun disimpan terlebih dahulu di variabel; Flowchart belum lengkap, tidak menggambarkan proses sebagaimana instruksinya</v>
      </c>
    </row>
    <row r="529">
      <c r="A529" s="43">
        <f>IFERROR(__xludf.DUMMYFUNCTION("""COMPUTED_VALUE"""),44138.63816097222)</f>
        <v>44138.63816</v>
      </c>
      <c r="B529" s="42" t="str">
        <f>IFERROR(__xludf.DUMMYFUNCTION("""COMPUTED_VALUE"""),"Moch. Bayu Erich Dewangga")</f>
        <v>Moch. Bayu Erich Dewangga</v>
      </c>
      <c r="C529" s="42" t="str">
        <f>IFERROR(__xludf.DUMMYFUNCTION("""COMPUTED_VALUE"""),"Online")</f>
        <v>Online</v>
      </c>
      <c r="D529" s="42" t="str">
        <f>IFERROR(__xludf.DUMMYFUNCTION("""COMPUTED_VALUE"""),"Fullstack Mobile Developer")</f>
        <v>Fullstack Mobile Developer</v>
      </c>
      <c r="E529" s="42">
        <f>IFERROR(__xludf.DUMMYFUNCTION("""COMPUTED_VALUE"""),19.0)</f>
        <v>19</v>
      </c>
      <c r="F529" s="42">
        <f>IFERROR(__xludf.DUMMYFUNCTION("""COMPUTED_VALUE"""),1.0)</f>
        <v>1</v>
      </c>
      <c r="G529" s="42" t="str">
        <f>IFERROR(__xludf.DUMMYFUNCTION("""COMPUTED_VALUE"""),"ARKWH1")</f>
        <v>ARKWH1</v>
      </c>
      <c r="H529" s="42"/>
      <c r="I529" s="46" t="str">
        <f>IFERROR(__xludf.DUMMYFUNCTION("""COMPUTED_VALUE"""),"https://repl.it/@Yu48/Quiz-1#index.js")</f>
        <v>https://repl.it/@Yu48/Quiz-1#index.js</v>
      </c>
      <c r="J529" s="42"/>
      <c r="K529" s="46" t="str">
        <f>IFERROR(__xludf.DUMMYFUNCTION("""COMPUTED_VALUE"""),"https://drive.google.com/open?id=1jjs6pMzc9mMRMdVuX8ZK1LgIaJPLkVmN")</f>
        <v>https://drive.google.com/open?id=1jjs6pMzc9mMRMdVuX8ZK1LgIaJPLkVmN</v>
      </c>
      <c r="L529" s="42">
        <f>IFERROR(__xludf.DUMMYFUNCTION("""COMPUTED_VALUE"""),0.7)</f>
        <v>0.7</v>
      </c>
      <c r="M529" s="42" t="str">
        <f>IFERROR(__xludf.DUMMYFUNCTION("""COMPUTED_VALUE"""),"Code masih kurang, diperhatikan lagi ketentuan di soal, yang dioutputkan bukan vouchernya namun besar potongannya, perhitungan biaya antar masih salah, sub_total dihitung di akhir ketika semua nilai sudah ada bukan di awal fungsi, diperhatikan lagi jenis "&amp;"variabel apa saja yang kamu operasikan (tambah, kurang, bagi, kali); flowchart belum selesai")</f>
        <v>Code masih kurang, diperhatikan lagi ketentuan di soal, yang dioutputkan bukan vouchernya namun besar potongannya, perhitungan biaya antar masih salah, sub_total dihitung di akhir ketika semua nilai sudah ada bukan di awal fungsi, diperhatikan lagi jenis variabel apa saja yang kamu operasikan (tambah, kurang, bagi, kali); flowchart belum selesai</v>
      </c>
    </row>
    <row r="530">
      <c r="A530" s="43">
        <f>IFERROR(__xludf.DUMMYFUNCTION("""COMPUTED_VALUE"""),44138.63740127315)</f>
        <v>44138.6374</v>
      </c>
      <c r="B530" s="42" t="str">
        <f>IFERROR(__xludf.DUMMYFUNCTION("""COMPUTED_VALUE"""),"Mochammad Ghaly Ramadhan")</f>
        <v>Mochammad Ghaly Ramadhan</v>
      </c>
      <c r="C530" s="42" t="str">
        <f>IFERROR(__xludf.DUMMYFUNCTION("""COMPUTED_VALUE"""),"Online")</f>
        <v>Online</v>
      </c>
      <c r="D530" s="42" t="str">
        <f>IFERROR(__xludf.DUMMYFUNCTION("""COMPUTED_VALUE"""),"Fullstack Mobile Developer")</f>
        <v>Fullstack Mobile Developer</v>
      </c>
      <c r="E530" s="42">
        <f>IFERROR(__xludf.DUMMYFUNCTION("""COMPUTED_VALUE"""),19.0)</f>
        <v>19</v>
      </c>
      <c r="F530" s="42">
        <f>IFERROR(__xludf.DUMMYFUNCTION("""COMPUTED_VALUE"""),1.0)</f>
        <v>1</v>
      </c>
      <c r="G530" s="42" t="str">
        <f>IFERROR(__xludf.DUMMYFUNCTION("""COMPUTED_VALUE"""),"ARKWH1")</f>
        <v>ARKWH1</v>
      </c>
      <c r="H530" s="42"/>
      <c r="I530" s="46" t="str">
        <f>IFERROR(__xludf.DUMMYFUNCTION("""COMPUTED_VALUE"""),"https://repl.it/join/uazsfycc-adminlte")</f>
        <v>https://repl.it/join/uazsfycc-adminlte</v>
      </c>
      <c r="J530" s="42"/>
      <c r="K530" s="46" t="str">
        <f>IFERROR(__xludf.DUMMYFUNCTION("""COMPUTED_VALUE"""),"https://drive.google.com/open?id=1t_Wy7i3L3-koVdOlNDjfl_J0cRzMLkgP")</f>
        <v>https://drive.google.com/open?id=1t_Wy7i3L3-koVdOlNDjfl_J0cRzMLkgP</v>
      </c>
      <c r="L530" s="42">
        <f>IFERROR(__xludf.DUMMYFUNCTION("""COMPUTED_VALUE"""),0.6)</f>
        <v>0.6</v>
      </c>
      <c r="M530" s="42" t="str">
        <f>IFERROR(__xludf.DUMMYFUNCTION("""COMPUTED_VALUE"""),"Code belum selesai, jangan lupa nilai yang mau dioutput di return oleh fungsinya, baru penghitungan diskon saja yang selesai; Penulisan flowchart masih kurang lengkap, deklarasi/assignment variabel gunakan proses bukan input, tanda decision untuk true dan"&amp;" false belum ada, dijelaskan apa yang dioutputkan ke console")</f>
        <v>Code belum selesai, jangan lupa nilai yang mau dioutput di return oleh fungsinya, baru penghitungan diskon saja yang selesai; Penulisan flowchart masih kurang lengkap, deklarasi/assignment variabel gunakan proses bukan input, tanda decision untuk true dan false belum ada, dijelaskan apa yang dioutputkan ke console</v>
      </c>
    </row>
    <row r="531">
      <c r="A531" s="43">
        <f>IFERROR(__xludf.DUMMYFUNCTION("""COMPUTED_VALUE"""),44138.63391082176)</f>
        <v>44138.63391</v>
      </c>
      <c r="B531" s="42" t="str">
        <f>IFERROR(__xludf.DUMMYFUNCTION("""COMPUTED_VALUE"""),"Muhammad Abdi Priyangga")</f>
        <v>Muhammad Abdi Priyangga</v>
      </c>
      <c r="C531" s="42" t="str">
        <f>IFERROR(__xludf.DUMMYFUNCTION("""COMPUTED_VALUE"""),"Online")</f>
        <v>Online</v>
      </c>
      <c r="D531" s="42" t="str">
        <f>IFERROR(__xludf.DUMMYFUNCTION("""COMPUTED_VALUE"""),"Fullstack Mobile Developer")</f>
        <v>Fullstack Mobile Developer</v>
      </c>
      <c r="E531" s="42">
        <f>IFERROR(__xludf.DUMMYFUNCTION("""COMPUTED_VALUE"""),19.0)</f>
        <v>19</v>
      </c>
      <c r="F531" s="42">
        <f>IFERROR(__xludf.DUMMYFUNCTION("""COMPUTED_VALUE"""),1.0)</f>
        <v>1</v>
      </c>
      <c r="G531" s="42" t="str">
        <f>IFERROR(__xludf.DUMMYFUNCTION("""COMPUTED_VALUE"""),"ARKWH1")</f>
        <v>ARKWH1</v>
      </c>
      <c r="H531" s="42"/>
      <c r="I531" s="46" t="str">
        <f>IFERROR(__xludf.DUMMYFUNCTION("""COMPUTED_VALUE"""),"https://repl.it/@mabdip/Quis1#index.js")</f>
        <v>https://repl.it/@mabdip/Quis1#index.js</v>
      </c>
      <c r="J531" s="42"/>
      <c r="K531" s="46" t="str">
        <f>IFERROR(__xludf.DUMMYFUNCTION("""COMPUTED_VALUE"""),"https://drive.google.com/open?id=1cqpseFuKku7qEmug3Taw9Kkf5qdi95XL")</f>
        <v>https://drive.google.com/open?id=1cqpseFuKku7qEmug3Taw9Kkf5qdi95XL</v>
      </c>
      <c r="L531" s="42">
        <f>IFERROR(__xludf.DUMMYFUNCTION("""COMPUTED_VALUE"""),0.7)</f>
        <v>0.7</v>
      </c>
      <c r="M531" s="42" t="str">
        <f>IFERROR(__xludf.DUMMYFUNCTION("""COMPUTED_VALUE"""),"Code masih kurang, diperhatikan lagi ketentuan di soal, output potongan cukup satu kali saja, perhitungan biaya antar hanya untuk 2 km ke bawah, parameter pajak menggunakan tipe data boolean bukan menggunakan string, jika tidak ada pajak maka pajak = 0, k"&amp;"etika dicoba case lain subTotal menghasilkan NaN (error harus di handle); Flowchart tidak sesuai dengan soal")</f>
        <v>Code masih kurang, diperhatikan lagi ketentuan di soal, output potongan cukup satu kali saja, perhitungan biaya antar hanya untuk 2 km ke bawah, parameter pajak menggunakan tipe data boolean bukan menggunakan string, jika tidak ada pajak maka pajak = 0, ketika dicoba case lain subTotal menghasilkan NaN (error harus di handle); Flowchart tidak sesuai dengan soal</v>
      </c>
    </row>
    <row r="532">
      <c r="A532" s="43">
        <f>IFERROR(__xludf.DUMMYFUNCTION("""COMPUTED_VALUE"""),44138.638153692125)</f>
        <v>44138.63815</v>
      </c>
      <c r="B532" s="42" t="str">
        <f>IFERROR(__xludf.DUMMYFUNCTION("""COMPUTED_VALUE"""),"Muhammad Shohib")</f>
        <v>Muhammad Shohib</v>
      </c>
      <c r="C532" s="42" t="str">
        <f>IFERROR(__xludf.DUMMYFUNCTION("""COMPUTED_VALUE"""),"Online")</f>
        <v>Online</v>
      </c>
      <c r="D532" s="42" t="str">
        <f>IFERROR(__xludf.DUMMYFUNCTION("""COMPUTED_VALUE"""),"Fullstack Mobile Developer")</f>
        <v>Fullstack Mobile Developer</v>
      </c>
      <c r="E532" s="42">
        <f>IFERROR(__xludf.DUMMYFUNCTION("""COMPUTED_VALUE"""),19.0)</f>
        <v>19</v>
      </c>
      <c r="F532" s="42">
        <f>IFERROR(__xludf.DUMMYFUNCTION("""COMPUTED_VALUE"""),1.0)</f>
        <v>1</v>
      </c>
      <c r="G532" s="42" t="str">
        <f>IFERROR(__xludf.DUMMYFUNCTION("""COMPUTED_VALUE"""),"ARKWH1")</f>
        <v>ARKWH1</v>
      </c>
      <c r="H532" s="42"/>
      <c r="I532" s="46" t="str">
        <f>IFERROR(__xludf.DUMMYFUNCTION("""COMPUTED_VALUE"""),"https://repl.it/@shhb0420/ARK1#index.js")</f>
        <v>https://repl.it/@shhb0420/ARK1#index.js</v>
      </c>
      <c r="J532" s="42"/>
      <c r="K532" s="46" t="str">
        <f>IFERROR(__xludf.DUMMYFUNCTION("""COMPUTED_VALUE"""),"https://drive.google.com/open?id=1tE2eXAAws4LgCK0MxXkviF4jWtPedO-s")</f>
        <v>https://drive.google.com/open?id=1tE2eXAAws4LgCK0MxXkviF4jWtPedO-s</v>
      </c>
      <c r="L532" s="42">
        <f>IFERROR(__xludf.DUMMYFUNCTION("""COMPUTED_VALUE"""),0.8)</f>
        <v>0.8</v>
      </c>
      <c r="M532" s="42" t="str">
        <f>IFERROR(__xludf.DUMMYFUNCTION("""COMPUTED_VALUE"""),"Code masih belum lengkap, parameter pajak menggunakan boolean bukan string, ketika pajak tidak ada gunakan pajak = 0, ada kesalahan ketika diinput jarak = 1, biasakan inisialisasi nilai variabel untuk menghindari error, logic ongkos kirim ada sedikit yang"&amp;" salah; Flowchart tidak selesai dan tidak sesuai dengan ketentuan")</f>
        <v>Code masih belum lengkap, parameter pajak menggunakan boolean bukan string, ketika pajak tidak ada gunakan pajak = 0, ada kesalahan ketika diinput jarak = 1, biasakan inisialisasi nilai variabel untuk menghindari error, logic ongkos kirim ada sedikit yang salah; Flowchart tidak selesai dan tidak sesuai dengan ketentuan</v>
      </c>
    </row>
    <row r="533">
      <c r="A533" s="43">
        <f>IFERROR(__xludf.DUMMYFUNCTION("""COMPUTED_VALUE"""),44145.52468877315)</f>
        <v>44145.52469</v>
      </c>
      <c r="B533" s="42" t="str">
        <f>IFERROR(__xludf.DUMMYFUNCTION("""COMPUTED_VALUE"""),"Muhammad Abdi Priyangga")</f>
        <v>Muhammad Abdi Priyangga</v>
      </c>
      <c r="C533" s="42" t="str">
        <f>IFERROR(__xludf.DUMMYFUNCTION("""COMPUTED_VALUE"""),"Online")</f>
        <v>Online</v>
      </c>
      <c r="D533" s="42" t="str">
        <f>IFERROR(__xludf.DUMMYFUNCTION("""COMPUTED_VALUE"""),"Fullstack Mobile Developer")</f>
        <v>Fullstack Mobile Developer</v>
      </c>
      <c r="E533" s="42">
        <f>IFERROR(__xludf.DUMMYFUNCTION("""COMPUTED_VALUE"""),19.0)</f>
        <v>19</v>
      </c>
      <c r="F533" s="42">
        <f>IFERROR(__xludf.DUMMYFUNCTION("""COMPUTED_VALUE"""),1.0)</f>
        <v>1</v>
      </c>
      <c r="G533" s="42" t="str">
        <f>IFERROR(__xludf.DUMMYFUNCTION("""COMPUTED_VALUE"""),"ARKWH3")</f>
        <v>ARKWH3</v>
      </c>
      <c r="H533" s="42"/>
      <c r="I533" s="46" t="str">
        <f>IFERROR(__xludf.DUMMYFUNCTION("""COMPUTED_VALUE"""),"https://repl.it/@mabdip/quiz2#index.js")</f>
        <v>https://repl.it/@mabdip/quiz2#index.js</v>
      </c>
      <c r="J533" s="46" t="str">
        <f>IFERROR(__xludf.DUMMYFUNCTION("""COMPUTED_VALUE"""),"https://drive.google.com/drive/folders/1PaVKUXLnhD9Y7TweTp923tQzMcu6w2tS?usp=sharing")</f>
        <v>https://drive.google.com/drive/folders/1PaVKUXLnhD9Y7TweTp923tQzMcu6w2tS?usp=sharing</v>
      </c>
      <c r="K533" s="42"/>
      <c r="L533" s="42"/>
      <c r="M533" s="42"/>
    </row>
    <row r="534">
      <c r="A534" s="43">
        <f>IFERROR(__xludf.DUMMYFUNCTION("""COMPUTED_VALUE"""),44145.525756180556)</f>
        <v>44145.52576</v>
      </c>
      <c r="B534" s="42" t="str">
        <f>IFERROR(__xludf.DUMMYFUNCTION("""COMPUTED_VALUE"""),"Arief Widiyatmoko")</f>
        <v>Arief Widiyatmoko</v>
      </c>
      <c r="C534" s="42" t="str">
        <f>IFERROR(__xludf.DUMMYFUNCTION("""COMPUTED_VALUE"""),"Online")</f>
        <v>Online</v>
      </c>
      <c r="D534" s="42" t="str">
        <f>IFERROR(__xludf.DUMMYFUNCTION("""COMPUTED_VALUE"""),"Fullstack Mobile Developer")</f>
        <v>Fullstack Mobile Developer</v>
      </c>
      <c r="E534" s="42">
        <f>IFERROR(__xludf.DUMMYFUNCTION("""COMPUTED_VALUE"""),19.0)</f>
        <v>19</v>
      </c>
      <c r="F534" s="42">
        <f>IFERROR(__xludf.DUMMYFUNCTION("""COMPUTED_VALUE"""),1.0)</f>
        <v>1</v>
      </c>
      <c r="G534" s="42" t="str">
        <f>IFERROR(__xludf.DUMMYFUNCTION("""COMPUTED_VALUE"""),"ARKWH3")</f>
        <v>ARKWH3</v>
      </c>
      <c r="H534" s="42"/>
      <c r="I534" s="46" t="str">
        <f>IFERROR(__xludf.DUMMYFUNCTION("""COMPUTED_VALUE"""),"https://repl.it/@bronya96/Q2")</f>
        <v>https://repl.it/@bronya96/Q2</v>
      </c>
      <c r="J534" s="46" t="str">
        <f>IFERROR(__xludf.DUMMYFUNCTION("""COMPUTED_VALUE"""),"https://drive.google.com/drive/folders/1BeMXOsRMWltVk4ss6YG8im4r8tB72oX_?usp=sharing")</f>
        <v>https://drive.google.com/drive/folders/1BeMXOsRMWltVk4ss6YG8im4r8tB72oX_?usp=sharing</v>
      </c>
      <c r="K534" s="42"/>
      <c r="L534" s="42"/>
      <c r="M534" s="42"/>
    </row>
    <row r="535">
      <c r="A535" s="43">
        <f>IFERROR(__xludf.DUMMYFUNCTION("""COMPUTED_VALUE"""),44145.52605141204)</f>
        <v>44145.52605</v>
      </c>
      <c r="B535" s="42" t="str">
        <f>IFERROR(__xludf.DUMMYFUNCTION("""COMPUTED_VALUE"""),"Arif Nur Agung Laksana")</f>
        <v>Arif Nur Agung Laksana</v>
      </c>
      <c r="C535" s="42" t="str">
        <f>IFERROR(__xludf.DUMMYFUNCTION("""COMPUTED_VALUE"""),"Online")</f>
        <v>Online</v>
      </c>
      <c r="D535" s="42" t="str">
        <f>IFERROR(__xludf.DUMMYFUNCTION("""COMPUTED_VALUE"""),"Fullstack Mobile Developer")</f>
        <v>Fullstack Mobile Developer</v>
      </c>
      <c r="E535" s="42">
        <f>IFERROR(__xludf.DUMMYFUNCTION("""COMPUTED_VALUE"""),19.0)</f>
        <v>19</v>
      </c>
      <c r="F535" s="42">
        <f>IFERROR(__xludf.DUMMYFUNCTION("""COMPUTED_VALUE"""),1.0)</f>
        <v>1</v>
      </c>
      <c r="G535" s="42" t="str">
        <f>IFERROR(__xludf.DUMMYFUNCTION("""COMPUTED_VALUE"""),"ARKWH3")</f>
        <v>ARKWH3</v>
      </c>
      <c r="H535" s="42"/>
      <c r="I535" s="46" t="str">
        <f>IFERROR(__xludf.DUMMYFUNCTION("""COMPUTED_VALUE"""),"https://repl.it/@woobwoofwolf/quiz2#index.js")</f>
        <v>https://repl.it/@woobwoofwolf/quiz2#index.js</v>
      </c>
      <c r="J535" s="42"/>
      <c r="K535" s="46" t="str">
        <f>IFERROR(__xludf.DUMMYFUNCTION("""COMPUTED_VALUE"""),"https://drive.google.com/open?id=13b_leWvfXfZiPCX5VM2LOq5x6PgTEKCe")</f>
        <v>https://drive.google.com/open?id=13b_leWvfXfZiPCX5VM2LOq5x6PgTEKCe</v>
      </c>
      <c r="L535" s="42"/>
      <c r="M535" s="42"/>
    </row>
    <row r="536">
      <c r="A536" s="43">
        <f>IFERROR(__xludf.DUMMYFUNCTION("""COMPUTED_VALUE"""),44145.528071168985)</f>
        <v>44145.52807</v>
      </c>
      <c r="B536" s="42" t="str">
        <f>IFERROR(__xludf.DUMMYFUNCTION("""COMPUTED_VALUE"""),"Hendra Solih Abdurahman")</f>
        <v>Hendra Solih Abdurahman</v>
      </c>
      <c r="C536" s="42" t="str">
        <f>IFERROR(__xludf.DUMMYFUNCTION("""COMPUTED_VALUE"""),"Online")</f>
        <v>Online</v>
      </c>
      <c r="D536" s="42" t="str">
        <f>IFERROR(__xludf.DUMMYFUNCTION("""COMPUTED_VALUE"""),"Fullstack Mobile Developer")</f>
        <v>Fullstack Mobile Developer</v>
      </c>
      <c r="E536" s="42">
        <f>IFERROR(__xludf.DUMMYFUNCTION("""COMPUTED_VALUE"""),19.0)</f>
        <v>19</v>
      </c>
      <c r="F536" s="42">
        <f>IFERROR(__xludf.DUMMYFUNCTION("""COMPUTED_VALUE"""),1.0)</f>
        <v>1</v>
      </c>
      <c r="G536" s="42" t="str">
        <f>IFERROR(__xludf.DUMMYFUNCTION("""COMPUTED_VALUE"""),"ARKWH3")</f>
        <v>ARKWH3</v>
      </c>
      <c r="H536" s="42"/>
      <c r="I536" s="46" t="str">
        <f>IFERROR(__xludf.DUMMYFUNCTION("""COMPUTED_VALUE"""),"https://repl.it/@hendrasolih/quiz2#index.js")</f>
        <v>https://repl.it/@hendrasolih/quiz2#index.js</v>
      </c>
      <c r="J536" s="42"/>
      <c r="K536" s="46" t="str">
        <f>IFERROR(__xludf.DUMMYFUNCTION("""COMPUTED_VALUE"""),"https://drive.google.com/open?id=1rDk4MQdFQDbWWIl0h7_HNet3J_cekWy5")</f>
        <v>https://drive.google.com/open?id=1rDk4MQdFQDbWWIl0h7_HNet3J_cekWy5</v>
      </c>
      <c r="L536" s="42"/>
      <c r="M536" s="42"/>
    </row>
    <row r="537">
      <c r="A537" s="43">
        <f>IFERROR(__xludf.DUMMYFUNCTION("""COMPUTED_VALUE"""),44145.52999915509)</f>
        <v>44145.53</v>
      </c>
      <c r="B537" s="42" t="str">
        <f>IFERROR(__xludf.DUMMYFUNCTION("""COMPUTED_VALUE"""),"Fachri Ghiffary")</f>
        <v>Fachri Ghiffary</v>
      </c>
      <c r="C537" s="42" t="str">
        <f>IFERROR(__xludf.DUMMYFUNCTION("""COMPUTED_VALUE"""),"Online")</f>
        <v>Online</v>
      </c>
      <c r="D537" s="42" t="str">
        <f>IFERROR(__xludf.DUMMYFUNCTION("""COMPUTED_VALUE"""),"Fullstack Mobile Developer")</f>
        <v>Fullstack Mobile Developer</v>
      </c>
      <c r="E537" s="42">
        <f>IFERROR(__xludf.DUMMYFUNCTION("""COMPUTED_VALUE"""),19.0)</f>
        <v>19</v>
      </c>
      <c r="F537" s="42">
        <f>IFERROR(__xludf.DUMMYFUNCTION("""COMPUTED_VALUE"""),1.0)</f>
        <v>1</v>
      </c>
      <c r="G537" s="42" t="str">
        <f>IFERROR(__xludf.DUMMYFUNCTION("""COMPUTED_VALUE"""),"ARKWH3")</f>
        <v>ARKWH3</v>
      </c>
      <c r="H537" s="42"/>
      <c r="I537" s="46" t="str">
        <f>IFERROR(__xludf.DUMMYFUNCTION("""COMPUTED_VALUE"""),"https://repl.it/@FachriGhiffary/quis2")</f>
        <v>https://repl.it/@FachriGhiffary/quis2</v>
      </c>
      <c r="J537" s="42"/>
      <c r="K537" s="46" t="str">
        <f>IFERROR(__xludf.DUMMYFUNCTION("""COMPUTED_VALUE"""),"https://drive.google.com/open?id=1PQAFbHkWaGVxGrtAUiK10dBIT3fvuYNE")</f>
        <v>https://drive.google.com/open?id=1PQAFbHkWaGVxGrtAUiK10dBIT3fvuYNE</v>
      </c>
      <c r="L537" s="42"/>
      <c r="M537" s="42"/>
    </row>
    <row r="538">
      <c r="A538" s="43">
        <f>IFERROR(__xludf.DUMMYFUNCTION("""COMPUTED_VALUE"""),44145.53658623842)</f>
        <v>44145.53659</v>
      </c>
      <c r="B538" s="42" t="str">
        <f>IFERROR(__xludf.DUMMYFUNCTION("""COMPUTED_VALUE"""),"Elwandy Tirtana Deriansyah")</f>
        <v>Elwandy Tirtana Deriansyah</v>
      </c>
      <c r="C538" s="42" t="str">
        <f>IFERROR(__xludf.DUMMYFUNCTION("""COMPUTED_VALUE"""),"Online")</f>
        <v>Online</v>
      </c>
      <c r="D538" s="42" t="str">
        <f>IFERROR(__xludf.DUMMYFUNCTION("""COMPUTED_VALUE"""),"Fullstack Mobile Developer")</f>
        <v>Fullstack Mobile Developer</v>
      </c>
      <c r="E538" s="42">
        <f>IFERROR(__xludf.DUMMYFUNCTION("""COMPUTED_VALUE"""),19.0)</f>
        <v>19</v>
      </c>
      <c r="F538" s="42">
        <f>IFERROR(__xludf.DUMMYFUNCTION("""COMPUTED_VALUE"""),1.0)</f>
        <v>1</v>
      </c>
      <c r="G538" s="42" t="str">
        <f>IFERROR(__xludf.DUMMYFUNCTION("""COMPUTED_VALUE"""),"ARKWH3")</f>
        <v>ARKWH3</v>
      </c>
      <c r="H538" s="42"/>
      <c r="I538" s="46" t="str">
        <f>IFERROR(__xludf.DUMMYFUNCTION("""COMPUTED_VALUE"""),"https://repl.it/@eltirder0/Quiz2-1")</f>
        <v>https://repl.it/@eltirder0/Quiz2-1</v>
      </c>
      <c r="J538" s="42"/>
      <c r="K538" s="46" t="str">
        <f>IFERROR(__xludf.DUMMYFUNCTION("""COMPUTED_VALUE"""),"https://drive.google.com/open?id=10mHUW_nhb3db_Q_fCyB-6MR1yTt0rB7T")</f>
        <v>https://drive.google.com/open?id=10mHUW_nhb3db_Q_fCyB-6MR1yTt0rB7T</v>
      </c>
      <c r="L538" s="42"/>
      <c r="M538" s="42"/>
    </row>
    <row r="539">
      <c r="A539" s="43">
        <f>IFERROR(__xludf.DUMMYFUNCTION("""COMPUTED_VALUE"""),44145.54058195602)</f>
        <v>44145.54058</v>
      </c>
      <c r="B539" s="42" t="str">
        <f>IFERROR(__xludf.DUMMYFUNCTION("""COMPUTED_VALUE"""),"Akbar Zulfikar")</f>
        <v>Akbar Zulfikar</v>
      </c>
      <c r="C539" s="42" t="str">
        <f>IFERROR(__xludf.DUMMYFUNCTION("""COMPUTED_VALUE"""),"Jakarta")</f>
        <v>Jakarta</v>
      </c>
      <c r="D539" s="42" t="str">
        <f>IFERROR(__xludf.DUMMYFUNCTION("""COMPUTED_VALUE"""),"Fullstack Mobile Developer")</f>
        <v>Fullstack Mobile Developer</v>
      </c>
      <c r="E539" s="42">
        <f>IFERROR(__xludf.DUMMYFUNCTION("""COMPUTED_VALUE"""),19.0)</f>
        <v>19</v>
      </c>
      <c r="F539" s="42">
        <f>IFERROR(__xludf.DUMMYFUNCTION("""COMPUTED_VALUE"""),1.0)</f>
        <v>1</v>
      </c>
      <c r="G539" s="42" t="str">
        <f>IFERROR(__xludf.DUMMYFUNCTION("""COMPUTED_VALUE"""),"ARKWH3")</f>
        <v>ARKWH3</v>
      </c>
      <c r="H539" s="42"/>
      <c r="I539" s="46" t="str">
        <f>IFERROR(__xludf.DUMMYFUNCTION("""COMPUTED_VALUE"""),"https://repl.it/@Akbarzulfikar98/quiz2#index.js")</f>
        <v>https://repl.it/@Akbarzulfikar98/quiz2#index.js</v>
      </c>
      <c r="J539" s="42"/>
      <c r="K539" s="46" t="str">
        <f>IFERROR(__xludf.DUMMYFUNCTION("""COMPUTED_VALUE"""),"https://drive.google.com/open?id=1Pj1TwR0HF9qxj6sDoOWwh0ycu_oU--Oz")</f>
        <v>https://drive.google.com/open?id=1Pj1TwR0HF9qxj6sDoOWwh0ycu_oU--Oz</v>
      </c>
      <c r="L539" s="42"/>
      <c r="M539" s="42"/>
    </row>
    <row r="540">
      <c r="A540" s="43">
        <f>IFERROR(__xludf.DUMMYFUNCTION("""COMPUTED_VALUE"""),44145.546313865736)</f>
        <v>44145.54631</v>
      </c>
      <c r="B540" s="42" t="str">
        <f>IFERROR(__xludf.DUMMYFUNCTION("""COMPUTED_VALUE"""),"Ananda Muhammad Muthaqin")</f>
        <v>Ananda Muhammad Muthaqin</v>
      </c>
      <c r="C540" s="42" t="str">
        <f>IFERROR(__xludf.DUMMYFUNCTION("""COMPUTED_VALUE"""),"Online")</f>
        <v>Online</v>
      </c>
      <c r="D540" s="42" t="str">
        <f>IFERROR(__xludf.DUMMYFUNCTION("""COMPUTED_VALUE"""),"Fullstack Mobile Developer")</f>
        <v>Fullstack Mobile Developer</v>
      </c>
      <c r="E540" s="42">
        <f>IFERROR(__xludf.DUMMYFUNCTION("""COMPUTED_VALUE"""),19.0)</f>
        <v>19</v>
      </c>
      <c r="F540" s="42">
        <f>IFERROR(__xludf.DUMMYFUNCTION("""COMPUTED_VALUE"""),1.0)</f>
        <v>1</v>
      </c>
      <c r="G540" s="42" t="str">
        <f>IFERROR(__xludf.DUMMYFUNCTION("""COMPUTED_VALUE"""),"ARKWH3")</f>
        <v>ARKWH3</v>
      </c>
      <c r="H540" s="42"/>
      <c r="I540" s="46" t="str">
        <f>IFERROR(__xludf.DUMMYFUNCTION("""COMPUTED_VALUE"""),"https://repl.it/@AnandaMuhammad/ViolentKnowingTrapezoid")</f>
        <v>https://repl.it/@AnandaMuhammad/ViolentKnowingTrapezoid</v>
      </c>
      <c r="J540" s="46" t="str">
        <f>IFERROR(__xludf.DUMMYFUNCTION("""COMPUTED_VALUE"""),"https://drive.google.com/file/d/1UXlxZnKyijMoCWqlU6HHPwvJAqK2rUwP/view?usp=sharing")</f>
        <v>https://drive.google.com/file/d/1UXlxZnKyijMoCWqlU6HHPwvJAqK2rUwP/view?usp=sharing</v>
      </c>
      <c r="K540" s="42"/>
      <c r="L540" s="42"/>
      <c r="M540" s="42"/>
    </row>
    <row r="541">
      <c r="A541" s="43">
        <f>IFERROR(__xludf.DUMMYFUNCTION("""COMPUTED_VALUE"""),44145.54724472223)</f>
        <v>44145.54724</v>
      </c>
      <c r="B541" s="42" t="str">
        <f>IFERROR(__xludf.DUMMYFUNCTION("""COMPUTED_VALUE"""),"M Nur Septian")</f>
        <v>M Nur Septian</v>
      </c>
      <c r="C541" s="42" t="str">
        <f>IFERROR(__xludf.DUMMYFUNCTION("""COMPUTED_VALUE"""),"Online")</f>
        <v>Online</v>
      </c>
      <c r="D541" s="42" t="str">
        <f>IFERROR(__xludf.DUMMYFUNCTION("""COMPUTED_VALUE"""),"Fullstack Mobile Developer")</f>
        <v>Fullstack Mobile Developer</v>
      </c>
      <c r="E541" s="42">
        <f>IFERROR(__xludf.DUMMYFUNCTION("""COMPUTED_VALUE"""),19.0)</f>
        <v>19</v>
      </c>
      <c r="F541" s="42">
        <f>IFERROR(__xludf.DUMMYFUNCTION("""COMPUTED_VALUE"""),1.0)</f>
        <v>1</v>
      </c>
      <c r="G541" s="42" t="str">
        <f>IFERROR(__xludf.DUMMYFUNCTION("""COMPUTED_VALUE"""),"ARKWH3")</f>
        <v>ARKWH3</v>
      </c>
      <c r="H541" s="42"/>
      <c r="I541" s="46" t="str">
        <f>IFERROR(__xludf.DUMMYFUNCTION("""COMPUTED_VALUE"""),"https://playcode.io/702636/")</f>
        <v>https://playcode.io/702636/</v>
      </c>
      <c r="J541" s="46" t="str">
        <f>IFERROR(__xludf.DUMMYFUNCTION("""COMPUTED_VALUE"""),"https://drive.google.com/drive/folders/17unFHcQKwGod22GNPStrZ8oegWIUyHv6?usp=sharing")</f>
        <v>https://drive.google.com/drive/folders/17unFHcQKwGod22GNPStrZ8oegWIUyHv6?usp=sharing</v>
      </c>
      <c r="K541" s="42"/>
      <c r="L541" s="42"/>
      <c r="M541" s="42"/>
    </row>
    <row r="542">
      <c r="A542" s="43">
        <f>IFERROR(__xludf.DUMMYFUNCTION("""COMPUTED_VALUE"""),44145.547392754626)</f>
        <v>44145.54739</v>
      </c>
      <c r="B542" s="42" t="str">
        <f>IFERROR(__xludf.DUMMYFUNCTION("""COMPUTED_VALUE"""),"Mochammad Ghaly Ramadhan")</f>
        <v>Mochammad Ghaly Ramadhan</v>
      </c>
      <c r="C542" s="42" t="str">
        <f>IFERROR(__xludf.DUMMYFUNCTION("""COMPUTED_VALUE"""),"Online")</f>
        <v>Online</v>
      </c>
      <c r="D542" s="42" t="str">
        <f>IFERROR(__xludf.DUMMYFUNCTION("""COMPUTED_VALUE"""),"Fullstack Mobile Developer")</f>
        <v>Fullstack Mobile Developer</v>
      </c>
      <c r="E542" s="42">
        <f>IFERROR(__xludf.DUMMYFUNCTION("""COMPUTED_VALUE"""),19.0)</f>
        <v>19</v>
      </c>
      <c r="F542" s="42">
        <f>IFERROR(__xludf.DUMMYFUNCTION("""COMPUTED_VALUE"""),1.0)</f>
        <v>1</v>
      </c>
      <c r="G542" s="42" t="str">
        <f>IFERROR(__xludf.DUMMYFUNCTION("""COMPUTED_VALUE"""),"ARKWH3")</f>
        <v>ARKWH3</v>
      </c>
      <c r="H542" s="42"/>
      <c r="I542" s="46" t="str">
        <f>IFERROR(__xludf.DUMMYFUNCTION("""COMPUTED_VALUE"""),"https://repl.it/@AdminLTE/quiz2#index.js")</f>
        <v>https://repl.it/@AdminLTE/quiz2#index.js</v>
      </c>
      <c r="J542" s="42"/>
      <c r="K542" s="42"/>
      <c r="L542" s="42"/>
      <c r="M542" s="42"/>
    </row>
    <row r="543">
      <c r="A543" s="43">
        <f>IFERROR(__xludf.DUMMYFUNCTION("""COMPUTED_VALUE"""),44145.54792778935)</f>
        <v>44145.54793</v>
      </c>
      <c r="B543" s="42" t="str">
        <f>IFERROR(__xludf.DUMMYFUNCTION("""COMPUTED_VALUE"""),"Dhiya Reksa Kusumojati Brameswanto")</f>
        <v>Dhiya Reksa Kusumojati Brameswanto</v>
      </c>
      <c r="C543" s="42" t="str">
        <f>IFERROR(__xludf.DUMMYFUNCTION("""COMPUTED_VALUE"""),"Online")</f>
        <v>Online</v>
      </c>
      <c r="D543" s="42" t="str">
        <f>IFERROR(__xludf.DUMMYFUNCTION("""COMPUTED_VALUE"""),"Fullstack Mobile Developer")</f>
        <v>Fullstack Mobile Developer</v>
      </c>
      <c r="E543" s="42">
        <f>IFERROR(__xludf.DUMMYFUNCTION("""COMPUTED_VALUE"""),19.0)</f>
        <v>19</v>
      </c>
      <c r="F543" s="42">
        <f>IFERROR(__xludf.DUMMYFUNCTION("""COMPUTED_VALUE"""),1.0)</f>
        <v>1</v>
      </c>
      <c r="G543" s="42" t="str">
        <f>IFERROR(__xludf.DUMMYFUNCTION("""COMPUTED_VALUE"""),"ARKWH3")</f>
        <v>ARKWH3</v>
      </c>
      <c r="H543" s="42"/>
      <c r="I543" s="46" t="str">
        <f>IFERROR(__xludf.DUMMYFUNCTION("""COMPUTED_VALUE"""),"https://playcode.io/702645/")</f>
        <v>https://playcode.io/702645/</v>
      </c>
      <c r="J543" s="46" t="str">
        <f>IFERROR(__xludf.DUMMYFUNCTION("""COMPUTED_VALUE"""),"https://drive.google.com/drive/folders/1NyMvQiRnXRvgBdj2KyPi7MFCz6mIPThJ?usp=sharing")</f>
        <v>https://drive.google.com/drive/folders/1NyMvQiRnXRvgBdj2KyPi7MFCz6mIPThJ?usp=sharing</v>
      </c>
      <c r="K543" s="42"/>
      <c r="L543" s="42"/>
      <c r="M543" s="42"/>
    </row>
    <row r="544">
      <c r="A544" s="43">
        <f>IFERROR(__xludf.DUMMYFUNCTION("""COMPUTED_VALUE"""),44145.54830724537)</f>
        <v>44145.54831</v>
      </c>
      <c r="B544" s="42" t="str">
        <f>IFERROR(__xludf.DUMMYFUNCTION("""COMPUTED_VALUE"""),"Amardito Khairi")</f>
        <v>Amardito Khairi</v>
      </c>
      <c r="C544" s="42" t="str">
        <f>IFERROR(__xludf.DUMMYFUNCTION("""COMPUTED_VALUE"""),"Online")</f>
        <v>Online</v>
      </c>
      <c r="D544" s="42" t="str">
        <f>IFERROR(__xludf.DUMMYFUNCTION("""COMPUTED_VALUE"""),"Fullstack Mobile Developer")</f>
        <v>Fullstack Mobile Developer</v>
      </c>
      <c r="E544" s="42">
        <f>IFERROR(__xludf.DUMMYFUNCTION("""COMPUTED_VALUE"""),19.0)</f>
        <v>19</v>
      </c>
      <c r="F544" s="42">
        <f>IFERROR(__xludf.DUMMYFUNCTION("""COMPUTED_VALUE"""),1.0)</f>
        <v>1</v>
      </c>
      <c r="G544" s="42" t="str">
        <f>IFERROR(__xludf.DUMMYFUNCTION("""COMPUTED_VALUE"""),"ARKWH3")</f>
        <v>ARKWH3</v>
      </c>
      <c r="H544" s="42"/>
      <c r="I544" s="46" t="str">
        <f>IFERROR(__xludf.DUMMYFUNCTION("""COMPUTED_VALUE"""),"https://repl.it/@AmarditoKhairi/FMB-19-amarditokhairi-Quiz-2")</f>
        <v>https://repl.it/@AmarditoKhairi/FMB-19-amarditokhairi-Quiz-2</v>
      </c>
      <c r="J544" s="46" t="str">
        <f>IFERROR(__xludf.DUMMYFUNCTION("""COMPUTED_VALUE"""),"https://drive.google.com/drive/folders/1omiLmvUJKaaL4RJOACKGU8XoM_JU4YfJ?usp=sharing")</f>
        <v>https://drive.google.com/drive/folders/1omiLmvUJKaaL4RJOACKGU8XoM_JU4YfJ?usp=sharing</v>
      </c>
      <c r="K544" s="46" t="str">
        <f>IFERROR(__xludf.DUMMYFUNCTION("""COMPUTED_VALUE"""),"https://drive.google.com/open?id=18EGs_akY-Wzkgim-2_TSChy7e9gbZRkh")</f>
        <v>https://drive.google.com/open?id=18EGs_akY-Wzkgim-2_TSChy7e9gbZRkh</v>
      </c>
      <c r="L544" s="42"/>
      <c r="M544" s="42"/>
    </row>
    <row r="545">
      <c r="A545" s="43">
        <f>IFERROR(__xludf.DUMMYFUNCTION("""COMPUTED_VALUE"""),44145.548809722226)</f>
        <v>44145.54881</v>
      </c>
      <c r="B545" s="42" t="str">
        <f>IFERROR(__xludf.DUMMYFUNCTION("""COMPUTED_VALUE"""),"MOCH. BAYU ERICH DEWANGGA")</f>
        <v>MOCH. BAYU ERICH DEWANGGA</v>
      </c>
      <c r="C545" s="42" t="str">
        <f>IFERROR(__xludf.DUMMYFUNCTION("""COMPUTED_VALUE"""),"Online")</f>
        <v>Online</v>
      </c>
      <c r="D545" s="42" t="str">
        <f>IFERROR(__xludf.DUMMYFUNCTION("""COMPUTED_VALUE"""),"Fullstack Mobile Developer")</f>
        <v>Fullstack Mobile Developer</v>
      </c>
      <c r="E545" s="42">
        <f>IFERROR(__xludf.DUMMYFUNCTION("""COMPUTED_VALUE"""),19.0)</f>
        <v>19</v>
      </c>
      <c r="F545" s="42">
        <f>IFERROR(__xludf.DUMMYFUNCTION("""COMPUTED_VALUE"""),1.0)</f>
        <v>1</v>
      </c>
      <c r="G545" s="42" t="str">
        <f>IFERROR(__xludf.DUMMYFUNCTION("""COMPUTED_VALUE"""),"ARKWH3")</f>
        <v>ARKWH3</v>
      </c>
      <c r="H545" s="42"/>
      <c r="I545" s="46" t="str">
        <f>IFERROR(__xludf.DUMMYFUNCTION("""COMPUTED_VALUE"""),"https://repl.it/@Yu48/Quiz-2#index.js")</f>
        <v>https://repl.it/@Yu48/Quiz-2#index.js</v>
      </c>
      <c r="J545" s="42"/>
      <c r="K545" s="46" t="str">
        <f>IFERROR(__xludf.DUMMYFUNCTION("""COMPUTED_VALUE"""),"https://drive.google.com/open?id=1hcQ_e087Nv0zvOGYgPu3ToUnhGNQf4wJ")</f>
        <v>https://drive.google.com/open?id=1hcQ_e087Nv0zvOGYgPu3ToUnhGNQf4wJ</v>
      </c>
      <c r="L545" s="42"/>
      <c r="M545" s="42"/>
    </row>
    <row r="546">
      <c r="A546" s="43">
        <f>IFERROR(__xludf.DUMMYFUNCTION("""COMPUTED_VALUE"""),44145.54901271991)</f>
        <v>44145.54901</v>
      </c>
      <c r="B546" s="42" t="str">
        <f>IFERROR(__xludf.DUMMYFUNCTION("""COMPUTED_VALUE"""),"Muhammad Shohib")</f>
        <v>Muhammad Shohib</v>
      </c>
      <c r="C546" s="42" t="str">
        <f>IFERROR(__xludf.DUMMYFUNCTION("""COMPUTED_VALUE"""),"Online")</f>
        <v>Online</v>
      </c>
      <c r="D546" s="42" t="str">
        <f>IFERROR(__xludf.DUMMYFUNCTION("""COMPUTED_VALUE"""),"Fullstack Mobile Developer")</f>
        <v>Fullstack Mobile Developer</v>
      </c>
      <c r="E546" s="42">
        <f>IFERROR(__xludf.DUMMYFUNCTION("""COMPUTED_VALUE"""),19.0)</f>
        <v>19</v>
      </c>
      <c r="F546" s="42">
        <f>IFERROR(__xludf.DUMMYFUNCTION("""COMPUTED_VALUE"""),1.0)</f>
        <v>1</v>
      </c>
      <c r="G546" s="42" t="str">
        <f>IFERROR(__xludf.DUMMYFUNCTION("""COMPUTED_VALUE"""),"ARKWH3")</f>
        <v>ARKWH3</v>
      </c>
      <c r="H546" s="42"/>
      <c r="I546" s="46" t="str">
        <f>IFERROR(__xludf.DUMMYFUNCTION("""COMPUTED_VALUE"""),"https://repl.it/@shhb0420/ARK2#index.js")</f>
        <v>https://repl.it/@shhb0420/ARK2#index.js</v>
      </c>
      <c r="J546" s="42"/>
      <c r="K546" s="46" t="str">
        <f>IFERROR(__xludf.DUMMYFUNCTION("""COMPUTED_VALUE"""),"https://drive.google.com/open?id=1kIPCK7Rg1bVWZojs6ETd266-M7GmbTpw")</f>
        <v>https://drive.google.com/open?id=1kIPCK7Rg1bVWZojs6ETd266-M7GmbTpw</v>
      </c>
      <c r="L546" s="42"/>
      <c r="M546" s="42"/>
    </row>
    <row r="547">
      <c r="A547" s="43">
        <f>IFERROR(__xludf.DUMMYFUNCTION("""COMPUTED_VALUE"""),44158.5062203125)</f>
        <v>44158.50622</v>
      </c>
      <c r="B547" s="42" t="str">
        <f>IFERROR(__xludf.DUMMYFUNCTION("""COMPUTED_VALUE"""),"Muhammad Khoirul Wafa")</f>
        <v>Muhammad Khoirul Wafa</v>
      </c>
      <c r="C547" s="42" t="str">
        <f>IFERROR(__xludf.DUMMYFUNCTION("""COMPUTED_VALUE"""),"Online")</f>
        <v>Online</v>
      </c>
      <c r="D547" s="42" t="str">
        <f>IFERROR(__xludf.DUMMYFUNCTION("""COMPUTED_VALUE"""),"Fullstack Mobile Developer")</f>
        <v>Fullstack Mobile Developer</v>
      </c>
      <c r="E547" s="42">
        <f>IFERROR(__xludf.DUMMYFUNCTION("""COMPUTED_VALUE"""),18.0)</f>
        <v>18</v>
      </c>
      <c r="F547" s="42">
        <f>IFERROR(__xludf.DUMMYFUNCTION("""COMPUTED_VALUE"""),1.0)</f>
        <v>1</v>
      </c>
      <c r="G547" s="42" t="str">
        <f>IFERROR(__xludf.DUMMYFUNCTION("""COMPUTED_VALUE"""),"ARKWH3")</f>
        <v>ARKWH3</v>
      </c>
      <c r="H547" s="42"/>
      <c r="I547" s="46" t="str">
        <f>IFERROR(__xludf.DUMMYFUNCTION("""COMPUTED_VALUE"""),"https://repl.it/@mkhoirulwafa/arithmeticSequence#index.js")</f>
        <v>https://repl.it/@mkhoirulwafa/arithmeticSequence#index.js</v>
      </c>
      <c r="J547" s="46" t="str">
        <f>IFERROR(__xludf.DUMMYFUNCTION("""COMPUTED_VALUE"""),"https://drive.google.com/drive/folders/1PMATqn6bRw6HwcHLe1kc2twNTKpJ7DyV?usp=sharing")</f>
        <v>https://drive.google.com/drive/folders/1PMATqn6bRw6HwcHLe1kc2twNTKpJ7DyV?usp=sharing</v>
      </c>
      <c r="K547" s="42"/>
      <c r="L547" s="42"/>
      <c r="M547" s="42"/>
    </row>
    <row r="548">
      <c r="A548" s="43">
        <f>IFERROR(__xludf.DUMMYFUNCTION("""COMPUTED_VALUE"""),44158.50875916667)</f>
        <v>44158.50876</v>
      </c>
      <c r="B548" s="42" t="str">
        <f>IFERROR(__xludf.DUMMYFUNCTION("""COMPUTED_VALUE"""),"Api Al Rahman")</f>
        <v>Api Al Rahman</v>
      </c>
      <c r="C548" s="42" t="str">
        <f>IFERROR(__xludf.DUMMYFUNCTION("""COMPUTED_VALUE"""),"Online")</f>
        <v>Online</v>
      </c>
      <c r="D548" s="42" t="str">
        <f>IFERROR(__xludf.DUMMYFUNCTION("""COMPUTED_VALUE"""),"Fullstack Mobile Developer")</f>
        <v>Fullstack Mobile Developer</v>
      </c>
      <c r="E548" s="42">
        <f>IFERROR(__xludf.DUMMYFUNCTION("""COMPUTED_VALUE"""),18.0)</f>
        <v>18</v>
      </c>
      <c r="F548" s="42">
        <f>IFERROR(__xludf.DUMMYFUNCTION("""COMPUTED_VALUE"""),1.0)</f>
        <v>1</v>
      </c>
      <c r="G548" s="42" t="str">
        <f>IFERROR(__xludf.DUMMYFUNCTION("""COMPUTED_VALUE"""),"ARKWH3")</f>
        <v>ARKWH3</v>
      </c>
      <c r="H548" s="42"/>
      <c r="I548" s="46" t="str">
        <f>IFERROR(__xludf.DUMMYFUNCTION("""COMPUTED_VALUE"""),"https://repl.it/@Allboutbout/Tugas#index.js")</f>
        <v>https://repl.it/@Allboutbout/Tugas#index.js</v>
      </c>
      <c r="J548" s="46" t="str">
        <f>IFERROR(__xludf.DUMMYFUNCTION("""COMPUTED_VALUE"""),"https://drive.google.com/file/d/1rDc5KALQA1OHl8SbeyZqhqic7H63foWJ/view?usp=sharing")</f>
        <v>https://drive.google.com/file/d/1rDc5KALQA1OHl8SbeyZqhqic7H63foWJ/view?usp=sharing</v>
      </c>
      <c r="K548" s="42"/>
      <c r="L548" s="42"/>
      <c r="M548" s="42"/>
    </row>
    <row r="549">
      <c r="A549" s="43">
        <f>IFERROR(__xludf.DUMMYFUNCTION("""COMPUTED_VALUE"""),44158.509470578705)</f>
        <v>44158.50947</v>
      </c>
      <c r="B549" s="42" t="str">
        <f>IFERROR(__xludf.DUMMYFUNCTION("""COMPUTED_VALUE"""),"Ayu Armadani Putri Mahirun")</f>
        <v>Ayu Armadani Putri Mahirun</v>
      </c>
      <c r="C549" s="42" t="str">
        <f>IFERROR(__xludf.DUMMYFUNCTION("""COMPUTED_VALUE"""),"Online")</f>
        <v>Online</v>
      </c>
      <c r="D549" s="42" t="str">
        <f>IFERROR(__xludf.DUMMYFUNCTION("""COMPUTED_VALUE"""),"Fullstack Mobile Developer")</f>
        <v>Fullstack Mobile Developer</v>
      </c>
      <c r="E549" s="42">
        <f>IFERROR(__xludf.DUMMYFUNCTION("""COMPUTED_VALUE"""),18.0)</f>
        <v>18</v>
      </c>
      <c r="F549" s="42">
        <f>IFERROR(__xludf.DUMMYFUNCTION("""COMPUTED_VALUE"""),1.0)</f>
        <v>1</v>
      </c>
      <c r="G549" s="42" t="str">
        <f>IFERROR(__xludf.DUMMYFUNCTION("""COMPUTED_VALUE"""),"ARKWH3")</f>
        <v>ARKWH3</v>
      </c>
      <c r="H549" s="42"/>
      <c r="I549" s="46" t="str">
        <f>IFERROR(__xludf.DUMMYFUNCTION("""COMPUTED_VALUE"""),"https://repl.it/@Ayuarmadani/quiz-1")</f>
        <v>https://repl.it/@Ayuarmadani/quiz-1</v>
      </c>
      <c r="J549" s="46" t="str">
        <f>IFERROR(__xludf.DUMMYFUNCTION("""COMPUTED_VALUE"""),"https://drive.google.com/drive/folders/1UhNDCTOXj2kbo1qbzfUurWKgjUioPoEf?usp=sharing")</f>
        <v>https://drive.google.com/drive/folders/1UhNDCTOXj2kbo1qbzfUurWKgjUioPoEf?usp=sharing</v>
      </c>
      <c r="K549" s="46" t="str">
        <f>IFERROR(__xludf.DUMMYFUNCTION("""COMPUTED_VALUE"""),"https://drive.google.com/open?id=1tD-9LWh2RELzI_VsAnDjrxIAzvMvUTMX")</f>
        <v>https://drive.google.com/open?id=1tD-9LWh2RELzI_VsAnDjrxIAzvMvUTMX</v>
      </c>
      <c r="L549" s="42"/>
      <c r="M549" s="42"/>
    </row>
    <row r="550">
      <c r="A550" s="43">
        <f>IFERROR(__xludf.DUMMYFUNCTION("""COMPUTED_VALUE"""),44158.510344027774)</f>
        <v>44158.51034</v>
      </c>
      <c r="B550" s="42" t="str">
        <f>IFERROR(__xludf.DUMMYFUNCTION("""COMPUTED_VALUE"""),"Denny Wahyudi Marzuk")</f>
        <v>Denny Wahyudi Marzuk</v>
      </c>
      <c r="C550" s="42" t="str">
        <f>IFERROR(__xludf.DUMMYFUNCTION("""COMPUTED_VALUE"""),"Online")</f>
        <v>Online</v>
      </c>
      <c r="D550" s="42" t="str">
        <f>IFERROR(__xludf.DUMMYFUNCTION("""COMPUTED_VALUE"""),"Fullstack Mobile Developer")</f>
        <v>Fullstack Mobile Developer</v>
      </c>
      <c r="E550" s="42">
        <f>IFERROR(__xludf.DUMMYFUNCTION("""COMPUTED_VALUE"""),18.0)</f>
        <v>18</v>
      </c>
      <c r="F550" s="42">
        <f>IFERROR(__xludf.DUMMYFUNCTION("""COMPUTED_VALUE"""),1.0)</f>
        <v>1</v>
      </c>
      <c r="G550" s="42" t="str">
        <f>IFERROR(__xludf.DUMMYFUNCTION("""COMPUTED_VALUE"""),"ARKWH3")</f>
        <v>ARKWH3</v>
      </c>
      <c r="H550" s="42"/>
      <c r="I550" s="46" t="str">
        <f>IFERROR(__xludf.DUMMYFUNCTION("""COMPUTED_VALUE"""),"https://repl.it/@dennywm/KUIS-ARKWH3#index.js")</f>
        <v>https://repl.it/@dennywm/KUIS-ARKWH3#index.js</v>
      </c>
      <c r="J550" s="46" t="str">
        <f>IFERROR(__xludf.DUMMYFUNCTION("""COMPUTED_VALUE"""),"https://drive.google.com/file/d/1Au7XWYiCiUfinWiJt7UbpUkVXkWMB6bC/view?usp=sharing")</f>
        <v>https://drive.google.com/file/d/1Au7XWYiCiUfinWiJt7UbpUkVXkWMB6bC/view?usp=sharing</v>
      </c>
      <c r="K550" s="42"/>
      <c r="L550" s="42"/>
      <c r="M550" s="42"/>
    </row>
    <row r="551">
      <c r="A551" s="43">
        <f>IFERROR(__xludf.DUMMYFUNCTION("""COMPUTED_VALUE"""),44158.51132017361)</f>
        <v>44158.51132</v>
      </c>
      <c r="B551" s="42" t="str">
        <f>IFERROR(__xludf.DUMMYFUNCTION("""COMPUTED_VALUE"""),"Ahmad Maulana Yusup")</f>
        <v>Ahmad Maulana Yusup</v>
      </c>
      <c r="C551" s="42" t="str">
        <f>IFERROR(__xludf.DUMMYFUNCTION("""COMPUTED_VALUE"""),"Online")</f>
        <v>Online</v>
      </c>
      <c r="D551" s="42" t="str">
        <f>IFERROR(__xludf.DUMMYFUNCTION("""COMPUTED_VALUE"""),"Fullstack Mobile Developer")</f>
        <v>Fullstack Mobile Developer</v>
      </c>
      <c r="E551" s="42">
        <f>IFERROR(__xludf.DUMMYFUNCTION("""COMPUTED_VALUE"""),18.0)</f>
        <v>18</v>
      </c>
      <c r="F551" s="42">
        <f>IFERROR(__xludf.DUMMYFUNCTION("""COMPUTED_VALUE"""),1.0)</f>
        <v>1</v>
      </c>
      <c r="G551" s="42" t="str">
        <f>IFERROR(__xludf.DUMMYFUNCTION("""COMPUTED_VALUE"""),"ARKWH3")</f>
        <v>ARKWH3</v>
      </c>
      <c r="H551" s="42"/>
      <c r="I551" s="46" t="str">
        <f>IFERROR(__xludf.DUMMYFUNCTION("""COMPUTED_VALUE"""),"https://repl.it/@AhmadMaulanaMau/sequence-member#index.js")</f>
        <v>https://repl.it/@AhmadMaulanaMau/sequence-member#index.js</v>
      </c>
      <c r="J551" s="46" t="str">
        <f>IFERROR(__xludf.DUMMYFUNCTION("""COMPUTED_VALUE"""),"https://drive.google.com/drive/folders/1QuS6CRPW8lNpe6GSrxZMFMb7yILRwLsg?usp=sharing")</f>
        <v>https://drive.google.com/drive/folders/1QuS6CRPW8lNpe6GSrxZMFMb7yILRwLsg?usp=sharing</v>
      </c>
      <c r="K551" s="42"/>
      <c r="L551" s="42"/>
      <c r="M551" s="42"/>
    </row>
    <row r="552">
      <c r="A552" s="43">
        <f>IFERROR(__xludf.DUMMYFUNCTION("""COMPUTED_VALUE"""),44158.512853657405)</f>
        <v>44158.51285</v>
      </c>
      <c r="B552" s="42" t="str">
        <f>IFERROR(__xludf.DUMMYFUNCTION("""COMPUTED_VALUE"""),"Muhammad Ihsan Anshory")</f>
        <v>Muhammad Ihsan Anshory</v>
      </c>
      <c r="C552" s="42" t="str">
        <f>IFERROR(__xludf.DUMMYFUNCTION("""COMPUTED_VALUE"""),"Online")</f>
        <v>Online</v>
      </c>
      <c r="D552" s="42" t="str">
        <f>IFERROR(__xludf.DUMMYFUNCTION("""COMPUTED_VALUE"""),"Fullstack Mobile Developer")</f>
        <v>Fullstack Mobile Developer</v>
      </c>
      <c r="E552" s="42">
        <f>IFERROR(__xludf.DUMMYFUNCTION("""COMPUTED_VALUE"""),18.0)</f>
        <v>18</v>
      </c>
      <c r="F552" s="42">
        <f>IFERROR(__xludf.DUMMYFUNCTION("""COMPUTED_VALUE"""),1.0)</f>
        <v>1</v>
      </c>
      <c r="G552" s="42" t="str">
        <f>IFERROR(__xludf.DUMMYFUNCTION("""COMPUTED_VALUE"""),"ARKWH3")</f>
        <v>ARKWH3</v>
      </c>
      <c r="H552" s="42"/>
      <c r="I552" s="46" t="str">
        <f>IFERROR(__xludf.DUMMYFUNCTION("""COMPUTED_VALUE"""),"https://repl.it/@AnshoryIhsan/arkwh3#index.js")</f>
        <v>https://repl.it/@AnshoryIhsan/arkwh3#index.js</v>
      </c>
      <c r="J552" s="42"/>
      <c r="K552" s="42"/>
      <c r="L552" s="42"/>
      <c r="M552" s="42"/>
    </row>
    <row r="553">
      <c r="A553" s="43">
        <f>IFERROR(__xludf.DUMMYFUNCTION("""COMPUTED_VALUE"""),44158.51390822917)</f>
        <v>44158.51391</v>
      </c>
      <c r="B553" s="42" t="str">
        <f>IFERROR(__xludf.DUMMYFUNCTION("""COMPUTED_VALUE"""),"Hanif Maghfur")</f>
        <v>Hanif Maghfur</v>
      </c>
      <c r="C553" s="42" t="str">
        <f>IFERROR(__xludf.DUMMYFUNCTION("""COMPUTED_VALUE"""),"Online")</f>
        <v>Online</v>
      </c>
      <c r="D553" s="42" t="str">
        <f>IFERROR(__xludf.DUMMYFUNCTION("""COMPUTED_VALUE"""),"Fullstack Mobile Developer")</f>
        <v>Fullstack Mobile Developer</v>
      </c>
      <c r="E553" s="42">
        <f>IFERROR(__xludf.DUMMYFUNCTION("""COMPUTED_VALUE"""),18.0)</f>
        <v>18</v>
      </c>
      <c r="F553" s="42">
        <f>IFERROR(__xludf.DUMMYFUNCTION("""COMPUTED_VALUE"""),1.0)</f>
        <v>1</v>
      </c>
      <c r="G553" s="42" t="str">
        <f>IFERROR(__xludf.DUMMYFUNCTION("""COMPUTED_VALUE"""),"ARKWH3")</f>
        <v>ARKWH3</v>
      </c>
      <c r="H553" s="42"/>
      <c r="I553" s="46" t="str">
        <f>IFERROR(__xludf.DUMMYFUNCTION("""COMPUTED_VALUE"""),"https://repl.it/@hnifmaghfur/KuisARKWH3")</f>
        <v>https://repl.it/@hnifmaghfur/KuisARKWH3</v>
      </c>
      <c r="J553" s="46" t="str">
        <f>IFERROR(__xludf.DUMMYFUNCTION("""COMPUTED_VALUE"""),"https://drive.google.com/file/d/1QeItvQm79C2buOxu0sOdrcbWpCHrc-7b/view?usp=sharing")</f>
        <v>https://drive.google.com/file/d/1QeItvQm79C2buOxu0sOdrcbWpCHrc-7b/view?usp=sharing</v>
      </c>
      <c r="K553" s="42"/>
      <c r="L553" s="42"/>
      <c r="M553" s="42"/>
    </row>
    <row r="554">
      <c r="A554" s="43">
        <f>IFERROR(__xludf.DUMMYFUNCTION("""COMPUTED_VALUE"""),44158.51469658565)</f>
        <v>44158.5147</v>
      </c>
      <c r="B554" s="42" t="str">
        <f>IFERROR(__xludf.DUMMYFUNCTION("""COMPUTED_VALUE"""),"Arungi Cahaya")</f>
        <v>Arungi Cahaya</v>
      </c>
      <c r="C554" s="42" t="str">
        <f>IFERROR(__xludf.DUMMYFUNCTION("""COMPUTED_VALUE"""),"Online")</f>
        <v>Online</v>
      </c>
      <c r="D554" s="42" t="str">
        <f>IFERROR(__xludf.DUMMYFUNCTION("""COMPUTED_VALUE"""),"Fullstack Mobile Developer")</f>
        <v>Fullstack Mobile Developer</v>
      </c>
      <c r="E554" s="42">
        <f>IFERROR(__xludf.DUMMYFUNCTION("""COMPUTED_VALUE"""),18.0)</f>
        <v>18</v>
      </c>
      <c r="F554" s="42">
        <f>IFERROR(__xludf.DUMMYFUNCTION("""COMPUTED_VALUE"""),3.0)</f>
        <v>3</v>
      </c>
      <c r="G554" s="42" t="str">
        <f>IFERROR(__xludf.DUMMYFUNCTION("""COMPUTED_VALUE"""),"ARKWH3")</f>
        <v>ARKWH3</v>
      </c>
      <c r="H554" s="42"/>
      <c r="I554" s="46" t="str">
        <f>IFERROR(__xludf.DUMMYFUNCTION("""COMPUTED_VALUE"""),"https://repl.it/@ArungiCahaya/week11#index.js")</f>
        <v>https://repl.it/@ArungiCahaya/week11#index.js</v>
      </c>
      <c r="J554" s="46" t="str">
        <f>IFERROR(__xludf.DUMMYFUNCTION("""COMPUTED_VALUE"""),"https://drive.google.com/file/d/1jlIw0ekWQQHAc5zb9c46jozwU-x6WN-y/view?usp=sharing")</f>
        <v>https://drive.google.com/file/d/1jlIw0ekWQQHAc5zb9c46jozwU-x6WN-y/view?usp=sharing</v>
      </c>
      <c r="K554" s="42"/>
      <c r="L554" s="42"/>
      <c r="M554" s="42"/>
    </row>
    <row r="555">
      <c r="A555" s="43">
        <f>IFERROR(__xludf.DUMMYFUNCTION("""COMPUTED_VALUE"""),44158.515237141204)</f>
        <v>44158.51524</v>
      </c>
      <c r="B555" s="42" t="str">
        <f>IFERROR(__xludf.DUMMYFUNCTION("""COMPUTED_VALUE"""),"Saidina Hamzah")</f>
        <v>Saidina Hamzah</v>
      </c>
      <c r="C555" s="42" t="str">
        <f>IFERROR(__xludf.DUMMYFUNCTION("""COMPUTED_VALUE"""),"Online")</f>
        <v>Online</v>
      </c>
      <c r="D555" s="42" t="str">
        <f>IFERROR(__xludf.DUMMYFUNCTION("""COMPUTED_VALUE"""),"Fullstack Mobile Developer")</f>
        <v>Fullstack Mobile Developer</v>
      </c>
      <c r="E555" s="42">
        <f>IFERROR(__xludf.DUMMYFUNCTION("""COMPUTED_VALUE"""),18.0)</f>
        <v>18</v>
      </c>
      <c r="F555" s="42">
        <f>IFERROR(__xludf.DUMMYFUNCTION("""COMPUTED_VALUE"""),1.0)</f>
        <v>1</v>
      </c>
      <c r="G555" s="42" t="str">
        <f>IFERROR(__xludf.DUMMYFUNCTION("""COMPUTED_VALUE"""),"ARKWH3")</f>
        <v>ARKWH3</v>
      </c>
      <c r="H555" s="42"/>
      <c r="I555" s="46" t="str">
        <f>IFERROR(__xludf.DUMMYFUNCTION("""COMPUTED_VALUE"""),"https://repl.it/@hamzahsaid/Quiz3#index.js")</f>
        <v>https://repl.it/@hamzahsaid/Quiz3#index.js</v>
      </c>
      <c r="J555" s="46" t="str">
        <f>IFERROR(__xludf.DUMMYFUNCTION("""COMPUTED_VALUE"""),"https://drive.google.com/drive/u/0/folders/1VjecPV8a_97dsUzkhDl7OTXVrahXpb3q")</f>
        <v>https://drive.google.com/drive/u/0/folders/1VjecPV8a_97dsUzkhDl7OTXVrahXpb3q</v>
      </c>
      <c r="K555" s="42"/>
      <c r="L555" s="42"/>
      <c r="M555" s="42"/>
    </row>
    <row r="556">
      <c r="A556" s="43">
        <f>IFERROR(__xludf.DUMMYFUNCTION("""COMPUTED_VALUE"""),44158.51553108796)</f>
        <v>44158.51553</v>
      </c>
      <c r="B556" s="42" t="str">
        <f>IFERROR(__xludf.DUMMYFUNCTION("""COMPUTED_VALUE"""),"Laili Kumala")</f>
        <v>Laili Kumala</v>
      </c>
      <c r="C556" s="42" t="str">
        <f>IFERROR(__xludf.DUMMYFUNCTION("""COMPUTED_VALUE"""),"Online")</f>
        <v>Online</v>
      </c>
      <c r="D556" s="42" t="str">
        <f>IFERROR(__xludf.DUMMYFUNCTION("""COMPUTED_VALUE"""),"Fullstack Mobile Developer")</f>
        <v>Fullstack Mobile Developer</v>
      </c>
      <c r="E556" s="42">
        <f>IFERROR(__xludf.DUMMYFUNCTION("""COMPUTED_VALUE"""),18.0)</f>
        <v>18</v>
      </c>
      <c r="F556" s="42">
        <f>IFERROR(__xludf.DUMMYFUNCTION("""COMPUTED_VALUE"""),1.0)</f>
        <v>1</v>
      </c>
      <c r="G556" s="42" t="str">
        <f>IFERROR(__xludf.DUMMYFUNCTION("""COMPUTED_VALUE"""),"ARKWH3")</f>
        <v>ARKWH3</v>
      </c>
      <c r="H556" s="42"/>
      <c r="I556" s="46" t="str">
        <f>IFERROR(__xludf.DUMMYFUNCTION("""COMPUTED_VALUE"""),"https://repl.it/@lailikumala/quiz3#index.js")</f>
        <v>https://repl.it/@lailikumala/quiz3#index.js</v>
      </c>
      <c r="J556" s="46" t="str">
        <f>IFERROR(__xludf.DUMMYFUNCTION("""COMPUTED_VALUE"""),"https://drive.google.com/file/d/1yziB81yPq4NrhMJUa32kkFyR5_k3881x/view")</f>
        <v>https://drive.google.com/file/d/1yziB81yPq4NrhMJUa32kkFyR5_k3881x/view</v>
      </c>
      <c r="K556" s="42"/>
      <c r="L556" s="42"/>
      <c r="M556" s="42"/>
    </row>
    <row r="557">
      <c r="A557" s="43">
        <f>IFERROR(__xludf.DUMMYFUNCTION("""COMPUTED_VALUE"""),44158.51572280093)</f>
        <v>44158.51572</v>
      </c>
      <c r="B557" s="42" t="str">
        <f>IFERROR(__xludf.DUMMYFUNCTION("""COMPUTED_VALUE"""),"Rizky Agung Pratama")</f>
        <v>Rizky Agung Pratama</v>
      </c>
      <c r="C557" s="42" t="str">
        <f>IFERROR(__xludf.DUMMYFUNCTION("""COMPUTED_VALUE"""),"Online")</f>
        <v>Online</v>
      </c>
      <c r="D557" s="42" t="str">
        <f>IFERROR(__xludf.DUMMYFUNCTION("""COMPUTED_VALUE"""),"Fullstack Mobile Developer")</f>
        <v>Fullstack Mobile Developer</v>
      </c>
      <c r="E557" s="42">
        <f>IFERROR(__xludf.DUMMYFUNCTION("""COMPUTED_VALUE"""),18.0)</f>
        <v>18</v>
      </c>
      <c r="F557" s="42">
        <f>IFERROR(__xludf.DUMMYFUNCTION("""COMPUTED_VALUE"""),1.0)</f>
        <v>1</v>
      </c>
      <c r="G557" s="42" t="str">
        <f>IFERROR(__xludf.DUMMYFUNCTION("""COMPUTED_VALUE"""),"ARKWH3")</f>
        <v>ARKWH3</v>
      </c>
      <c r="H557" s="42"/>
      <c r="I557" s="46" t="str">
        <f>IFERROR(__xludf.DUMMYFUNCTION("""COMPUTED_VALUE"""),"https://repl.it/@rizkyagung18/MundaneDevotedSpheres#index.js")</f>
        <v>https://repl.it/@rizkyagung18/MundaneDevotedSpheres#index.js</v>
      </c>
      <c r="J557" s="46" t="str">
        <f>IFERROR(__xludf.DUMMYFUNCTION("""COMPUTED_VALUE"""),"https://drive.google.com/file/d/1fFxsYX0zc-A-zdJF8nJa14OdmWywcLvR/view?usp=sharing")</f>
        <v>https://drive.google.com/file/d/1fFxsYX0zc-A-zdJF8nJa14OdmWywcLvR/view?usp=sharing</v>
      </c>
      <c r="K557" s="46" t="str">
        <f>IFERROR(__xludf.DUMMYFUNCTION("""COMPUTED_VALUE"""),"https://drive.google.com/open?id=1YLjXs4Vyno-T_Vj-LgGoKel9ZF63Rgwa")</f>
        <v>https://drive.google.com/open?id=1YLjXs4Vyno-T_Vj-LgGoKel9ZF63Rgwa</v>
      </c>
      <c r="L557" s="42"/>
      <c r="M557" s="42"/>
    </row>
    <row r="558">
      <c r="A558" s="43">
        <f>IFERROR(__xludf.DUMMYFUNCTION("""COMPUTED_VALUE"""),44158.51842930556)</f>
        <v>44158.51843</v>
      </c>
      <c r="B558" s="42" t="str">
        <f>IFERROR(__xludf.DUMMYFUNCTION("""COMPUTED_VALUE"""),"Rifqi Malik Iskandar")</f>
        <v>Rifqi Malik Iskandar</v>
      </c>
      <c r="C558" s="42" t="str">
        <f>IFERROR(__xludf.DUMMYFUNCTION("""COMPUTED_VALUE"""),"Online")</f>
        <v>Online</v>
      </c>
      <c r="D558" s="42" t="str">
        <f>IFERROR(__xludf.DUMMYFUNCTION("""COMPUTED_VALUE"""),"Fullstack Mobile Developer")</f>
        <v>Fullstack Mobile Developer</v>
      </c>
      <c r="E558" s="42">
        <f>IFERROR(__xludf.DUMMYFUNCTION("""COMPUTED_VALUE"""),18.0)</f>
        <v>18</v>
      </c>
      <c r="F558" s="42">
        <f>IFERROR(__xludf.DUMMYFUNCTION("""COMPUTED_VALUE"""),1.0)</f>
        <v>1</v>
      </c>
      <c r="G558" s="42" t="str">
        <f>IFERROR(__xludf.DUMMYFUNCTION("""COMPUTED_VALUE"""),"ARKWH3")</f>
        <v>ARKWH3</v>
      </c>
      <c r="H558" s="42"/>
      <c r="I558" s="46" t="str">
        <f>IFERROR(__xludf.DUMMYFUNCTION("""COMPUTED_VALUE"""),"https://repl.it/@Rifqi56/MiserlyPastPolygon#index.js")</f>
        <v>https://repl.it/@Rifqi56/MiserlyPastPolygon#index.js</v>
      </c>
      <c r="J558" s="46" t="str">
        <f>IFERROR(__xludf.DUMMYFUNCTION("""COMPUTED_VALUE"""),"https://drive.google.com/file/d/1KGZsL966Q6RjQAtDJozG2KHJIsnIYW_8/view?usp=sharing")</f>
        <v>https://drive.google.com/file/d/1KGZsL966Q6RjQAtDJozG2KHJIsnIYW_8/view?usp=sharing</v>
      </c>
      <c r="K558" s="42"/>
      <c r="L558" s="42"/>
      <c r="M558" s="42"/>
    </row>
    <row r="559">
      <c r="A559" s="43">
        <f>IFERROR(__xludf.DUMMYFUNCTION("""COMPUTED_VALUE"""),44158.52009586805)</f>
        <v>44158.5201</v>
      </c>
      <c r="B559" s="42" t="str">
        <f>IFERROR(__xludf.DUMMYFUNCTION("""COMPUTED_VALUE"""),"Dyaksa Jauharuddin Nour")</f>
        <v>Dyaksa Jauharuddin Nour</v>
      </c>
      <c r="C559" s="42" t="str">
        <f>IFERROR(__xludf.DUMMYFUNCTION("""COMPUTED_VALUE"""),"Online")</f>
        <v>Online</v>
      </c>
      <c r="D559" s="42" t="str">
        <f>IFERROR(__xludf.DUMMYFUNCTION("""COMPUTED_VALUE"""),"Fullstack Mobile Developer")</f>
        <v>Fullstack Mobile Developer</v>
      </c>
      <c r="E559" s="42">
        <f>IFERROR(__xludf.DUMMYFUNCTION("""COMPUTED_VALUE"""),18.0)</f>
        <v>18</v>
      </c>
      <c r="F559" s="42">
        <f>IFERROR(__xludf.DUMMYFUNCTION("""COMPUTED_VALUE"""),1.0)</f>
        <v>1</v>
      </c>
      <c r="G559" s="42" t="str">
        <f>IFERROR(__xludf.DUMMYFUNCTION("""COMPUTED_VALUE"""),"ARKWH3")</f>
        <v>ARKWH3</v>
      </c>
      <c r="H559" s="42"/>
      <c r="I559" s="46" t="str">
        <f>IFERROR(__xludf.DUMMYFUNCTION("""COMPUTED_VALUE"""),"https://repl.it/join/hdlfojzj-dyaksanour")</f>
        <v>https://repl.it/join/hdlfojzj-dyaksanour</v>
      </c>
      <c r="J559" s="46" t="str">
        <f>IFERROR(__xludf.DUMMYFUNCTION("""COMPUTED_VALUE"""),"https://drive.google.com/file/d/1-Lwkxbh_-5kzILZ4b0szCz2papLuyi4G/view?usp=sharing")</f>
        <v>https://drive.google.com/file/d/1-Lwkxbh_-5kzILZ4b0szCz2papLuyi4G/view?usp=sharing</v>
      </c>
      <c r="K559" s="42"/>
      <c r="L559" s="42"/>
      <c r="M559" s="42"/>
    </row>
    <row r="560">
      <c r="A560" s="43">
        <f>IFERROR(__xludf.DUMMYFUNCTION("""COMPUTED_VALUE"""),44158.520303784724)</f>
        <v>44158.5203</v>
      </c>
      <c r="B560" s="42" t="str">
        <f>IFERROR(__xludf.DUMMYFUNCTION("""COMPUTED_VALUE"""),"Rani Suprianti")</f>
        <v>Rani Suprianti</v>
      </c>
      <c r="C560" s="42" t="str">
        <f>IFERROR(__xludf.DUMMYFUNCTION("""COMPUTED_VALUE"""),"Online")</f>
        <v>Online</v>
      </c>
      <c r="D560" s="42" t="str">
        <f>IFERROR(__xludf.DUMMYFUNCTION("""COMPUTED_VALUE"""),"Fullstack Mobile Developer")</f>
        <v>Fullstack Mobile Developer</v>
      </c>
      <c r="E560" s="42">
        <f>IFERROR(__xludf.DUMMYFUNCTION("""COMPUTED_VALUE"""),18.0)</f>
        <v>18</v>
      </c>
      <c r="F560" s="42">
        <f>IFERROR(__xludf.DUMMYFUNCTION("""COMPUTED_VALUE"""),1.0)</f>
        <v>1</v>
      </c>
      <c r="G560" s="42" t="str">
        <f>IFERROR(__xludf.DUMMYFUNCTION("""COMPUTED_VALUE"""),"ARKWH3")</f>
        <v>ARKWH3</v>
      </c>
      <c r="H560" s="42"/>
      <c r="I560" s="46" t="str">
        <f>IFERROR(__xludf.DUMMYFUNCTION("""COMPUTED_VALUE"""),"https://repl.it/@ranisup/Quiz11js")</f>
        <v>https://repl.it/@ranisup/Quiz11js</v>
      </c>
      <c r="J560" s="42"/>
      <c r="K560" s="46" t="str">
        <f>IFERROR(__xludf.DUMMYFUNCTION("""COMPUTED_VALUE"""),"https://drive.google.com/open?id=1SEaQzLtLX7iPA2KM1VHUpsyBaMlVT20Z")</f>
        <v>https://drive.google.com/open?id=1SEaQzLtLX7iPA2KM1VHUpsyBaMlVT20Z</v>
      </c>
      <c r="L560" s="42"/>
      <c r="M560" s="42"/>
    </row>
    <row r="561">
      <c r="A561" s="43">
        <f>IFERROR(__xludf.DUMMYFUNCTION("""COMPUTED_VALUE"""),44158.52089064815)</f>
        <v>44158.52089</v>
      </c>
      <c r="B561" s="42" t="str">
        <f>IFERROR(__xludf.DUMMYFUNCTION("""COMPUTED_VALUE"""),"Drajat Fikri Alfianto")</f>
        <v>Drajat Fikri Alfianto</v>
      </c>
      <c r="C561" s="42" t="str">
        <f>IFERROR(__xludf.DUMMYFUNCTION("""COMPUTED_VALUE"""),"Online")</f>
        <v>Online</v>
      </c>
      <c r="D561" s="42" t="str">
        <f>IFERROR(__xludf.DUMMYFUNCTION("""COMPUTED_VALUE"""),"Fullstack Mobile Developer")</f>
        <v>Fullstack Mobile Developer</v>
      </c>
      <c r="E561" s="42">
        <f>IFERROR(__xludf.DUMMYFUNCTION("""COMPUTED_VALUE"""),18.0)</f>
        <v>18</v>
      </c>
      <c r="F561" s="42">
        <f>IFERROR(__xludf.DUMMYFUNCTION("""COMPUTED_VALUE"""),1.0)</f>
        <v>1</v>
      </c>
      <c r="G561" s="42" t="str">
        <f>IFERROR(__xludf.DUMMYFUNCTION("""COMPUTED_VALUE"""),"ARKWH3")</f>
        <v>ARKWH3</v>
      </c>
      <c r="H561" s="42"/>
      <c r="I561" s="46" t="str">
        <f>IFERROR(__xludf.DUMMYFUNCTION("""COMPUTED_VALUE"""),"https://repl.it/@drajat824/Quisss")</f>
        <v>https://repl.it/@drajat824/Quisss</v>
      </c>
      <c r="J561" s="42" t="str">
        <f>IFERROR(__xludf.DUMMYFUNCTION("""COMPUTED_VALUE"""),"-")</f>
        <v>-</v>
      </c>
      <c r="K561" s="42"/>
      <c r="L561" s="42"/>
      <c r="M561" s="42"/>
    </row>
    <row r="562">
      <c r="A562" s="43">
        <f>IFERROR(__xludf.DUMMYFUNCTION("""COMPUTED_VALUE"""),44158.52153269676)</f>
        <v>44158.52153</v>
      </c>
      <c r="B562" s="42" t="str">
        <f>IFERROR(__xludf.DUMMYFUNCTION("""COMPUTED_VALUE"""),"Diki Herliansyah")</f>
        <v>Diki Herliansyah</v>
      </c>
      <c r="C562" s="42" t="str">
        <f>IFERROR(__xludf.DUMMYFUNCTION("""COMPUTED_VALUE"""),"Online")</f>
        <v>Online</v>
      </c>
      <c r="D562" s="42" t="str">
        <f>IFERROR(__xludf.DUMMYFUNCTION("""COMPUTED_VALUE"""),"Fullstack Mobile Developer")</f>
        <v>Fullstack Mobile Developer</v>
      </c>
      <c r="E562" s="42">
        <f>IFERROR(__xludf.DUMMYFUNCTION("""COMPUTED_VALUE"""),18.0)</f>
        <v>18</v>
      </c>
      <c r="F562" s="42">
        <f>IFERROR(__xludf.DUMMYFUNCTION("""COMPUTED_VALUE"""),1.0)</f>
        <v>1</v>
      </c>
      <c r="G562" s="42" t="str">
        <f>IFERROR(__xludf.DUMMYFUNCTION("""COMPUTED_VALUE"""),"ARKWH3")</f>
        <v>ARKWH3</v>
      </c>
      <c r="H562" s="42"/>
      <c r="I562" s="46" t="str">
        <f>IFERROR(__xludf.DUMMYFUNCTION("""COMPUTED_VALUE"""),"https://repl.it/@dherliansyah/kuis3-1")</f>
        <v>https://repl.it/@dherliansyah/kuis3-1</v>
      </c>
      <c r="J562" s="46" t="str">
        <f>IFERROR(__xludf.DUMMYFUNCTION("""COMPUTED_VALUE"""),"https://drive.google.com/file/d/1KkkXt1hJxLEQLAEfSnk8GsLuWoGa7cum/view?usp=sharing")</f>
        <v>https://drive.google.com/file/d/1KkkXt1hJxLEQLAEfSnk8GsLuWoGa7cum/view?usp=sharing</v>
      </c>
      <c r="K562" s="42"/>
      <c r="L562" s="42"/>
      <c r="M562" s="42"/>
    </row>
    <row r="563">
      <c r="A563" s="43">
        <f>IFERROR(__xludf.DUMMYFUNCTION("""COMPUTED_VALUE"""),44158.52207050926)</f>
        <v>44158.52207</v>
      </c>
      <c r="B563" s="42" t="str">
        <f>IFERROR(__xludf.DUMMYFUNCTION("""COMPUTED_VALUE"""),"sinta herena")</f>
        <v>sinta herena</v>
      </c>
      <c r="C563" s="42" t="str">
        <f>IFERROR(__xludf.DUMMYFUNCTION("""COMPUTED_VALUE"""),"Online")</f>
        <v>Online</v>
      </c>
      <c r="D563" s="42" t="str">
        <f>IFERROR(__xludf.DUMMYFUNCTION("""COMPUTED_VALUE"""),"Fullstack Mobile Developer")</f>
        <v>Fullstack Mobile Developer</v>
      </c>
      <c r="E563" s="42">
        <f>IFERROR(__xludf.DUMMYFUNCTION("""COMPUTED_VALUE"""),18.0)</f>
        <v>18</v>
      </c>
      <c r="F563" s="42">
        <f>IFERROR(__xludf.DUMMYFUNCTION("""COMPUTED_VALUE"""),1.0)</f>
        <v>1</v>
      </c>
      <c r="G563" s="42" t="str">
        <f>IFERROR(__xludf.DUMMYFUNCTION("""COMPUTED_VALUE"""),"ARKWH3")</f>
        <v>ARKWH3</v>
      </c>
      <c r="H563" s="42"/>
      <c r="I563" s="46" t="str">
        <f>IFERROR(__xludf.DUMMYFUNCTION("""COMPUTED_VALUE"""),"https://repl.it/@herenacreative/kuis23nov#index.js")</f>
        <v>https://repl.it/@herenacreative/kuis23nov#index.js</v>
      </c>
      <c r="J563" s="46" t="str">
        <f>IFERROR(__xludf.DUMMYFUNCTION("""COMPUTED_VALUE"""),"https://app.diagrams.net/#G16hDq9Eypd9C6Ips-kInE01QI1GOiwCC4")</f>
        <v>https://app.diagrams.net/#G16hDq9Eypd9C6Ips-kInE01QI1GOiwCC4</v>
      </c>
      <c r="K563" s="42"/>
      <c r="L563" s="42"/>
      <c r="M563" s="42"/>
    </row>
    <row r="564">
      <c r="A564" s="43">
        <f>IFERROR(__xludf.DUMMYFUNCTION("""COMPUTED_VALUE"""),44158.524060578704)</f>
        <v>44158.52406</v>
      </c>
      <c r="B564" s="42" t="str">
        <f>IFERROR(__xludf.DUMMYFUNCTION("""COMPUTED_VALUE"""),"Muhammad Riduwan")</f>
        <v>Muhammad Riduwan</v>
      </c>
      <c r="C564" s="42" t="str">
        <f>IFERROR(__xludf.DUMMYFUNCTION("""COMPUTED_VALUE"""),"Online")</f>
        <v>Online</v>
      </c>
      <c r="D564" s="42" t="str">
        <f>IFERROR(__xludf.DUMMYFUNCTION("""COMPUTED_VALUE"""),"Fullstack Mobile Developer")</f>
        <v>Fullstack Mobile Developer</v>
      </c>
      <c r="E564" s="42">
        <f>IFERROR(__xludf.DUMMYFUNCTION("""COMPUTED_VALUE"""),18.0)</f>
        <v>18</v>
      </c>
      <c r="F564" s="42">
        <f>IFERROR(__xludf.DUMMYFUNCTION("""COMPUTED_VALUE"""),1.0)</f>
        <v>1</v>
      </c>
      <c r="G564" s="42" t="str">
        <f>IFERROR(__xludf.DUMMYFUNCTION("""COMPUTED_VALUE"""),"ARKWH3")</f>
        <v>ARKWH3</v>
      </c>
      <c r="H564" s="42"/>
      <c r="I564" s="46" t="str">
        <f>IFERROR(__xludf.DUMMYFUNCTION("""COMPUTED_VALUE"""),"https://repl.it/@rolilaz47/sequenceMember")</f>
        <v>https://repl.it/@rolilaz47/sequenceMember</v>
      </c>
      <c r="J564" s="46" t="str">
        <f>IFERROR(__xludf.DUMMYFUNCTION("""COMPUTED_VALUE"""),"https://drive.google.com/file/d/1yTsW2TKYmY-wkEq1w5zLb1b0s8E8ot6e/view?usp=sharing")</f>
        <v>https://drive.google.com/file/d/1yTsW2TKYmY-wkEq1w5zLb1b0s8E8ot6e/view?usp=sharing</v>
      </c>
      <c r="K564" s="46" t="str">
        <f>IFERROR(__xludf.DUMMYFUNCTION("""COMPUTED_VALUE"""),"https://drive.google.com/open?id=1kETUTzHnZFvAzZDT0Cr07wKGiRLeqcnF")</f>
        <v>https://drive.google.com/open?id=1kETUTzHnZFvAzZDT0Cr07wKGiRLeqcnF</v>
      </c>
      <c r="L564" s="42"/>
      <c r="M564" s="42"/>
    </row>
    <row r="565">
      <c r="A565" s="43">
        <f>IFERROR(__xludf.DUMMYFUNCTION("""COMPUTED_VALUE"""),44169.451619907406)</f>
        <v>44169.45162</v>
      </c>
      <c r="B565" s="42" t="str">
        <f>IFERROR(__xludf.DUMMYFUNCTION("""COMPUTED_VALUE"""),"Andrawan Erlang Pradana")</f>
        <v>Andrawan Erlang Pradana</v>
      </c>
      <c r="C565" s="42" t="str">
        <f>IFERROR(__xludf.DUMMYFUNCTION("""COMPUTED_VALUE"""),"Online")</f>
        <v>Online</v>
      </c>
      <c r="D565" s="42" t="str">
        <f>IFERROR(__xludf.DUMMYFUNCTION("""COMPUTED_VALUE"""),"Fullstack Web Developer")</f>
        <v>Fullstack Web Developer</v>
      </c>
      <c r="E565" s="42">
        <f>IFERROR(__xludf.DUMMYFUNCTION("""COMPUTED_VALUE"""),6.0)</f>
        <v>6</v>
      </c>
      <c r="F565" s="42">
        <f>IFERROR(__xludf.DUMMYFUNCTION("""COMPUTED_VALUE"""),1.0)</f>
        <v>1</v>
      </c>
      <c r="G565" s="42" t="str">
        <f>IFERROR(__xludf.DUMMYFUNCTION("""COMPUTED_VALUE"""),"ARKWH1")</f>
        <v>ARKWH1</v>
      </c>
      <c r="H565" s="42"/>
      <c r="I565" s="46" t="str">
        <f>IFERROR(__xludf.DUMMYFUNCTION("""COMPUTED_VALUE"""),"https://repl.it/@AndrawanErlang/QUIZ1#script.js")</f>
        <v>https://repl.it/@AndrawanErlang/QUIZ1#script.js</v>
      </c>
      <c r="J565" s="42"/>
      <c r="K565" s="46" t="str">
        <f>IFERROR(__xludf.DUMMYFUNCTION("""COMPUTED_VALUE"""),"https://drive.google.com/open?id=1z_QmyyHbK_nwpwUz-5zX-RP73mzlsFWa")</f>
        <v>https://drive.google.com/open?id=1z_QmyyHbK_nwpwUz-5zX-RP73mzlsFWa</v>
      </c>
      <c r="L565" s="42">
        <f>IFERROR(__xludf.DUMMYFUNCTION("""COMPUTED_VALUE"""),2.0)</f>
        <v>2</v>
      </c>
      <c r="M565" s="42" t="str">
        <f>IFERROR(__xludf.DUMMYFUNCTION("""COMPUTED_VALUE"""),"good !")</f>
        <v>good !</v>
      </c>
    </row>
    <row r="566">
      <c r="A566" s="43">
        <f>IFERROR(__xludf.DUMMYFUNCTION("""COMPUTED_VALUE"""),44169.456666805556)</f>
        <v>44169.45667</v>
      </c>
      <c r="B566" s="42" t="str">
        <f>IFERROR(__xludf.DUMMYFUNCTION("""COMPUTED_VALUE"""),"Rizqon Maulana")</f>
        <v>Rizqon Maulana</v>
      </c>
      <c r="C566" s="42" t="str">
        <f>IFERROR(__xludf.DUMMYFUNCTION("""COMPUTED_VALUE"""),"Online")</f>
        <v>Online</v>
      </c>
      <c r="D566" s="42" t="str">
        <f>IFERROR(__xludf.DUMMYFUNCTION("""COMPUTED_VALUE"""),"Fullstack Web Developer")</f>
        <v>Fullstack Web Developer</v>
      </c>
      <c r="E566" s="42">
        <f>IFERROR(__xludf.DUMMYFUNCTION("""COMPUTED_VALUE"""),6.0)</f>
        <v>6</v>
      </c>
      <c r="F566" s="42">
        <f>IFERROR(__xludf.DUMMYFUNCTION("""COMPUTED_VALUE"""),1.0)</f>
        <v>1</v>
      </c>
      <c r="G566" s="42" t="str">
        <f>IFERROR(__xludf.DUMMYFUNCTION("""COMPUTED_VALUE"""),"ARKWH1")</f>
        <v>ARKWH1</v>
      </c>
      <c r="H566" s="42"/>
      <c r="I566" s="46" t="str">
        <f>IFERROR(__xludf.DUMMYFUNCTION("""COMPUTED_VALUE"""),"https://repl.it/@RizqonMaulana/quiz1")</f>
        <v>https://repl.it/@RizqonMaulana/quiz1</v>
      </c>
      <c r="J566" s="42"/>
      <c r="K566" s="46" t="str">
        <f>IFERROR(__xludf.DUMMYFUNCTION("""COMPUTED_VALUE"""),"https://drive.google.com/open?id=1If2hMuEPHDwqeWZak_fIoLGQTwxJE-H8")</f>
        <v>https://drive.google.com/open?id=1If2hMuEPHDwqeWZak_fIoLGQTwxJE-H8</v>
      </c>
      <c r="L566" s="42">
        <f>IFERROR(__xludf.DUMMYFUNCTION("""COMPUTED_VALUE"""),2.0)</f>
        <v>2</v>
      </c>
      <c r="M566" s="42" t="str">
        <f>IFERROR(__xludf.DUMMYFUNCTION("""COMPUTED_VALUE"""),"good !")</f>
        <v>good !</v>
      </c>
    </row>
    <row r="567">
      <c r="A567" s="43">
        <f>IFERROR(__xludf.DUMMYFUNCTION("""COMPUTED_VALUE"""),44169.457011782404)</f>
        <v>44169.45701</v>
      </c>
      <c r="B567" s="42" t="str">
        <f>IFERROR(__xludf.DUMMYFUNCTION("""COMPUTED_VALUE"""),"Ivan Rozak")</f>
        <v>Ivan Rozak</v>
      </c>
      <c r="C567" s="42" t="str">
        <f>IFERROR(__xludf.DUMMYFUNCTION("""COMPUTED_VALUE"""),"Online")</f>
        <v>Online</v>
      </c>
      <c r="D567" s="42" t="str">
        <f>IFERROR(__xludf.DUMMYFUNCTION("""COMPUTED_VALUE"""),"Fullstack Web Developer")</f>
        <v>Fullstack Web Developer</v>
      </c>
      <c r="E567" s="42">
        <f>IFERROR(__xludf.DUMMYFUNCTION("""COMPUTED_VALUE"""),6.0)</f>
        <v>6</v>
      </c>
      <c r="F567" s="42">
        <f>IFERROR(__xludf.DUMMYFUNCTION("""COMPUTED_VALUE"""),1.0)</f>
        <v>1</v>
      </c>
      <c r="G567" s="42" t="str">
        <f>IFERROR(__xludf.DUMMYFUNCTION("""COMPUTED_VALUE"""),"ARKWH1")</f>
        <v>ARKWH1</v>
      </c>
      <c r="H567" s="42"/>
      <c r="I567" s="46" t="str">
        <f>IFERROR(__xludf.DUMMYFUNCTION("""COMPUTED_VALUE"""),"https://repl.it/@IvanRozak/quiz")</f>
        <v>https://repl.it/@IvanRozak/quiz</v>
      </c>
      <c r="J567" s="42"/>
      <c r="K567" s="46" t="str">
        <f>IFERROR(__xludf.DUMMYFUNCTION("""COMPUTED_VALUE"""),"https://drive.google.com/open?id=1VcfWSr-lEI-VTNWyj7WJHGOBlCMFhEXt")</f>
        <v>https://drive.google.com/open?id=1VcfWSr-lEI-VTNWyj7WJHGOBlCMFhEXt</v>
      </c>
      <c r="L567" s="42">
        <f>IFERROR(__xludf.DUMMYFUNCTION("""COMPUTED_VALUE"""),2.0)</f>
        <v>2</v>
      </c>
      <c r="M567" s="42" t="str">
        <f>IFERROR(__xludf.DUMMYFUNCTION("""COMPUTED_VALUE"""),"good !")</f>
        <v>good !</v>
      </c>
    </row>
    <row r="568">
      <c r="A568" s="43">
        <f>IFERROR(__xludf.DUMMYFUNCTION("""COMPUTED_VALUE"""),44169.45742420139)</f>
        <v>44169.45742</v>
      </c>
      <c r="B568" s="42" t="str">
        <f>IFERROR(__xludf.DUMMYFUNCTION("""COMPUTED_VALUE"""),"Anka Abdullah")</f>
        <v>Anka Abdullah</v>
      </c>
      <c r="C568" s="42" t="str">
        <f>IFERROR(__xludf.DUMMYFUNCTION("""COMPUTED_VALUE"""),"Online")</f>
        <v>Online</v>
      </c>
      <c r="D568" s="42" t="str">
        <f>IFERROR(__xludf.DUMMYFUNCTION("""COMPUTED_VALUE"""),"Fullstack Web Developer")</f>
        <v>Fullstack Web Developer</v>
      </c>
      <c r="E568" s="42">
        <f>IFERROR(__xludf.DUMMYFUNCTION("""COMPUTED_VALUE"""),6.0)</f>
        <v>6</v>
      </c>
      <c r="F568" s="42">
        <f>IFERROR(__xludf.DUMMYFUNCTION("""COMPUTED_VALUE"""),1.0)</f>
        <v>1</v>
      </c>
      <c r="G568" s="42" t="str">
        <f>IFERROR(__xludf.DUMMYFUNCTION("""COMPUTED_VALUE"""),"ARKWH1")</f>
        <v>ARKWH1</v>
      </c>
      <c r="H568" s="42"/>
      <c r="I568" s="46" t="str">
        <f>IFERROR(__xludf.DUMMYFUNCTION("""COMPUTED_VALUE"""),"https://repl.it/join/quomkyfd-ankaabdullah")</f>
        <v>https://repl.it/join/quomkyfd-ankaabdullah</v>
      </c>
      <c r="J568" s="42"/>
      <c r="K568" s="46" t="str">
        <f>IFERROR(__xludf.DUMMYFUNCTION("""COMPUTED_VALUE"""),"https://drive.google.com/open?id=1tDTxuhd6w6Zec0HHtnztLk7flphIw-r1")</f>
        <v>https://drive.google.com/open?id=1tDTxuhd6w6Zec0HHtnztLk7flphIw-r1</v>
      </c>
      <c r="L568" s="42">
        <f>IFERROR(__xludf.DUMMYFUNCTION("""COMPUTED_VALUE"""),2.0)</f>
        <v>2</v>
      </c>
      <c r="M568" s="42" t="str">
        <f>IFERROR(__xludf.DUMMYFUNCTION("""COMPUTED_VALUE"""),"good !")</f>
        <v>good !</v>
      </c>
    </row>
    <row r="569">
      <c r="A569" s="43">
        <f>IFERROR(__xludf.DUMMYFUNCTION("""COMPUTED_VALUE"""),44169.45747424768)</f>
        <v>44169.45747</v>
      </c>
      <c r="B569" s="42" t="str">
        <f>IFERROR(__xludf.DUMMYFUNCTION("""COMPUTED_VALUE"""),"Ahmad Jundan Harish")</f>
        <v>Ahmad Jundan Harish</v>
      </c>
      <c r="C569" s="42" t="str">
        <f>IFERROR(__xludf.DUMMYFUNCTION("""COMPUTED_VALUE"""),"Online")</f>
        <v>Online</v>
      </c>
      <c r="D569" s="42" t="str">
        <f>IFERROR(__xludf.DUMMYFUNCTION("""COMPUTED_VALUE"""),"Fullstack Web Developer")</f>
        <v>Fullstack Web Developer</v>
      </c>
      <c r="E569" s="42">
        <f>IFERROR(__xludf.DUMMYFUNCTION("""COMPUTED_VALUE"""),6.0)</f>
        <v>6</v>
      </c>
      <c r="F569" s="42">
        <f>IFERROR(__xludf.DUMMYFUNCTION("""COMPUTED_VALUE"""),1.0)</f>
        <v>1</v>
      </c>
      <c r="G569" s="42" t="str">
        <f>IFERROR(__xludf.DUMMYFUNCTION("""COMPUTED_VALUE"""),"ARKWH1")</f>
        <v>ARKWH1</v>
      </c>
      <c r="H569" s="42"/>
      <c r="I569" s="46" t="str">
        <f>IFERROR(__xludf.DUMMYFUNCTION("""COMPUTED_VALUE"""),"https://repl.it/@gedangchocochip/MarvelousCandidTransversals#index.js")</f>
        <v>https://repl.it/@gedangchocochip/MarvelousCandidTransversals#index.js</v>
      </c>
      <c r="J569" s="42"/>
      <c r="K569" s="46" t="str">
        <f>IFERROR(__xludf.DUMMYFUNCTION("""COMPUTED_VALUE"""),"https://drive.google.com/open?id=1UhCr5nmIHUCeXbhrTWPjdeC_HImDBm69")</f>
        <v>https://drive.google.com/open?id=1UhCr5nmIHUCeXbhrTWPjdeC_HImDBm69</v>
      </c>
      <c r="L569" s="42">
        <f>IFERROR(__xludf.DUMMYFUNCTION("""COMPUTED_VALUE"""),2.0)</f>
        <v>2</v>
      </c>
      <c r="M569" s="42" t="str">
        <f>IFERROR(__xludf.DUMMYFUNCTION("""COMPUTED_VALUE"""),"good !")</f>
        <v>good !</v>
      </c>
    </row>
    <row r="570">
      <c r="A570" s="43">
        <f>IFERROR(__xludf.DUMMYFUNCTION("""COMPUTED_VALUE"""),44169.45749572916)</f>
        <v>44169.4575</v>
      </c>
      <c r="B570" s="42" t="str">
        <f>IFERROR(__xludf.DUMMYFUNCTION("""COMPUTED_VALUE"""),"Vincent Junior")</f>
        <v>Vincent Junior</v>
      </c>
      <c r="C570" s="42" t="str">
        <f>IFERROR(__xludf.DUMMYFUNCTION("""COMPUTED_VALUE"""),"Online")</f>
        <v>Online</v>
      </c>
      <c r="D570" s="42" t="str">
        <f>IFERROR(__xludf.DUMMYFUNCTION("""COMPUTED_VALUE"""),"Fullstack Web Developer")</f>
        <v>Fullstack Web Developer</v>
      </c>
      <c r="E570" s="42">
        <f>IFERROR(__xludf.DUMMYFUNCTION("""COMPUTED_VALUE"""),6.0)</f>
        <v>6</v>
      </c>
      <c r="F570" s="42">
        <f>IFERROR(__xludf.DUMMYFUNCTION("""COMPUTED_VALUE"""),1.0)</f>
        <v>1</v>
      </c>
      <c r="G570" s="42" t="str">
        <f>IFERROR(__xludf.DUMMYFUNCTION("""COMPUTED_VALUE"""),"ARKWH1")</f>
        <v>ARKWH1</v>
      </c>
      <c r="H570" s="42"/>
      <c r="I570" s="46" t="str">
        <f>IFERROR(__xludf.DUMMYFUNCTION("""COMPUTED_VALUE"""),"https://repl.it/join/fjhyhcmi-bijigoreng")</f>
        <v>https://repl.it/join/fjhyhcmi-bijigoreng</v>
      </c>
      <c r="J570" s="42"/>
      <c r="K570" s="46" t="str">
        <f>IFERROR(__xludf.DUMMYFUNCTION("""COMPUTED_VALUE"""),"https://drive.google.com/open?id=1nxDWUHdp0hIS1Vg2uG3RPMulq2b4I0n5")</f>
        <v>https://drive.google.com/open?id=1nxDWUHdp0hIS1Vg2uG3RPMulq2b4I0n5</v>
      </c>
      <c r="L570" s="42">
        <f>IFERROR(__xludf.DUMMYFUNCTION("""COMPUTED_VALUE"""),2.0)</f>
        <v>2</v>
      </c>
      <c r="M570" s="42" t="str">
        <f>IFERROR(__xludf.DUMMYFUNCTION("""COMPUTED_VALUE"""),"good !")</f>
        <v>good !</v>
      </c>
    </row>
    <row r="571">
      <c r="A571" s="43">
        <f>IFERROR(__xludf.DUMMYFUNCTION("""COMPUTED_VALUE"""),44169.45949386574)</f>
        <v>44169.45949</v>
      </c>
      <c r="B571" s="42" t="str">
        <f>IFERROR(__xludf.DUMMYFUNCTION("""COMPUTED_VALUE"""),"Risky Amalia Haris")</f>
        <v>Risky Amalia Haris</v>
      </c>
      <c r="C571" s="42" t="str">
        <f>IFERROR(__xludf.DUMMYFUNCTION("""COMPUTED_VALUE"""),"Online")</f>
        <v>Online</v>
      </c>
      <c r="D571" s="42" t="str">
        <f>IFERROR(__xludf.DUMMYFUNCTION("""COMPUTED_VALUE"""),"Fullstack Web Developer")</f>
        <v>Fullstack Web Developer</v>
      </c>
      <c r="E571" s="42">
        <f>IFERROR(__xludf.DUMMYFUNCTION("""COMPUTED_VALUE"""),6.0)</f>
        <v>6</v>
      </c>
      <c r="F571" s="42">
        <f>IFERROR(__xludf.DUMMYFUNCTION("""COMPUTED_VALUE"""),1.0)</f>
        <v>1</v>
      </c>
      <c r="G571" s="42" t="str">
        <f>IFERROR(__xludf.DUMMYFUNCTION("""COMPUTED_VALUE"""),"ARKWH1")</f>
        <v>ARKWH1</v>
      </c>
      <c r="H571" s="42"/>
      <c r="I571" s="46" t="str">
        <f>IFERROR(__xludf.DUMMYFUNCTION("""COMPUTED_VALUE"""),"https://repl.it/join/thvbxgzd-riskyamaliahari")</f>
        <v>https://repl.it/join/thvbxgzd-riskyamaliahari</v>
      </c>
      <c r="J571" s="42"/>
      <c r="K571" s="46" t="str">
        <f>IFERROR(__xludf.DUMMYFUNCTION("""COMPUTED_VALUE"""),"https://drive.google.com/open?id=1QtX7WlLj1wC_9C4AsjRfFHtvx8OXfTE3")</f>
        <v>https://drive.google.com/open?id=1QtX7WlLj1wC_9C4AsjRfFHtvx8OXfTE3</v>
      </c>
      <c r="L571" s="42">
        <f>IFERROR(__xludf.DUMMYFUNCTION("""COMPUTED_VALUE"""),2.0)</f>
        <v>2</v>
      </c>
      <c r="M571" s="42" t="str">
        <f>IFERROR(__xludf.DUMMYFUNCTION("""COMPUTED_VALUE"""),"good !")</f>
        <v>good !</v>
      </c>
    </row>
    <row r="572">
      <c r="A572" s="43">
        <f>IFERROR(__xludf.DUMMYFUNCTION("""COMPUTED_VALUE"""),44169.459514965274)</f>
        <v>44169.45951</v>
      </c>
      <c r="B572" s="42" t="str">
        <f>IFERROR(__xludf.DUMMYFUNCTION("""COMPUTED_VALUE"""),"Mohammad Ilham Nurdhi Hafsyah")</f>
        <v>Mohammad Ilham Nurdhi Hafsyah</v>
      </c>
      <c r="C572" s="42" t="str">
        <f>IFERROR(__xludf.DUMMYFUNCTION("""COMPUTED_VALUE"""),"Online")</f>
        <v>Online</v>
      </c>
      <c r="D572" s="42" t="str">
        <f>IFERROR(__xludf.DUMMYFUNCTION("""COMPUTED_VALUE"""),"Fullstack Web Developer")</f>
        <v>Fullstack Web Developer</v>
      </c>
      <c r="E572" s="42">
        <f>IFERROR(__xludf.DUMMYFUNCTION("""COMPUTED_VALUE"""),6.0)</f>
        <v>6</v>
      </c>
      <c r="F572" s="42">
        <f>IFERROR(__xludf.DUMMYFUNCTION("""COMPUTED_VALUE"""),1.0)</f>
        <v>1</v>
      </c>
      <c r="G572" s="42" t="str">
        <f>IFERROR(__xludf.DUMMYFUNCTION("""COMPUTED_VALUE"""),"ARKWH1")</f>
        <v>ARKWH1</v>
      </c>
      <c r="H572" s="42"/>
      <c r="I572" s="46" t="str">
        <f>IFERROR(__xludf.DUMMYFUNCTION("""COMPUTED_VALUE"""),"https://repl.it/@IlhamHafsyah/quiz1#index.js")</f>
        <v>https://repl.it/@IlhamHafsyah/quiz1#index.js</v>
      </c>
      <c r="J572" s="42"/>
      <c r="K572" s="46" t="str">
        <f>IFERROR(__xludf.DUMMYFUNCTION("""COMPUTED_VALUE"""),"https://drive.google.com/open?id=163E6hB7YMfytyF3-e3TDzVl5wer_lZKM")</f>
        <v>https://drive.google.com/open?id=163E6hB7YMfytyF3-e3TDzVl5wer_lZKM</v>
      </c>
      <c r="L572" s="42">
        <f>IFERROR(__xludf.DUMMYFUNCTION("""COMPUTED_VALUE"""),2.0)</f>
        <v>2</v>
      </c>
      <c r="M572" s="42" t="str">
        <f>IFERROR(__xludf.DUMMYFUNCTION("""COMPUTED_VALUE"""),"good !")</f>
        <v>good !</v>
      </c>
    </row>
    <row r="573">
      <c r="A573" s="43">
        <f>IFERROR(__xludf.DUMMYFUNCTION("""COMPUTED_VALUE"""),44169.46087112269)</f>
        <v>44169.46087</v>
      </c>
      <c r="B573" s="42" t="str">
        <f>IFERROR(__xludf.DUMMYFUNCTION("""COMPUTED_VALUE"""),"Rudy Galih Putra Wijaya")</f>
        <v>Rudy Galih Putra Wijaya</v>
      </c>
      <c r="C573" s="42" t="str">
        <f>IFERROR(__xludf.DUMMYFUNCTION("""COMPUTED_VALUE"""),"Online")</f>
        <v>Online</v>
      </c>
      <c r="D573" s="42" t="str">
        <f>IFERROR(__xludf.DUMMYFUNCTION("""COMPUTED_VALUE"""),"Fullstack Web Developer")</f>
        <v>Fullstack Web Developer</v>
      </c>
      <c r="E573" s="42">
        <f>IFERROR(__xludf.DUMMYFUNCTION("""COMPUTED_VALUE"""),6.0)</f>
        <v>6</v>
      </c>
      <c r="F573" s="42">
        <f>IFERROR(__xludf.DUMMYFUNCTION("""COMPUTED_VALUE"""),1.0)</f>
        <v>1</v>
      </c>
      <c r="G573" s="42" t="str">
        <f>IFERROR(__xludf.DUMMYFUNCTION("""COMPUTED_VALUE"""),"ARKWH1")</f>
        <v>ARKWH1</v>
      </c>
      <c r="H573" s="42"/>
      <c r="I573" s="46" t="str">
        <f>IFERROR(__xludf.DUMMYFUNCTION("""COMPUTED_VALUE"""),"https://repl.it/@rudygalih/Quiz1")</f>
        <v>https://repl.it/@rudygalih/Quiz1</v>
      </c>
      <c r="J573" s="42" t="str">
        <f>IFERROR(__xludf.DUMMYFUNCTION("""COMPUTED_VALUE"""),"-")</f>
        <v>-</v>
      </c>
      <c r="K573" s="46" t="str">
        <f>IFERROR(__xludf.DUMMYFUNCTION("""COMPUTED_VALUE"""),"https://drive.google.com/open?id=1jCIEZRazyC1DyI_XaatblUOCKSzcKGbG")</f>
        <v>https://drive.google.com/open?id=1jCIEZRazyC1DyI_XaatblUOCKSzcKGbG</v>
      </c>
      <c r="L573" s="42">
        <f>IFERROR(__xludf.DUMMYFUNCTION("""COMPUTED_VALUE"""),2.0)</f>
        <v>2</v>
      </c>
      <c r="M573" s="42" t="str">
        <f>IFERROR(__xludf.DUMMYFUNCTION("""COMPUTED_VALUE"""),"good !")</f>
        <v>good !</v>
      </c>
    </row>
    <row r="574">
      <c r="A574" s="43">
        <f>IFERROR(__xludf.DUMMYFUNCTION("""COMPUTED_VALUE"""),44169.46171962963)</f>
        <v>44169.46172</v>
      </c>
      <c r="B574" s="42" t="str">
        <f>IFERROR(__xludf.DUMMYFUNCTION("""COMPUTED_VALUE"""),"Hasbi Alwi Kusmana")</f>
        <v>Hasbi Alwi Kusmana</v>
      </c>
      <c r="C574" s="42" t="str">
        <f>IFERROR(__xludf.DUMMYFUNCTION("""COMPUTED_VALUE"""),"Online")</f>
        <v>Online</v>
      </c>
      <c r="D574" s="42" t="str">
        <f>IFERROR(__xludf.DUMMYFUNCTION("""COMPUTED_VALUE"""),"Fullstack Web Developer")</f>
        <v>Fullstack Web Developer</v>
      </c>
      <c r="E574" s="42">
        <f>IFERROR(__xludf.DUMMYFUNCTION("""COMPUTED_VALUE"""),6.0)</f>
        <v>6</v>
      </c>
      <c r="F574" s="42">
        <f>IFERROR(__xludf.DUMMYFUNCTION("""COMPUTED_VALUE"""),1.0)</f>
        <v>1</v>
      </c>
      <c r="G574" s="42" t="str">
        <f>IFERROR(__xludf.DUMMYFUNCTION("""COMPUTED_VALUE"""),"ARKWH1")</f>
        <v>ARKWH1</v>
      </c>
      <c r="H574" s="42"/>
      <c r="I574" s="46" t="str">
        <f>IFERROR(__xludf.DUMMYFUNCTION("""COMPUTED_VALUE"""),"https://repl.it/join/lmcrypso-hasbiak")</f>
        <v>https://repl.it/join/lmcrypso-hasbiak</v>
      </c>
      <c r="J574" s="42"/>
      <c r="K574" s="46" t="str">
        <f>IFERROR(__xludf.DUMMYFUNCTION("""COMPUTED_VALUE"""),"https://drive.google.com/open?id=17_YebLmgHYpvnIpPRK69wVyaU12AaqFG")</f>
        <v>https://drive.google.com/open?id=17_YebLmgHYpvnIpPRK69wVyaU12AaqFG</v>
      </c>
      <c r="L574" s="42">
        <f>IFERROR(__xludf.DUMMYFUNCTION("""COMPUTED_VALUE"""),2.0)</f>
        <v>2</v>
      </c>
      <c r="M574" s="42" t="str">
        <f>IFERROR(__xludf.DUMMYFUNCTION("""COMPUTED_VALUE"""),"good !")</f>
        <v>good !</v>
      </c>
    </row>
    <row r="575">
      <c r="A575" s="43">
        <f>IFERROR(__xludf.DUMMYFUNCTION("""COMPUTED_VALUE"""),44169.46373087963)</f>
        <v>44169.46373</v>
      </c>
      <c r="B575" s="42" t="str">
        <f>IFERROR(__xludf.DUMMYFUNCTION("""COMPUTED_VALUE"""),"Firman Azhar Riyadi")</f>
        <v>Firman Azhar Riyadi</v>
      </c>
      <c r="C575" s="42" t="str">
        <f>IFERROR(__xludf.DUMMYFUNCTION("""COMPUTED_VALUE"""),"Online")</f>
        <v>Online</v>
      </c>
      <c r="D575" s="42" t="str">
        <f>IFERROR(__xludf.DUMMYFUNCTION("""COMPUTED_VALUE"""),"Fullstack Web Developer")</f>
        <v>Fullstack Web Developer</v>
      </c>
      <c r="E575" s="42">
        <f>IFERROR(__xludf.DUMMYFUNCTION("""COMPUTED_VALUE"""),6.0)</f>
        <v>6</v>
      </c>
      <c r="F575" s="42">
        <f>IFERROR(__xludf.DUMMYFUNCTION("""COMPUTED_VALUE"""),1.0)</f>
        <v>1</v>
      </c>
      <c r="G575" s="42" t="str">
        <f>IFERROR(__xludf.DUMMYFUNCTION("""COMPUTED_VALUE"""),"ARKWH1")</f>
        <v>ARKWH1</v>
      </c>
      <c r="H575" s="42"/>
      <c r="I575" s="46" t="str">
        <f>IFERROR(__xludf.DUMMYFUNCTION("""COMPUTED_VALUE"""),"https://repl.it/join/glnpzwtx-firmanazhar")</f>
        <v>https://repl.it/join/glnpzwtx-firmanazhar</v>
      </c>
      <c r="J575" s="46" t="str">
        <f>IFERROR(__xludf.DUMMYFUNCTION("""COMPUTED_VALUE"""),"https://repl.it/join/glnpzwtx-firmanazhar")</f>
        <v>https://repl.it/join/glnpzwtx-firmanazhar</v>
      </c>
      <c r="K575" s="46" t="str">
        <f>IFERROR(__xludf.DUMMYFUNCTION("""COMPUTED_VALUE"""),"https://drive.google.com/open?id=1Pl3JnrxBpI9O7XHAusrBMRegxyCqIZUb")</f>
        <v>https://drive.google.com/open?id=1Pl3JnrxBpI9O7XHAusrBMRegxyCqIZUb</v>
      </c>
      <c r="L575" s="42">
        <f>IFERROR(__xludf.DUMMYFUNCTION("""COMPUTED_VALUE"""),1.8)</f>
        <v>1.8</v>
      </c>
      <c r="M575" s="42" t="str">
        <f>IFERROR(__xludf.DUMMYFUNCTION("""COMPUTED_VALUE"""),"codenya sudah oke untuk flowchart kurang proses max potongan discount")</f>
        <v>codenya sudah oke untuk flowchart kurang proses max potongan discount</v>
      </c>
    </row>
    <row r="576">
      <c r="A576" s="43">
        <f>IFERROR(__xludf.DUMMYFUNCTION("""COMPUTED_VALUE"""),44169.465176516205)</f>
        <v>44169.46518</v>
      </c>
      <c r="B576" s="42" t="str">
        <f>IFERROR(__xludf.DUMMYFUNCTION("""COMPUTED_VALUE"""),"Milla Aprillya Indriyani")</f>
        <v>Milla Aprillya Indriyani</v>
      </c>
      <c r="C576" s="42" t="str">
        <f>IFERROR(__xludf.DUMMYFUNCTION("""COMPUTED_VALUE"""),"Online")</f>
        <v>Online</v>
      </c>
      <c r="D576" s="42" t="str">
        <f>IFERROR(__xludf.DUMMYFUNCTION("""COMPUTED_VALUE"""),"Fullstack Web Developer")</f>
        <v>Fullstack Web Developer</v>
      </c>
      <c r="E576" s="42">
        <f>IFERROR(__xludf.DUMMYFUNCTION("""COMPUTED_VALUE"""),6.0)</f>
        <v>6</v>
      </c>
      <c r="F576" s="42">
        <f>IFERROR(__xludf.DUMMYFUNCTION("""COMPUTED_VALUE"""),3.0)</f>
        <v>3</v>
      </c>
      <c r="G576" s="42" t="str">
        <f>IFERROR(__xludf.DUMMYFUNCTION("""COMPUTED_VALUE"""),"ARKWH1")</f>
        <v>ARKWH1</v>
      </c>
      <c r="H576" s="42"/>
      <c r="I576" s="46" t="str">
        <f>IFERROR(__xludf.DUMMYFUNCTION("""COMPUTED_VALUE"""),"https://repl.it/@millaaprillya/Quiz#index.js")</f>
        <v>https://repl.it/@millaaprillya/Quiz#index.js</v>
      </c>
      <c r="J576" s="46" t="str">
        <f>IFERROR(__xludf.DUMMYFUNCTION("""COMPUTED_VALUE"""),"https://repl.it/@millaaprillya/Quiz#index.js")</f>
        <v>https://repl.it/@millaaprillya/Quiz#index.js</v>
      </c>
      <c r="K576" s="46" t="str">
        <f>IFERROR(__xludf.DUMMYFUNCTION("""COMPUTED_VALUE"""),"https://drive.google.com/open?id=1DCq2iKItmC0kLr1dkRle_v-qu_bVjaRN")</f>
        <v>https://drive.google.com/open?id=1DCq2iKItmC0kLr1dkRle_v-qu_bVjaRN</v>
      </c>
      <c r="L576" s="42"/>
      <c r="M576" s="42"/>
    </row>
    <row r="577">
      <c r="A577" s="43">
        <f>IFERROR(__xludf.DUMMYFUNCTION("""COMPUTED_VALUE"""),44169.46603332176)</f>
        <v>44169.46603</v>
      </c>
      <c r="B577" s="42" t="str">
        <f>IFERROR(__xludf.DUMMYFUNCTION("""COMPUTED_VALUE"""),"Milla Aprillya Indriani")</f>
        <v>Milla Aprillya Indriani</v>
      </c>
      <c r="C577" s="42" t="str">
        <f>IFERROR(__xludf.DUMMYFUNCTION("""COMPUTED_VALUE"""),"Online")</f>
        <v>Online</v>
      </c>
      <c r="D577" s="42" t="str">
        <f>IFERROR(__xludf.DUMMYFUNCTION("""COMPUTED_VALUE"""),"Fullstack Web Developer")</f>
        <v>Fullstack Web Developer</v>
      </c>
      <c r="E577" s="42">
        <f>IFERROR(__xludf.DUMMYFUNCTION("""COMPUTED_VALUE"""),6.0)</f>
        <v>6</v>
      </c>
      <c r="F577" s="42">
        <f>IFERROR(__xludf.DUMMYFUNCTION("""COMPUTED_VALUE"""),1.0)</f>
        <v>1</v>
      </c>
      <c r="G577" s="42" t="str">
        <f>IFERROR(__xludf.DUMMYFUNCTION("""COMPUTED_VALUE"""),"ARKWH1")</f>
        <v>ARKWH1</v>
      </c>
      <c r="H577" s="42"/>
      <c r="I577" s="46" t="str">
        <f>IFERROR(__xludf.DUMMYFUNCTION("""COMPUTED_VALUE"""),"https://repl.it/@millaaprillya/Quiz#index.js")</f>
        <v>https://repl.it/@millaaprillya/Quiz#index.js</v>
      </c>
      <c r="J577" s="46" t="str">
        <f>IFERROR(__xludf.DUMMYFUNCTION("""COMPUTED_VALUE"""),"https://repl.it/@millaaprillya/Quiz#index.js")</f>
        <v>https://repl.it/@millaaprillya/Quiz#index.js</v>
      </c>
      <c r="K577" s="46" t="str">
        <f>IFERROR(__xludf.DUMMYFUNCTION("""COMPUTED_VALUE"""),"https://drive.google.com/open?id=1hm3uJqdtmHgU9vI-sdv4zix-t32F1aZ7")</f>
        <v>https://drive.google.com/open?id=1hm3uJqdtmHgU9vI-sdv4zix-t32F1aZ7</v>
      </c>
      <c r="L577" s="42">
        <f>IFERROR(__xludf.DUMMYFUNCTION("""COMPUTED_VALUE"""),1.5)</f>
        <v>1.5</v>
      </c>
      <c r="M577" s="42" t="str">
        <f>IFERROR(__xludf.DUMMYFUNCTION("""COMPUTED_VALUE"""),"proses max potongan discount blm diterapkan")</f>
        <v>proses max potongan discount blm diterapkan</v>
      </c>
    </row>
    <row r="578">
      <c r="A578" s="43">
        <f>IFERROR(__xludf.DUMMYFUNCTION("""COMPUTED_VALUE"""),44169.46662247685)</f>
        <v>44169.46662</v>
      </c>
      <c r="B578" s="42" t="str">
        <f>IFERROR(__xludf.DUMMYFUNCTION("""COMPUTED_VALUE"""),"Chandra Oktaviani")</f>
        <v>Chandra Oktaviani</v>
      </c>
      <c r="C578" s="42" t="str">
        <f>IFERROR(__xludf.DUMMYFUNCTION("""COMPUTED_VALUE"""),"Online")</f>
        <v>Online</v>
      </c>
      <c r="D578" s="42" t="str">
        <f>IFERROR(__xludf.DUMMYFUNCTION("""COMPUTED_VALUE"""),"Fullstack Web Developer")</f>
        <v>Fullstack Web Developer</v>
      </c>
      <c r="E578" s="42">
        <f>IFERROR(__xludf.DUMMYFUNCTION("""COMPUTED_VALUE"""),6.0)</f>
        <v>6</v>
      </c>
      <c r="F578" s="42">
        <f>IFERROR(__xludf.DUMMYFUNCTION("""COMPUTED_VALUE"""),1.0)</f>
        <v>1</v>
      </c>
      <c r="G578" s="42" t="str">
        <f>IFERROR(__xludf.DUMMYFUNCTION("""COMPUTED_VALUE"""),"ARKWH1")</f>
        <v>ARKWH1</v>
      </c>
      <c r="H578" s="42"/>
      <c r="I578" s="46" t="str">
        <f>IFERROR(__xludf.DUMMYFUNCTION("""COMPUTED_VALUE"""),"https://repl.it/@chandOktaviani/Jawaban")</f>
        <v>https://repl.it/@chandOktaviani/Jawaban</v>
      </c>
      <c r="J578" s="42"/>
      <c r="K578" s="46" t="str">
        <f>IFERROR(__xludf.DUMMYFUNCTION("""COMPUTED_VALUE"""),"https://drive.google.com/open?id=1O3sCa-u30yb3brbTFp1nAqnHeHwwqvA2")</f>
        <v>https://drive.google.com/open?id=1O3sCa-u30yb3brbTFp1nAqnHeHwwqvA2</v>
      </c>
      <c r="L578" s="42">
        <f>IFERROR(__xludf.DUMMYFUNCTION("""COMPUTED_VALUE"""),2.0)</f>
        <v>2</v>
      </c>
      <c r="M578" s="42" t="str">
        <f>IFERROR(__xludf.DUMMYFUNCTION("""COMPUTED_VALUE"""),"good !")</f>
        <v>good !</v>
      </c>
    </row>
    <row r="579">
      <c r="A579" s="43">
        <f>IFERROR(__xludf.DUMMYFUNCTION("""COMPUTED_VALUE"""),44176.67247597223)</f>
        <v>44176.67248</v>
      </c>
      <c r="B579" s="42" t="str">
        <f>IFERROR(__xludf.DUMMYFUNCTION("""COMPUTED_VALUE"""),"Yoan Maria Vianny")</f>
        <v>Yoan Maria Vianny</v>
      </c>
      <c r="C579" s="42" t="str">
        <f>IFERROR(__xludf.DUMMYFUNCTION("""COMPUTED_VALUE"""),"Online")</f>
        <v>Online</v>
      </c>
      <c r="D579" s="42" t="str">
        <f>IFERROR(__xludf.DUMMYFUNCTION("""COMPUTED_VALUE"""),"DevOps Engineer")</f>
        <v>DevOps Engineer</v>
      </c>
      <c r="E579" s="42">
        <f>IFERROR(__xludf.DUMMYFUNCTION("""COMPUTED_VALUE"""),2.0)</f>
        <v>2</v>
      </c>
      <c r="F579" s="42">
        <f>IFERROR(__xludf.DUMMYFUNCTION("""COMPUTED_VALUE"""),1.0)</f>
        <v>1</v>
      </c>
      <c r="G579" s="42" t="str">
        <f>IFERROR(__xludf.DUMMYFUNCTION("""COMPUTED_VALUE"""),"ARKWH1")</f>
        <v>ARKWH1</v>
      </c>
      <c r="H579" s="42"/>
      <c r="I579" s="46" t="str">
        <f>IFERROR(__xludf.DUMMYFUNCTION("""COMPUTED_VALUE"""),"https://repl.it/join/aoyvxsbj-ymariav")</f>
        <v>https://repl.it/join/aoyvxsbj-ymariav</v>
      </c>
      <c r="J579" s="42"/>
      <c r="K579" s="42"/>
      <c r="L579" s="42"/>
      <c r="M579" s="42"/>
    </row>
    <row r="580">
      <c r="A580" s="43">
        <f>IFERROR(__xludf.DUMMYFUNCTION("""COMPUTED_VALUE"""),44176.67278641203)</f>
        <v>44176.67279</v>
      </c>
      <c r="B580" s="42" t="str">
        <f>IFERROR(__xludf.DUMMYFUNCTION("""COMPUTED_VALUE"""),"Muhammad Tommy Prasetyo")</f>
        <v>Muhammad Tommy Prasetyo</v>
      </c>
      <c r="C580" s="42" t="str">
        <f>IFERROR(__xludf.DUMMYFUNCTION("""COMPUTED_VALUE"""),"Online")</f>
        <v>Online</v>
      </c>
      <c r="D580" s="42" t="str">
        <f>IFERROR(__xludf.DUMMYFUNCTION("""COMPUTED_VALUE"""),"DevOps Engineer")</f>
        <v>DevOps Engineer</v>
      </c>
      <c r="E580" s="42">
        <f>IFERROR(__xludf.DUMMYFUNCTION("""COMPUTED_VALUE"""),2.0)</f>
        <v>2</v>
      </c>
      <c r="F580" s="42">
        <f>IFERROR(__xludf.DUMMYFUNCTION("""COMPUTED_VALUE"""),1.0)</f>
        <v>1</v>
      </c>
      <c r="G580" s="42" t="str">
        <f>IFERROR(__xludf.DUMMYFUNCTION("""COMPUTED_VALUE"""),"ARKWH1")</f>
        <v>ARKWH1</v>
      </c>
      <c r="H580" s="42"/>
      <c r="I580" s="46" t="str">
        <f>IFERROR(__xludf.DUMMYFUNCTION("""COMPUTED_VALUE"""),"https://playcode.io/714073")</f>
        <v>https://playcode.io/714073</v>
      </c>
      <c r="J580" s="42"/>
      <c r="K580" s="42"/>
      <c r="L580" s="42"/>
      <c r="M580" s="42"/>
    </row>
    <row r="581">
      <c r="A581" s="43">
        <f>IFERROR(__xludf.DUMMYFUNCTION("""COMPUTED_VALUE"""),44176.67284829861)</f>
        <v>44176.67285</v>
      </c>
      <c r="B581" s="42" t="str">
        <f>IFERROR(__xludf.DUMMYFUNCTION("""COMPUTED_VALUE"""),"Muhammad Dzulfikar Indzar")</f>
        <v>Muhammad Dzulfikar Indzar</v>
      </c>
      <c r="C581" s="42" t="str">
        <f>IFERROR(__xludf.DUMMYFUNCTION("""COMPUTED_VALUE"""),"Online")</f>
        <v>Online</v>
      </c>
      <c r="D581" s="42" t="str">
        <f>IFERROR(__xludf.DUMMYFUNCTION("""COMPUTED_VALUE"""),"DevOps Engineer")</f>
        <v>DevOps Engineer</v>
      </c>
      <c r="E581" s="42">
        <f>IFERROR(__xludf.DUMMYFUNCTION("""COMPUTED_VALUE"""),2.0)</f>
        <v>2</v>
      </c>
      <c r="F581" s="42">
        <f>IFERROR(__xludf.DUMMYFUNCTION("""COMPUTED_VALUE"""),1.0)</f>
        <v>1</v>
      </c>
      <c r="G581" s="42" t="str">
        <f>IFERROR(__xludf.DUMMYFUNCTION("""COMPUTED_VALUE"""),"ARKWH1")</f>
        <v>ARKWH1</v>
      </c>
      <c r="H581" s="42"/>
      <c r="I581" s="46" t="str">
        <f>IFERROR(__xludf.DUMMYFUNCTION("""COMPUTED_VALUE"""),"https://playcode.io/714071")</f>
        <v>https://playcode.io/714071</v>
      </c>
      <c r="J581" s="42"/>
      <c r="K581" s="42"/>
      <c r="L581" s="42"/>
      <c r="M581" s="42"/>
    </row>
    <row r="582">
      <c r="A582" s="43">
        <f>IFERROR(__xludf.DUMMYFUNCTION("""COMPUTED_VALUE"""),44176.672862719905)</f>
        <v>44176.67286</v>
      </c>
      <c r="B582" s="42" t="str">
        <f>IFERROR(__xludf.DUMMYFUNCTION("""COMPUTED_VALUE"""),"M Rizki Permana")</f>
        <v>M Rizki Permana</v>
      </c>
      <c r="C582" s="42" t="str">
        <f>IFERROR(__xludf.DUMMYFUNCTION("""COMPUTED_VALUE"""),"Online")</f>
        <v>Online</v>
      </c>
      <c r="D582" s="42" t="str">
        <f>IFERROR(__xludf.DUMMYFUNCTION("""COMPUTED_VALUE"""),"DevOps Engineer")</f>
        <v>DevOps Engineer</v>
      </c>
      <c r="E582" s="42">
        <f>IFERROR(__xludf.DUMMYFUNCTION("""COMPUTED_VALUE"""),2.0)</f>
        <v>2</v>
      </c>
      <c r="F582" s="42">
        <f>IFERROR(__xludf.DUMMYFUNCTION("""COMPUTED_VALUE"""),1.0)</f>
        <v>1</v>
      </c>
      <c r="G582" s="42" t="str">
        <f>IFERROR(__xludf.DUMMYFUNCTION("""COMPUTED_VALUE"""),"ARKWH1")</f>
        <v>ARKWH1</v>
      </c>
      <c r="H582" s="42"/>
      <c r="I582" s="46" t="str">
        <f>IFERROR(__xludf.DUMMYFUNCTION("""COMPUTED_VALUE"""),"https://playcode.io/714072")</f>
        <v>https://playcode.io/714072</v>
      </c>
      <c r="J582" s="42"/>
      <c r="K582" s="42"/>
      <c r="L582" s="42"/>
      <c r="M582" s="42"/>
    </row>
    <row r="583">
      <c r="A583" s="43">
        <f>IFERROR(__xludf.DUMMYFUNCTION("""COMPUTED_VALUE"""),44176.673336481486)</f>
        <v>44176.67334</v>
      </c>
      <c r="B583" s="42" t="str">
        <f>IFERROR(__xludf.DUMMYFUNCTION("""COMPUTED_VALUE"""),"M. Inyilis Sa'da")</f>
        <v>M. Inyilis Sa'da</v>
      </c>
      <c r="C583" s="42" t="str">
        <f>IFERROR(__xludf.DUMMYFUNCTION("""COMPUTED_VALUE"""),"Online")</f>
        <v>Online</v>
      </c>
      <c r="D583" s="42" t="str">
        <f>IFERROR(__xludf.DUMMYFUNCTION("""COMPUTED_VALUE"""),"DevOps Engineer")</f>
        <v>DevOps Engineer</v>
      </c>
      <c r="E583" s="42">
        <f>IFERROR(__xludf.DUMMYFUNCTION("""COMPUTED_VALUE"""),2.0)</f>
        <v>2</v>
      </c>
      <c r="F583" s="42">
        <f>IFERROR(__xludf.DUMMYFUNCTION("""COMPUTED_VALUE"""),1.0)</f>
        <v>1</v>
      </c>
      <c r="G583" s="42" t="str">
        <f>IFERROR(__xludf.DUMMYFUNCTION("""COMPUTED_VALUE"""),"ARKWH1")</f>
        <v>ARKWH1</v>
      </c>
      <c r="H583" s="42"/>
      <c r="I583" s="46" t="str">
        <f>IFERROR(__xludf.DUMMYFUNCTION("""COMPUTED_VALUE"""),"https://repl.it/join/kyyrkuej-inyil")</f>
        <v>https://repl.it/join/kyyrkuej-inyil</v>
      </c>
      <c r="J583" s="42"/>
      <c r="K583" s="42"/>
      <c r="L583" s="42"/>
      <c r="M583" s="42"/>
    </row>
    <row r="584">
      <c r="A584" s="43">
        <f>IFERROR(__xludf.DUMMYFUNCTION("""COMPUTED_VALUE"""),44176.674037731485)</f>
        <v>44176.67404</v>
      </c>
      <c r="B584" s="42" t="str">
        <f>IFERROR(__xludf.DUMMYFUNCTION("""COMPUTED_VALUE"""),"Muhammad Dzulfikar Indzar")</f>
        <v>Muhammad Dzulfikar Indzar</v>
      </c>
      <c r="C584" s="42" t="str">
        <f>IFERROR(__xludf.DUMMYFUNCTION("""COMPUTED_VALUE"""),"Online")</f>
        <v>Online</v>
      </c>
      <c r="D584" s="42" t="str">
        <f>IFERROR(__xludf.DUMMYFUNCTION("""COMPUTED_VALUE"""),"DevOps Engineer")</f>
        <v>DevOps Engineer</v>
      </c>
      <c r="E584" s="42">
        <f>IFERROR(__xludf.DUMMYFUNCTION("""COMPUTED_VALUE"""),2.0)</f>
        <v>2</v>
      </c>
      <c r="F584" s="42">
        <f>IFERROR(__xludf.DUMMYFUNCTION("""COMPUTED_VALUE"""),1.0)</f>
        <v>1</v>
      </c>
      <c r="G584" s="42" t="str">
        <f>IFERROR(__xludf.DUMMYFUNCTION("""COMPUTED_VALUE"""),"ARKWH1")</f>
        <v>ARKWH1</v>
      </c>
      <c r="H584" s="42"/>
      <c r="I584" s="46" t="str">
        <f>IFERROR(__xludf.DUMMYFUNCTION("""COMPUTED_VALUE"""),"https://playcode.io/714071")</f>
        <v>https://playcode.io/714071</v>
      </c>
      <c r="J584" s="42"/>
      <c r="K584" s="42"/>
      <c r="L584" s="42"/>
      <c r="M584" s="42"/>
    </row>
    <row r="585">
      <c r="A585" s="43">
        <f>IFERROR(__xludf.DUMMYFUNCTION("""COMPUTED_VALUE"""),44176.67545908564)</f>
        <v>44176.67546</v>
      </c>
      <c r="B585" s="42" t="str">
        <f>IFERROR(__xludf.DUMMYFUNCTION("""COMPUTED_VALUE"""),"Yohanes Manggala Abiwardani")</f>
        <v>Yohanes Manggala Abiwardani</v>
      </c>
      <c r="C585" s="42" t="str">
        <f>IFERROR(__xludf.DUMMYFUNCTION("""COMPUTED_VALUE"""),"Online")</f>
        <v>Online</v>
      </c>
      <c r="D585" s="42" t="str">
        <f>IFERROR(__xludf.DUMMYFUNCTION("""COMPUTED_VALUE"""),"DevOps Engineer")</f>
        <v>DevOps Engineer</v>
      </c>
      <c r="E585" s="42">
        <f>IFERROR(__xludf.DUMMYFUNCTION("""COMPUTED_VALUE"""),2.0)</f>
        <v>2</v>
      </c>
      <c r="F585" s="42">
        <f>IFERROR(__xludf.DUMMYFUNCTION("""COMPUTED_VALUE"""),1.0)</f>
        <v>1</v>
      </c>
      <c r="G585" s="42" t="str">
        <f>IFERROR(__xludf.DUMMYFUNCTION("""COMPUTED_VALUE"""),"ARKWH1")</f>
        <v>ARKWH1</v>
      </c>
      <c r="H585" s="42"/>
      <c r="I585" s="46" t="str">
        <f>IFERROR(__xludf.DUMMYFUNCTION("""COMPUTED_VALUE"""),"https://playcode.io/714078")</f>
        <v>https://playcode.io/714078</v>
      </c>
      <c r="J585" s="42"/>
      <c r="K585" s="42"/>
      <c r="L585" s="42"/>
      <c r="M585" s="42"/>
    </row>
    <row r="586">
      <c r="A586" s="43">
        <f>IFERROR(__xludf.DUMMYFUNCTION("""COMPUTED_VALUE"""),44194.45636150463)</f>
        <v>44194.45636</v>
      </c>
      <c r="B586" s="42" t="str">
        <f>IFERROR(__xludf.DUMMYFUNCTION("""COMPUTED_VALUE"""),"FENDI ANWAR RIFA'I")</f>
        <v>FENDI ANWAR RIFA'I</v>
      </c>
      <c r="C586" s="42" t="str">
        <f>IFERROR(__xludf.DUMMYFUNCTION("""COMPUTED_VALUE"""),"Online")</f>
        <v>Online</v>
      </c>
      <c r="D586" s="42" t="str">
        <f>IFERROR(__xludf.DUMMYFUNCTION("""COMPUTED_VALUE"""),"Fullstack Web Developer")</f>
        <v>Fullstack Web Developer</v>
      </c>
      <c r="E586" s="42">
        <f>IFERROR(__xludf.DUMMYFUNCTION("""COMPUTED_VALUE"""),5.0)</f>
        <v>5</v>
      </c>
      <c r="F586" s="42">
        <f>IFERROR(__xludf.DUMMYFUNCTION("""COMPUTED_VALUE"""),1.0)</f>
        <v>1</v>
      </c>
      <c r="G586" s="42" t="str">
        <f>IFERROR(__xludf.DUMMYFUNCTION("""COMPUTED_VALUE"""),"ARKWH1")</f>
        <v>ARKWH1</v>
      </c>
      <c r="H586" s="42"/>
      <c r="I586" s="46" t="str">
        <f>IFERROR(__xludf.DUMMYFUNCTION("""COMPUTED_VALUE"""),"https://repl.it/join/wsvzulio-diarykyosuke")</f>
        <v>https://repl.it/join/wsvzulio-diarykyosuke</v>
      </c>
      <c r="J586" s="46" t="str">
        <f>IFERROR(__xludf.DUMMYFUNCTION("""COMPUTED_VALUE"""),"https://drive.google.com/file/d/1EDrQkVf2qDph1lVJUgrGUFZ4KJ2B6uUS/view?usp=sharing")</f>
        <v>https://drive.google.com/file/d/1EDrQkVf2qDph1lVJUgrGUFZ4KJ2B6uUS/view?usp=sharing</v>
      </c>
      <c r="K586" s="42"/>
      <c r="L586" s="42"/>
      <c r="M586" s="42"/>
    </row>
    <row r="587">
      <c r="A587" s="43">
        <f>IFERROR(__xludf.DUMMYFUNCTION("""COMPUTED_VALUE"""),44194.46208116898)</f>
        <v>44194.46208</v>
      </c>
      <c r="B587" s="42" t="str">
        <f>IFERROR(__xludf.DUMMYFUNCTION("""COMPUTED_VALUE"""),"Muhamad Irhashdianto")</f>
        <v>Muhamad Irhashdianto</v>
      </c>
      <c r="C587" s="42" t="str">
        <f>IFERROR(__xludf.DUMMYFUNCTION("""COMPUTED_VALUE"""),"Online")</f>
        <v>Online</v>
      </c>
      <c r="D587" s="42" t="str">
        <f>IFERROR(__xludf.DUMMYFUNCTION("""COMPUTED_VALUE"""),"Fullstack Web Developer")</f>
        <v>Fullstack Web Developer</v>
      </c>
      <c r="E587" s="42">
        <f>IFERROR(__xludf.DUMMYFUNCTION("""COMPUTED_VALUE"""),5.0)</f>
        <v>5</v>
      </c>
      <c r="F587" s="42">
        <f>IFERROR(__xludf.DUMMYFUNCTION("""COMPUTED_VALUE"""),1.0)</f>
        <v>1</v>
      </c>
      <c r="G587" s="42" t="str">
        <f>IFERROR(__xludf.DUMMYFUNCTION("""COMPUTED_VALUE"""),"ARKWH1")</f>
        <v>ARKWH1</v>
      </c>
      <c r="H587" s="42"/>
      <c r="I587" s="46" t="str">
        <f>IFERROR(__xludf.DUMMYFUNCTION("""COMPUTED_VALUE"""),"https://jsbin.com/varibifago/edit?js,console")</f>
        <v>https://jsbin.com/varibifago/edit?js,console</v>
      </c>
      <c r="J587" s="46" t="str">
        <f>IFERROR(__xludf.DUMMYFUNCTION("""COMPUTED_VALUE"""),"https://drive.google.com/file/d/1_95WKmwNOU2O3bktj_XmHGqN89ZFdZWy/view?usp=sharing")</f>
        <v>https://drive.google.com/file/d/1_95WKmwNOU2O3bktj_XmHGqN89ZFdZWy/view?usp=sharing</v>
      </c>
      <c r="K587" s="42"/>
      <c r="L587" s="42"/>
      <c r="M587" s="42"/>
    </row>
    <row r="588">
      <c r="A588" s="43">
        <f>IFERROR(__xludf.DUMMYFUNCTION("""COMPUTED_VALUE"""),44194.463881655094)</f>
        <v>44194.46388</v>
      </c>
      <c r="B588" s="42" t="str">
        <f>IFERROR(__xludf.DUMMYFUNCTION("""COMPUTED_VALUE"""),"Raden Maulana Rifa'i Abdullah")</f>
        <v>Raden Maulana Rifa'i Abdullah</v>
      </c>
      <c r="C588" s="42" t="str">
        <f>IFERROR(__xludf.DUMMYFUNCTION("""COMPUTED_VALUE"""),"Online")</f>
        <v>Online</v>
      </c>
      <c r="D588" s="42" t="str">
        <f>IFERROR(__xludf.DUMMYFUNCTION("""COMPUTED_VALUE"""),"Fullstack Web Developer")</f>
        <v>Fullstack Web Developer</v>
      </c>
      <c r="E588" s="42">
        <f>IFERROR(__xludf.DUMMYFUNCTION("""COMPUTED_VALUE"""),5.0)</f>
        <v>5</v>
      </c>
      <c r="F588" s="42">
        <f>IFERROR(__xludf.DUMMYFUNCTION("""COMPUTED_VALUE"""),1.0)</f>
        <v>1</v>
      </c>
      <c r="G588" s="42" t="str">
        <f>IFERROR(__xludf.DUMMYFUNCTION("""COMPUTED_VALUE"""),"ARKWH1")</f>
        <v>ARKWH1</v>
      </c>
      <c r="H588" s="42"/>
      <c r="I588" s="46" t="str">
        <f>IFERROR(__xludf.DUMMYFUNCTION("""COMPUTED_VALUE"""),"https://repl.it/@maulanarifai114/Quiz1#index.js")</f>
        <v>https://repl.it/@maulanarifai114/Quiz1#index.js</v>
      </c>
      <c r="J588" s="46" t="str">
        <f>IFERROR(__xludf.DUMMYFUNCTION("""COMPUTED_VALUE"""),"https://drive.google.com/drive/folders/18_AV8-vdXYH1cqF-MnmUUwlrbshL4GJ9?usp=sharing")</f>
        <v>https://drive.google.com/drive/folders/18_AV8-vdXYH1cqF-MnmUUwlrbshL4GJ9?usp=sharing</v>
      </c>
      <c r="K588" s="42"/>
      <c r="L588" s="42"/>
      <c r="M588" s="42"/>
    </row>
    <row r="589">
      <c r="A589" s="43">
        <f>IFERROR(__xludf.DUMMYFUNCTION("""COMPUTED_VALUE"""),44194.46597238426)</f>
        <v>44194.46597</v>
      </c>
      <c r="B589" s="42" t="str">
        <f>IFERROR(__xludf.DUMMYFUNCTION("""COMPUTED_VALUE"""),"Gefy Aqiilah Aqshal")</f>
        <v>Gefy Aqiilah Aqshal</v>
      </c>
      <c r="C589" s="42" t="str">
        <f>IFERROR(__xludf.DUMMYFUNCTION("""COMPUTED_VALUE"""),"Online")</f>
        <v>Online</v>
      </c>
      <c r="D589" s="42" t="str">
        <f>IFERROR(__xludf.DUMMYFUNCTION("""COMPUTED_VALUE"""),"Fullstack Web Developer")</f>
        <v>Fullstack Web Developer</v>
      </c>
      <c r="E589" s="42">
        <f>IFERROR(__xludf.DUMMYFUNCTION("""COMPUTED_VALUE"""),5.0)</f>
        <v>5</v>
      </c>
      <c r="F589" s="42">
        <f>IFERROR(__xludf.DUMMYFUNCTION("""COMPUTED_VALUE"""),1.0)</f>
        <v>1</v>
      </c>
      <c r="G589" s="42" t="str">
        <f>IFERROR(__xludf.DUMMYFUNCTION("""COMPUTED_VALUE"""),"ARKWH1")</f>
        <v>ARKWH1</v>
      </c>
      <c r="H589" s="42"/>
      <c r="I589" s="46" t="str">
        <f>IFERROR(__xludf.DUMMYFUNCTION("""COMPUTED_VALUE"""),"https://repl.it/@GefyAqiilah/quiz-1-fwb-5-arkademy")</f>
        <v>https://repl.it/@GefyAqiilah/quiz-1-fwb-5-arkademy</v>
      </c>
      <c r="J589" s="46" t="str">
        <f>IFERROR(__xludf.DUMMYFUNCTION("""COMPUTED_VALUE"""),"https://drive.google.com/file/d/1queSyuqZhPh1ptbz2-RfwGU9e6_yntow/view?usp=sharing")</f>
        <v>https://drive.google.com/file/d/1queSyuqZhPh1ptbz2-RfwGU9e6_yntow/view?usp=sharing</v>
      </c>
      <c r="K589" s="46" t="str">
        <f>IFERROR(__xludf.DUMMYFUNCTION("""COMPUTED_VALUE"""),"https://drive.google.com/open?id=1XMK3J-F7c2xUkpg9Aod6TaoSgGyVwQT9")</f>
        <v>https://drive.google.com/open?id=1XMK3J-F7c2xUkpg9Aod6TaoSgGyVwQT9</v>
      </c>
      <c r="L589" s="42"/>
      <c r="M589" s="42"/>
    </row>
    <row r="590">
      <c r="A590" s="43">
        <f>IFERROR(__xludf.DUMMYFUNCTION("""COMPUTED_VALUE"""),44194.47149445602)</f>
        <v>44194.47149</v>
      </c>
      <c r="B590" s="42" t="str">
        <f>IFERROR(__xludf.DUMMYFUNCTION("""COMPUTED_VALUE"""),"Ahmad Syauqi")</f>
        <v>Ahmad Syauqi</v>
      </c>
      <c r="C590" s="42" t="str">
        <f>IFERROR(__xludf.DUMMYFUNCTION("""COMPUTED_VALUE"""),"Online")</f>
        <v>Online</v>
      </c>
      <c r="D590" s="42" t="str">
        <f>IFERROR(__xludf.DUMMYFUNCTION("""COMPUTED_VALUE"""),"Fullstack Web Developer")</f>
        <v>Fullstack Web Developer</v>
      </c>
      <c r="E590" s="42">
        <f>IFERROR(__xludf.DUMMYFUNCTION("""COMPUTED_VALUE"""),5.0)</f>
        <v>5</v>
      </c>
      <c r="F590" s="42">
        <f>IFERROR(__xludf.DUMMYFUNCTION("""COMPUTED_VALUE"""),1.0)</f>
        <v>1</v>
      </c>
      <c r="G590" s="42" t="str">
        <f>IFERROR(__xludf.DUMMYFUNCTION("""COMPUTED_VALUE"""),"ARKWH1")</f>
        <v>ARKWH1</v>
      </c>
      <c r="H590" s="42"/>
      <c r="I590" s="46" t="str">
        <f>IFERROR(__xludf.DUMMYFUNCTION("""COMPUTED_VALUE"""),"https://repl.it/@syauqeesy/arkwh1#index.js")</f>
        <v>https://repl.it/@syauqeesy/arkwh1#index.js</v>
      </c>
      <c r="J590" s="46" t="str">
        <f>IFERROR(__xludf.DUMMYFUNCTION("""COMPUTED_VALUE"""),"https://drive.google.com/file/d/1b52HyBQPXURrZO8Jhf3b-wkMtelv7QBD/view?usp=sharing")</f>
        <v>https://drive.google.com/file/d/1b52HyBQPXURrZO8Jhf3b-wkMtelv7QBD/view?usp=sharing</v>
      </c>
      <c r="K590" s="46" t="str">
        <f>IFERROR(__xludf.DUMMYFUNCTION("""COMPUTED_VALUE"""),"https://drive.google.com/open?id=1bbR4yQLBSNEZE0gmHEe0PSMv3CQrF9TL")</f>
        <v>https://drive.google.com/open?id=1bbR4yQLBSNEZE0gmHEe0PSMv3CQrF9TL</v>
      </c>
      <c r="L590" s="42"/>
      <c r="M590" s="42"/>
    </row>
    <row r="591">
      <c r="A591" s="43">
        <f>IFERROR(__xludf.DUMMYFUNCTION("""COMPUTED_VALUE"""),44194.47152464121)</f>
        <v>44194.47152</v>
      </c>
      <c r="B591" s="42" t="str">
        <f>IFERROR(__xludf.DUMMYFUNCTION("""COMPUTED_VALUE"""),"Trisa Safira Hasanah")</f>
        <v>Trisa Safira Hasanah</v>
      </c>
      <c r="C591" s="42" t="str">
        <f>IFERROR(__xludf.DUMMYFUNCTION("""COMPUTED_VALUE"""),"Online")</f>
        <v>Online</v>
      </c>
      <c r="D591" s="42" t="str">
        <f>IFERROR(__xludf.DUMMYFUNCTION("""COMPUTED_VALUE"""),"Fullstack Web Developer")</f>
        <v>Fullstack Web Developer</v>
      </c>
      <c r="E591" s="42">
        <f>IFERROR(__xludf.DUMMYFUNCTION("""COMPUTED_VALUE"""),5.0)</f>
        <v>5</v>
      </c>
      <c r="F591" s="42">
        <f>IFERROR(__xludf.DUMMYFUNCTION("""COMPUTED_VALUE"""),5.0)</f>
        <v>5</v>
      </c>
      <c r="G591" s="42" t="str">
        <f>IFERROR(__xludf.DUMMYFUNCTION("""COMPUTED_VALUE"""),"ARKWH1")</f>
        <v>ARKWH1</v>
      </c>
      <c r="H591" s="42"/>
      <c r="I591" s="46" t="str">
        <f>IFERROR(__xludf.DUMMYFUNCTION("""COMPUTED_VALUE"""),"https://playcode.io/719114/")</f>
        <v>https://playcode.io/719114/</v>
      </c>
      <c r="J591" s="42"/>
      <c r="K591" s="46" t="str">
        <f>IFERROR(__xludf.DUMMYFUNCTION("""COMPUTED_VALUE"""),"https://drive.google.com/open?id=1Wy6PdhHIWf3tQeesjCHpunKq0KehpBer")</f>
        <v>https://drive.google.com/open?id=1Wy6PdhHIWf3tQeesjCHpunKq0KehpBer</v>
      </c>
      <c r="L591" s="42"/>
      <c r="M591" s="42"/>
    </row>
    <row r="592">
      <c r="A592" s="43">
        <f>IFERROR(__xludf.DUMMYFUNCTION("""COMPUTED_VALUE"""),44194.4736016088)</f>
        <v>44194.4736</v>
      </c>
      <c r="B592" s="42" t="str">
        <f>IFERROR(__xludf.DUMMYFUNCTION("""COMPUTED_VALUE"""),"Shaula Jasminetya Saga")</f>
        <v>Shaula Jasminetya Saga</v>
      </c>
      <c r="C592" s="42" t="str">
        <f>IFERROR(__xludf.DUMMYFUNCTION("""COMPUTED_VALUE"""),"Online")</f>
        <v>Online</v>
      </c>
      <c r="D592" s="42" t="str">
        <f>IFERROR(__xludf.DUMMYFUNCTION("""COMPUTED_VALUE"""),"Fullstack Web Developer")</f>
        <v>Fullstack Web Developer</v>
      </c>
      <c r="E592" s="42">
        <f>IFERROR(__xludf.DUMMYFUNCTION("""COMPUTED_VALUE"""),5.0)</f>
        <v>5</v>
      </c>
      <c r="F592" s="42">
        <f>IFERROR(__xludf.DUMMYFUNCTION("""COMPUTED_VALUE"""),1.0)</f>
        <v>1</v>
      </c>
      <c r="G592" s="42" t="str">
        <f>IFERROR(__xludf.DUMMYFUNCTION("""COMPUTED_VALUE"""),"ARKWH1")</f>
        <v>ARKWH1</v>
      </c>
      <c r="H592" s="42"/>
      <c r="I592" s="46" t="str">
        <f>IFERROR(__xludf.DUMMYFUNCTION("""COMPUTED_VALUE"""),"https://repl.it/@sjasminetya/tugas1-1#index.js")</f>
        <v>https://repl.it/@sjasminetya/tugas1-1#index.js</v>
      </c>
      <c r="J592" s="46" t="str">
        <f>IFERROR(__xludf.DUMMYFUNCTION("""COMPUTED_VALUE"""),"https://drive.google.com/file/d/1RMF_eJaeqI88X0DOvFiO4VMxSPUQy2Bu/view?usp=sharing")</f>
        <v>https://drive.google.com/file/d/1RMF_eJaeqI88X0DOvFiO4VMxSPUQy2Bu/view?usp=sharing</v>
      </c>
      <c r="K592" s="46" t="str">
        <f>IFERROR(__xludf.DUMMYFUNCTION("""COMPUTED_VALUE"""),"https://drive.google.com/open?id=1U5PdqjCY9T9ZVjZjdgnbm7-ieWJMriTs")</f>
        <v>https://drive.google.com/open?id=1U5PdqjCY9T9ZVjZjdgnbm7-ieWJMriTs</v>
      </c>
      <c r="L592" s="42"/>
      <c r="M592" s="42"/>
    </row>
    <row r="593">
      <c r="A593" s="43">
        <f>IFERROR(__xludf.DUMMYFUNCTION("""COMPUTED_VALUE"""),44194.476416273144)</f>
        <v>44194.47642</v>
      </c>
      <c r="B593" s="42" t="str">
        <f>IFERROR(__xludf.DUMMYFUNCTION("""COMPUTED_VALUE"""),"Hanif Kumara")</f>
        <v>Hanif Kumara</v>
      </c>
      <c r="C593" s="42" t="str">
        <f>IFERROR(__xludf.DUMMYFUNCTION("""COMPUTED_VALUE"""),"Online")</f>
        <v>Online</v>
      </c>
      <c r="D593" s="42" t="str">
        <f>IFERROR(__xludf.DUMMYFUNCTION("""COMPUTED_VALUE"""),"Fullstack Web Developer")</f>
        <v>Fullstack Web Developer</v>
      </c>
      <c r="E593" s="42">
        <f>IFERROR(__xludf.DUMMYFUNCTION("""COMPUTED_VALUE"""),5.0)</f>
        <v>5</v>
      </c>
      <c r="F593" s="42">
        <f>IFERROR(__xludf.DUMMYFUNCTION("""COMPUTED_VALUE"""),1.0)</f>
        <v>1</v>
      </c>
      <c r="G593" s="42" t="str">
        <f>IFERROR(__xludf.DUMMYFUNCTION("""COMPUTED_VALUE"""),"ARKWH1")</f>
        <v>ARKWH1</v>
      </c>
      <c r="H593" s="42"/>
      <c r="I593" s="46" t="str">
        <f>IFERROR(__xludf.DUMMYFUNCTION("""COMPUTED_VALUE"""),"https://repl.it/@HanifKumara/Quiz-ARKWH1")</f>
        <v>https://repl.it/@HanifKumara/Quiz-ARKWH1</v>
      </c>
      <c r="J593" s="42"/>
      <c r="K593" s="46" t="str">
        <f>IFERROR(__xludf.DUMMYFUNCTION("""COMPUTED_VALUE"""),"https://drive.google.com/open?id=1MJPgTa8rrN5YaCip370rBSZo4fkIss4q")</f>
        <v>https://drive.google.com/open?id=1MJPgTa8rrN5YaCip370rBSZo4fkIss4q</v>
      </c>
      <c r="L593" s="42"/>
      <c r="M593" s="42"/>
    </row>
    <row r="594">
      <c r="A594" s="43">
        <f>IFERROR(__xludf.DUMMYFUNCTION("""COMPUTED_VALUE"""),44194.47792284722)</f>
        <v>44194.47792</v>
      </c>
      <c r="B594" s="42" t="str">
        <f>IFERROR(__xludf.DUMMYFUNCTION("""COMPUTED_VALUE"""),"Renaldi Pratama Tumanggor")</f>
        <v>Renaldi Pratama Tumanggor</v>
      </c>
      <c r="C594" s="42" t="str">
        <f>IFERROR(__xludf.DUMMYFUNCTION("""COMPUTED_VALUE"""),"Online")</f>
        <v>Online</v>
      </c>
      <c r="D594" s="42" t="str">
        <f>IFERROR(__xludf.DUMMYFUNCTION("""COMPUTED_VALUE"""),"Fullstack Web Developer")</f>
        <v>Fullstack Web Developer</v>
      </c>
      <c r="E594" s="42">
        <f>IFERROR(__xludf.DUMMYFUNCTION("""COMPUTED_VALUE"""),5.0)</f>
        <v>5</v>
      </c>
      <c r="F594" s="42">
        <f>IFERROR(__xludf.DUMMYFUNCTION("""COMPUTED_VALUE"""),1.0)</f>
        <v>1</v>
      </c>
      <c r="G594" s="42" t="str">
        <f>IFERROR(__xludf.DUMMYFUNCTION("""COMPUTED_VALUE"""),"ARKWH1")</f>
        <v>ARKWH1</v>
      </c>
      <c r="H594" s="42"/>
      <c r="I594" s="46" t="str">
        <f>IFERROR(__xludf.DUMMYFUNCTION("""COMPUTED_VALUE"""),"https://repl.it/@renaldipratama/Quiz1#index.js")</f>
        <v>https://repl.it/@renaldipratama/Quiz1#index.js</v>
      </c>
      <c r="J594" s="42"/>
      <c r="K594" s="46" t="str">
        <f>IFERROR(__xludf.DUMMYFUNCTION("""COMPUTED_VALUE"""),"https://drive.google.com/open?id=1v3SGy3DHdEKY4KjYZ37Kg2P4iUmSDQ2p")</f>
        <v>https://drive.google.com/open?id=1v3SGy3DHdEKY4KjYZ37Kg2P4iUmSDQ2p</v>
      </c>
      <c r="L594" s="42"/>
      <c r="M594" s="42"/>
    </row>
    <row r="595">
      <c r="A595" s="43">
        <f>IFERROR(__xludf.DUMMYFUNCTION("""COMPUTED_VALUE"""),44194.478103217596)</f>
        <v>44194.4781</v>
      </c>
      <c r="B595" s="42" t="str">
        <f>IFERROR(__xludf.DUMMYFUNCTION("""COMPUTED_VALUE"""),"Arbi Dwi Wijaya")</f>
        <v>Arbi Dwi Wijaya</v>
      </c>
      <c r="C595" s="42" t="str">
        <f>IFERROR(__xludf.DUMMYFUNCTION("""COMPUTED_VALUE"""),"Online")</f>
        <v>Online</v>
      </c>
      <c r="D595" s="42" t="str">
        <f>IFERROR(__xludf.DUMMYFUNCTION("""COMPUTED_VALUE"""),"Fullstack Web Developer")</f>
        <v>Fullstack Web Developer</v>
      </c>
      <c r="E595" s="42">
        <f>IFERROR(__xludf.DUMMYFUNCTION("""COMPUTED_VALUE"""),5.0)</f>
        <v>5</v>
      </c>
      <c r="F595" s="42">
        <f>IFERROR(__xludf.DUMMYFUNCTION("""COMPUTED_VALUE"""),1.0)</f>
        <v>1</v>
      </c>
      <c r="G595" s="42" t="str">
        <f>IFERROR(__xludf.DUMMYFUNCTION("""COMPUTED_VALUE"""),"ARKWH1")</f>
        <v>ARKWH1</v>
      </c>
      <c r="H595" s="42"/>
      <c r="I595" s="46" t="str">
        <f>IFERROR(__xludf.DUMMYFUNCTION("""COMPUTED_VALUE"""),"https://repl.it/@ArbiDwi/Quiz-1#index.js")</f>
        <v>https://repl.it/@ArbiDwi/Quiz-1#index.js</v>
      </c>
      <c r="J595" s="42"/>
      <c r="K595" s="46" t="str">
        <f>IFERROR(__xludf.DUMMYFUNCTION("""COMPUTED_VALUE"""),"https://drive.google.com/open?id=1fUa8SfER07FMs8vhzFszIOgJ_uJLcxGt")</f>
        <v>https://drive.google.com/open?id=1fUa8SfER07FMs8vhzFszIOgJ_uJLcxGt</v>
      </c>
      <c r="L595" s="42"/>
      <c r="M595" s="42"/>
    </row>
    <row r="596">
      <c r="A596" s="43">
        <f>IFERROR(__xludf.DUMMYFUNCTION("""COMPUTED_VALUE"""),44194.4785490162)</f>
        <v>44194.47855</v>
      </c>
      <c r="B596" s="42" t="str">
        <f>IFERROR(__xludf.DUMMYFUNCTION("""COMPUTED_VALUE"""),"Eggy Atma Riansyah")</f>
        <v>Eggy Atma Riansyah</v>
      </c>
      <c r="C596" s="42" t="str">
        <f>IFERROR(__xludf.DUMMYFUNCTION("""COMPUTED_VALUE"""),"Online")</f>
        <v>Online</v>
      </c>
      <c r="D596" s="42" t="str">
        <f>IFERROR(__xludf.DUMMYFUNCTION("""COMPUTED_VALUE"""),"Fullstack Web Developer")</f>
        <v>Fullstack Web Developer</v>
      </c>
      <c r="E596" s="42">
        <f>IFERROR(__xludf.DUMMYFUNCTION("""COMPUTED_VALUE"""),5.0)</f>
        <v>5</v>
      </c>
      <c r="F596" s="42">
        <f>IFERROR(__xludf.DUMMYFUNCTION("""COMPUTED_VALUE"""),1.0)</f>
        <v>1</v>
      </c>
      <c r="G596" s="42" t="str">
        <f>IFERROR(__xludf.DUMMYFUNCTION("""COMPUTED_VALUE"""),"ARKWH1")</f>
        <v>ARKWH1</v>
      </c>
      <c r="H596" s="42"/>
      <c r="I596" s="46" t="str">
        <f>IFERROR(__xludf.DUMMYFUNCTION("""COMPUTED_VALUE"""),"https://repl.it/join/azfifvei-eggy2908")</f>
        <v>https://repl.it/join/azfifvei-eggy2908</v>
      </c>
      <c r="J596" s="42"/>
      <c r="K596" s="42"/>
      <c r="L596" s="42"/>
      <c r="M596" s="42"/>
    </row>
    <row r="597">
      <c r="A597" s="43">
        <f>IFERROR(__xludf.DUMMYFUNCTION("""COMPUTED_VALUE"""),44194.48039054398)</f>
        <v>44194.48039</v>
      </c>
      <c r="B597" s="42" t="str">
        <f>IFERROR(__xludf.DUMMYFUNCTION("""COMPUTED_VALUE"""),"Defri Ansyah")</f>
        <v>Defri Ansyah</v>
      </c>
      <c r="C597" s="42" t="str">
        <f>IFERROR(__xludf.DUMMYFUNCTION("""COMPUTED_VALUE"""),"Online")</f>
        <v>Online</v>
      </c>
      <c r="D597" s="42" t="str">
        <f>IFERROR(__xludf.DUMMYFUNCTION("""COMPUTED_VALUE"""),"Fullstack Web Developer")</f>
        <v>Fullstack Web Developer</v>
      </c>
      <c r="E597" s="42">
        <f>IFERROR(__xludf.DUMMYFUNCTION("""COMPUTED_VALUE"""),5.0)</f>
        <v>5</v>
      </c>
      <c r="F597" s="42">
        <f>IFERROR(__xludf.DUMMYFUNCTION("""COMPUTED_VALUE"""),1.0)</f>
        <v>1</v>
      </c>
      <c r="G597" s="42" t="str">
        <f>IFERROR(__xludf.DUMMYFUNCTION("""COMPUTED_VALUE"""),"ARKWH1")</f>
        <v>ARKWH1</v>
      </c>
      <c r="H597" s="42"/>
      <c r="I597" s="46" t="str">
        <f>IFERROR(__xludf.DUMMYFUNCTION("""COMPUTED_VALUE"""),"https://repl.it/join/rdsbkeap-defriansyah")</f>
        <v>https://repl.it/join/rdsbkeap-defriansyah</v>
      </c>
      <c r="J597" s="42"/>
      <c r="K597" s="42"/>
      <c r="L597" s="42"/>
      <c r="M597" s="42"/>
    </row>
    <row r="598">
      <c r="A598" s="43">
        <f>IFERROR(__xludf.DUMMYFUNCTION("""COMPUTED_VALUE"""),44194.48314564815)</f>
        <v>44194.48315</v>
      </c>
      <c r="B598" s="42" t="str">
        <f>IFERROR(__xludf.DUMMYFUNCTION("""COMPUTED_VALUE"""),"Renaldi Pratama Tumanggor")</f>
        <v>Renaldi Pratama Tumanggor</v>
      </c>
      <c r="C598" s="42" t="str">
        <f>IFERROR(__xludf.DUMMYFUNCTION("""COMPUTED_VALUE"""),"Online")</f>
        <v>Online</v>
      </c>
      <c r="D598" s="42" t="str">
        <f>IFERROR(__xludf.DUMMYFUNCTION("""COMPUTED_VALUE"""),"Fullstack Web Developer")</f>
        <v>Fullstack Web Developer</v>
      </c>
      <c r="E598" s="42">
        <f>IFERROR(__xludf.DUMMYFUNCTION("""COMPUTED_VALUE"""),5.0)</f>
        <v>5</v>
      </c>
      <c r="F598" s="42">
        <f>IFERROR(__xludf.DUMMYFUNCTION("""COMPUTED_VALUE"""),1.0)</f>
        <v>1</v>
      </c>
      <c r="G598" s="42" t="str">
        <f>IFERROR(__xludf.DUMMYFUNCTION("""COMPUTED_VALUE"""),"ARKWH1")</f>
        <v>ARKWH1</v>
      </c>
      <c r="H598" s="42"/>
      <c r="I598" s="46" t="str">
        <f>IFERROR(__xludf.DUMMYFUNCTION("""COMPUTED_VALUE"""),"https://repl.it/@renaldipratama/Quiz1#index.js")</f>
        <v>https://repl.it/@renaldipratama/Quiz1#index.js</v>
      </c>
      <c r="J598" s="42"/>
      <c r="K598" s="46" t="str">
        <f>IFERROR(__xludf.DUMMYFUNCTION("""COMPUTED_VALUE"""),"https://drive.google.com/open?id=1UMfKYxStB-BxOQ5H2nX0Ghs_gxbyxAXc")</f>
        <v>https://drive.google.com/open?id=1UMfKYxStB-BxOQ5H2nX0Ghs_gxbyxAXc</v>
      </c>
      <c r="L598" s="42"/>
      <c r="M598" s="42"/>
    </row>
    <row r="599">
      <c r="A599" s="42"/>
      <c r="B599" s="42"/>
      <c r="C599" s="42"/>
      <c r="D599" s="42"/>
      <c r="E599" s="42"/>
      <c r="F599" s="42"/>
      <c r="G599" s="42"/>
      <c r="H599" s="42"/>
      <c r="I599" s="42"/>
      <c r="J599" s="42"/>
      <c r="K599" s="42"/>
      <c r="L599" s="42"/>
      <c r="M599" s="42"/>
    </row>
    <row r="600">
      <c r="A600" s="42"/>
      <c r="B600" s="42"/>
      <c r="C600" s="42"/>
      <c r="D600" s="42"/>
      <c r="E600" s="42"/>
      <c r="F600" s="42"/>
      <c r="G600" s="42"/>
      <c r="H600" s="42"/>
      <c r="I600" s="42"/>
      <c r="J600" s="42"/>
      <c r="K600" s="42"/>
      <c r="L600" s="42"/>
      <c r="M600" s="42"/>
    </row>
    <row r="601">
      <c r="A601" s="42"/>
      <c r="B601" s="42"/>
      <c r="C601" s="42"/>
      <c r="D601" s="42"/>
      <c r="E601" s="42"/>
      <c r="F601" s="42"/>
      <c r="G601" s="42"/>
      <c r="H601" s="42"/>
      <c r="I601" s="42"/>
      <c r="J601" s="42"/>
      <c r="K601" s="42"/>
      <c r="L601" s="42"/>
      <c r="M601" s="42"/>
    </row>
    <row r="602">
      <c r="A602" s="42"/>
      <c r="B602" s="42"/>
      <c r="C602" s="42"/>
      <c r="D602" s="42"/>
      <c r="E602" s="42"/>
      <c r="F602" s="42"/>
      <c r="G602" s="42"/>
      <c r="H602" s="42"/>
      <c r="I602" s="42"/>
      <c r="J602" s="42"/>
      <c r="K602" s="42"/>
      <c r="L602" s="42"/>
      <c r="M602" s="42"/>
    </row>
    <row r="603">
      <c r="A603" s="42"/>
      <c r="B603" s="42"/>
      <c r="C603" s="42"/>
      <c r="D603" s="42"/>
      <c r="E603" s="42"/>
      <c r="F603" s="42"/>
      <c r="G603" s="42"/>
      <c r="H603" s="42"/>
      <c r="I603" s="42"/>
      <c r="J603" s="42"/>
      <c r="K603" s="42"/>
      <c r="L603" s="42"/>
      <c r="M603" s="42"/>
    </row>
    <row r="604">
      <c r="A604" s="42"/>
      <c r="B604" s="42"/>
      <c r="C604" s="42"/>
      <c r="D604" s="42"/>
      <c r="E604" s="42"/>
      <c r="F604" s="42"/>
      <c r="G604" s="42"/>
      <c r="H604" s="42"/>
      <c r="I604" s="42"/>
      <c r="J604" s="42"/>
      <c r="K604" s="42"/>
      <c r="L604" s="42"/>
      <c r="M604" s="42"/>
    </row>
    <row r="605">
      <c r="A605" s="42"/>
      <c r="B605" s="42"/>
      <c r="C605" s="42"/>
      <c r="D605" s="42"/>
      <c r="E605" s="42"/>
      <c r="F605" s="42"/>
      <c r="G605" s="42"/>
      <c r="H605" s="42"/>
      <c r="I605" s="42"/>
      <c r="J605" s="42"/>
      <c r="K605" s="42"/>
      <c r="L605" s="42"/>
      <c r="M605" s="42"/>
    </row>
    <row r="606">
      <c r="A606" s="42"/>
      <c r="B606" s="42"/>
      <c r="C606" s="42"/>
      <c r="D606" s="42"/>
      <c r="E606" s="42"/>
      <c r="F606" s="42"/>
      <c r="G606" s="42"/>
      <c r="H606" s="42"/>
      <c r="I606" s="42"/>
      <c r="J606" s="42"/>
      <c r="K606" s="42"/>
      <c r="L606" s="42"/>
      <c r="M606" s="42"/>
    </row>
    <row r="607">
      <c r="A607" s="42"/>
      <c r="B607" s="42"/>
      <c r="C607" s="42"/>
      <c r="D607" s="42"/>
      <c r="E607" s="42"/>
      <c r="F607" s="42"/>
      <c r="G607" s="42"/>
      <c r="H607" s="42"/>
      <c r="I607" s="42"/>
      <c r="J607" s="42"/>
      <c r="K607" s="42"/>
      <c r="L607" s="42"/>
      <c r="M607" s="42"/>
    </row>
    <row r="608">
      <c r="A608" s="42"/>
      <c r="B608" s="42"/>
      <c r="C608" s="42"/>
      <c r="D608" s="42"/>
      <c r="E608" s="42"/>
      <c r="F608" s="42"/>
      <c r="G608" s="42"/>
      <c r="H608" s="42"/>
      <c r="I608" s="42"/>
      <c r="J608" s="42"/>
      <c r="K608" s="42"/>
      <c r="L608" s="42"/>
      <c r="M608" s="42"/>
    </row>
    <row r="609">
      <c r="A609" s="42"/>
      <c r="B609" s="42"/>
      <c r="C609" s="42"/>
      <c r="D609" s="42"/>
      <c r="E609" s="42"/>
      <c r="F609" s="42"/>
      <c r="G609" s="42"/>
      <c r="H609" s="42"/>
      <c r="I609" s="42"/>
      <c r="J609" s="42"/>
      <c r="K609" s="42"/>
      <c r="L609" s="42"/>
      <c r="M609" s="42"/>
    </row>
    <row r="610">
      <c r="A610" s="42"/>
      <c r="B610" s="42"/>
      <c r="C610" s="42"/>
      <c r="D610" s="42"/>
      <c r="E610" s="42"/>
      <c r="F610" s="42"/>
      <c r="G610" s="42"/>
      <c r="H610" s="42"/>
      <c r="I610" s="42"/>
      <c r="J610" s="42"/>
      <c r="K610" s="42"/>
      <c r="L610" s="42"/>
      <c r="M610" s="42"/>
    </row>
    <row r="611">
      <c r="A611" s="42"/>
      <c r="B611" s="42"/>
      <c r="C611" s="42"/>
      <c r="D611" s="42"/>
      <c r="E611" s="42"/>
      <c r="F611" s="42"/>
      <c r="G611" s="42"/>
      <c r="H611" s="42"/>
      <c r="I611" s="42"/>
      <c r="J611" s="42"/>
      <c r="K611" s="42"/>
      <c r="L611" s="42"/>
      <c r="M611" s="42"/>
    </row>
    <row r="612">
      <c r="A612" s="42"/>
      <c r="B612" s="42"/>
      <c r="C612" s="42"/>
      <c r="D612" s="42"/>
      <c r="E612" s="42"/>
      <c r="F612" s="42"/>
      <c r="G612" s="42"/>
      <c r="H612" s="42"/>
      <c r="I612" s="42"/>
      <c r="J612" s="42"/>
      <c r="K612" s="42"/>
      <c r="L612" s="42"/>
      <c r="M612" s="42"/>
    </row>
    <row r="613">
      <c r="A613" s="42"/>
      <c r="B613" s="42"/>
      <c r="C613" s="42"/>
      <c r="D613" s="42"/>
      <c r="E613" s="42"/>
      <c r="F613" s="42"/>
      <c r="G613" s="42"/>
      <c r="H613" s="42"/>
      <c r="I613" s="42"/>
      <c r="J613" s="42"/>
      <c r="K613" s="42"/>
      <c r="L613" s="42"/>
      <c r="M613" s="42"/>
    </row>
    <row r="614">
      <c r="A614" s="42"/>
      <c r="B614" s="42"/>
      <c r="C614" s="42"/>
      <c r="D614" s="42"/>
      <c r="E614" s="42"/>
      <c r="F614" s="42"/>
      <c r="G614" s="42"/>
      <c r="H614" s="42"/>
      <c r="I614" s="42"/>
      <c r="J614" s="42"/>
      <c r="K614" s="42"/>
      <c r="L614" s="42"/>
      <c r="M614" s="42"/>
    </row>
    <row r="615">
      <c r="A615" s="42"/>
      <c r="B615" s="42"/>
      <c r="C615" s="42"/>
      <c r="D615" s="42"/>
      <c r="E615" s="42"/>
      <c r="F615" s="42"/>
      <c r="G615" s="42"/>
      <c r="H615" s="42"/>
      <c r="I615" s="42"/>
      <c r="J615" s="42"/>
      <c r="K615" s="42"/>
      <c r="L615" s="42"/>
      <c r="M615" s="42"/>
    </row>
    <row r="616">
      <c r="A616" s="42"/>
      <c r="B616" s="42"/>
      <c r="C616" s="42"/>
      <c r="D616" s="42"/>
      <c r="E616" s="42"/>
      <c r="F616" s="42"/>
      <c r="G616" s="42"/>
      <c r="H616" s="42"/>
      <c r="I616" s="42"/>
      <c r="J616" s="42"/>
      <c r="K616" s="42"/>
      <c r="L616" s="42"/>
      <c r="M616" s="42"/>
    </row>
    <row r="617">
      <c r="A617" s="42"/>
      <c r="B617" s="42"/>
      <c r="C617" s="42"/>
      <c r="D617" s="42"/>
      <c r="E617" s="42"/>
      <c r="F617" s="42"/>
      <c r="G617" s="42"/>
      <c r="H617" s="42"/>
      <c r="I617" s="42"/>
      <c r="J617" s="42"/>
      <c r="K617" s="42"/>
      <c r="L617" s="42"/>
      <c r="M617" s="42"/>
    </row>
    <row r="618">
      <c r="A618" s="42"/>
      <c r="B618" s="42"/>
      <c r="C618" s="42"/>
      <c r="D618" s="42"/>
      <c r="E618" s="42"/>
      <c r="F618" s="42"/>
      <c r="G618" s="42"/>
      <c r="H618" s="42"/>
      <c r="I618" s="42"/>
      <c r="J618" s="42"/>
      <c r="K618" s="42"/>
      <c r="L618" s="42"/>
      <c r="M618" s="42"/>
    </row>
    <row r="619">
      <c r="A619" s="42"/>
      <c r="B619" s="42"/>
      <c r="C619" s="42"/>
      <c r="D619" s="42"/>
      <c r="E619" s="42"/>
      <c r="F619" s="42"/>
      <c r="G619" s="42"/>
      <c r="H619" s="42"/>
      <c r="I619" s="42"/>
      <c r="J619" s="42"/>
      <c r="K619" s="42"/>
      <c r="L619" s="42"/>
      <c r="M619" s="42"/>
    </row>
    <row r="620">
      <c r="A620" s="42"/>
      <c r="B620" s="42"/>
      <c r="C620" s="42"/>
      <c r="D620" s="42"/>
      <c r="E620" s="42"/>
      <c r="F620" s="42"/>
      <c r="G620" s="42"/>
      <c r="H620" s="42"/>
      <c r="I620" s="42"/>
      <c r="J620" s="42"/>
      <c r="K620" s="42"/>
      <c r="L620" s="42"/>
      <c r="M620" s="42"/>
    </row>
    <row r="621">
      <c r="A621" s="42"/>
      <c r="B621" s="42"/>
      <c r="C621" s="42"/>
      <c r="D621" s="42"/>
      <c r="E621" s="42"/>
      <c r="F621" s="42"/>
      <c r="G621" s="42"/>
      <c r="H621" s="42"/>
      <c r="I621" s="42"/>
      <c r="J621" s="42"/>
      <c r="K621" s="42"/>
      <c r="L621" s="42"/>
      <c r="M621" s="42"/>
    </row>
    <row r="622">
      <c r="A622" s="42"/>
      <c r="B622" s="42"/>
      <c r="C622" s="42"/>
      <c r="D622" s="42"/>
      <c r="E622" s="42"/>
      <c r="F622" s="42"/>
      <c r="G622" s="42"/>
      <c r="H622" s="42"/>
      <c r="I622" s="42"/>
      <c r="J622" s="42"/>
      <c r="K622" s="42"/>
      <c r="L622" s="42"/>
      <c r="M622" s="42"/>
    </row>
    <row r="623">
      <c r="A623" s="42"/>
      <c r="B623" s="42"/>
      <c r="C623" s="42"/>
      <c r="D623" s="42"/>
      <c r="E623" s="42"/>
      <c r="F623" s="42"/>
      <c r="G623" s="42"/>
      <c r="H623" s="42"/>
      <c r="I623" s="42"/>
      <c r="J623" s="42"/>
      <c r="K623" s="42"/>
      <c r="L623" s="42"/>
      <c r="M623" s="42"/>
    </row>
    <row r="624">
      <c r="A624" s="42"/>
      <c r="B624" s="42"/>
      <c r="C624" s="42"/>
      <c r="D624" s="42"/>
      <c r="E624" s="42"/>
      <c r="F624" s="42"/>
      <c r="G624" s="42"/>
      <c r="H624" s="42"/>
      <c r="I624" s="42"/>
      <c r="J624" s="42"/>
      <c r="K624" s="42"/>
      <c r="L624" s="42"/>
      <c r="M624" s="42"/>
    </row>
    <row r="625">
      <c r="A625" s="42"/>
      <c r="B625" s="42"/>
      <c r="C625" s="42"/>
      <c r="D625" s="42"/>
      <c r="E625" s="42"/>
      <c r="F625" s="42"/>
      <c r="G625" s="42"/>
      <c r="H625" s="42"/>
      <c r="I625" s="42"/>
      <c r="J625" s="42"/>
      <c r="K625" s="42"/>
      <c r="L625" s="42"/>
      <c r="M625" s="42"/>
    </row>
    <row r="626">
      <c r="A626" s="42"/>
      <c r="B626" s="42"/>
      <c r="C626" s="42"/>
      <c r="D626" s="42"/>
      <c r="E626" s="42"/>
      <c r="F626" s="42"/>
      <c r="G626" s="42"/>
      <c r="H626" s="42"/>
      <c r="I626" s="42"/>
      <c r="J626" s="42"/>
      <c r="K626" s="42"/>
      <c r="L626" s="42"/>
      <c r="M626" s="42"/>
    </row>
    <row r="627">
      <c r="A627" s="42"/>
      <c r="B627" s="42"/>
      <c r="C627" s="42"/>
      <c r="D627" s="42"/>
      <c r="E627" s="42"/>
      <c r="F627" s="42"/>
      <c r="G627" s="42"/>
      <c r="H627" s="42"/>
      <c r="I627" s="42"/>
      <c r="J627" s="42"/>
      <c r="K627" s="42"/>
      <c r="L627" s="42"/>
      <c r="M627" s="42"/>
    </row>
    <row r="628">
      <c r="A628" s="42"/>
      <c r="B628" s="42"/>
      <c r="C628" s="42"/>
      <c r="D628" s="42"/>
      <c r="E628" s="42"/>
      <c r="F628" s="42"/>
      <c r="G628" s="42"/>
      <c r="H628" s="42"/>
      <c r="I628" s="42"/>
      <c r="J628" s="42"/>
      <c r="K628" s="42"/>
      <c r="L628" s="42"/>
      <c r="M628" s="42"/>
    </row>
    <row r="629">
      <c r="A629" s="42"/>
      <c r="B629" s="42"/>
      <c r="C629" s="42"/>
      <c r="D629" s="42"/>
      <c r="E629" s="42"/>
      <c r="F629" s="42"/>
      <c r="G629" s="42"/>
      <c r="H629" s="42"/>
      <c r="I629" s="42"/>
      <c r="J629" s="42"/>
      <c r="K629" s="42"/>
      <c r="L629" s="42"/>
      <c r="M629" s="42"/>
    </row>
    <row r="630">
      <c r="A630" s="42"/>
      <c r="B630" s="42"/>
      <c r="C630" s="42"/>
      <c r="D630" s="42"/>
      <c r="E630" s="42"/>
      <c r="F630" s="42"/>
      <c r="G630" s="42"/>
      <c r="H630" s="42"/>
      <c r="I630" s="42"/>
      <c r="J630" s="42"/>
      <c r="K630" s="42"/>
      <c r="L630" s="42"/>
      <c r="M630" s="42"/>
    </row>
    <row r="631">
      <c r="A631" s="42"/>
      <c r="B631" s="42"/>
      <c r="C631" s="42"/>
      <c r="D631" s="42"/>
      <c r="E631" s="42"/>
      <c r="F631" s="42"/>
      <c r="G631" s="42"/>
      <c r="H631" s="42"/>
      <c r="I631" s="42"/>
      <c r="J631" s="42"/>
      <c r="K631" s="42"/>
      <c r="L631" s="42"/>
      <c r="M631" s="42"/>
    </row>
    <row r="632">
      <c r="A632" s="42"/>
      <c r="B632" s="42"/>
      <c r="C632" s="42"/>
      <c r="D632" s="42"/>
      <c r="E632" s="42"/>
      <c r="F632" s="42"/>
      <c r="G632" s="42"/>
      <c r="H632" s="42"/>
      <c r="I632" s="42"/>
      <c r="J632" s="42"/>
      <c r="K632" s="42"/>
      <c r="L632" s="42"/>
      <c r="M632" s="42"/>
    </row>
    <row r="633">
      <c r="A633" s="42"/>
      <c r="B633" s="42"/>
      <c r="C633" s="42"/>
      <c r="D633" s="42"/>
      <c r="E633" s="42"/>
      <c r="F633" s="42"/>
      <c r="G633" s="42"/>
      <c r="H633" s="42"/>
      <c r="I633" s="42"/>
      <c r="J633" s="42"/>
      <c r="K633" s="42"/>
      <c r="L633" s="42"/>
      <c r="M633" s="42"/>
    </row>
    <row r="634">
      <c r="A634" s="42"/>
      <c r="B634" s="42"/>
      <c r="C634" s="42"/>
      <c r="D634" s="42"/>
      <c r="E634" s="42"/>
      <c r="F634" s="42"/>
      <c r="G634" s="42"/>
      <c r="H634" s="42"/>
      <c r="I634" s="42"/>
      <c r="J634" s="42"/>
      <c r="K634" s="42"/>
      <c r="L634" s="42"/>
      <c r="M634" s="42"/>
    </row>
    <row r="635">
      <c r="A635" s="42"/>
      <c r="B635" s="42"/>
      <c r="C635" s="42"/>
      <c r="D635" s="42"/>
      <c r="E635" s="42"/>
      <c r="F635" s="42"/>
      <c r="G635" s="42"/>
      <c r="H635" s="42"/>
      <c r="I635" s="42"/>
      <c r="J635" s="42"/>
      <c r="K635" s="42"/>
      <c r="L635" s="42"/>
      <c r="M635" s="42"/>
    </row>
    <row r="636">
      <c r="A636" s="42"/>
      <c r="B636" s="42"/>
      <c r="C636" s="42"/>
      <c r="D636" s="42"/>
      <c r="E636" s="42"/>
      <c r="F636" s="42"/>
      <c r="G636" s="42"/>
      <c r="H636" s="42"/>
      <c r="I636" s="42"/>
      <c r="J636" s="42"/>
      <c r="K636" s="42"/>
      <c r="L636" s="42"/>
      <c r="M636" s="42"/>
    </row>
    <row r="637">
      <c r="A637" s="42"/>
      <c r="B637" s="42"/>
      <c r="C637" s="42"/>
      <c r="D637" s="42"/>
      <c r="E637" s="42"/>
      <c r="F637" s="42"/>
      <c r="G637" s="42"/>
      <c r="H637" s="42"/>
      <c r="I637" s="42"/>
      <c r="J637" s="42"/>
      <c r="K637" s="42"/>
      <c r="L637" s="42"/>
      <c r="M637" s="42"/>
    </row>
    <row r="638">
      <c r="A638" s="42"/>
      <c r="B638" s="42"/>
      <c r="C638" s="42"/>
      <c r="D638" s="42"/>
      <c r="E638" s="42"/>
      <c r="F638" s="42"/>
      <c r="G638" s="42"/>
      <c r="H638" s="42"/>
      <c r="I638" s="42"/>
      <c r="J638" s="42"/>
      <c r="K638" s="42"/>
      <c r="L638" s="42"/>
      <c r="M638" s="42"/>
    </row>
    <row r="639">
      <c r="A639" s="42"/>
      <c r="B639" s="42"/>
      <c r="C639" s="42"/>
      <c r="D639" s="42"/>
      <c r="E639" s="42"/>
      <c r="F639" s="42"/>
      <c r="G639" s="42"/>
      <c r="H639" s="42"/>
      <c r="I639" s="42"/>
      <c r="J639" s="42"/>
      <c r="K639" s="42"/>
      <c r="L639" s="42"/>
      <c r="M639" s="42"/>
    </row>
    <row r="640">
      <c r="A640" s="42"/>
      <c r="B640" s="42"/>
      <c r="C640" s="42"/>
      <c r="D640" s="42"/>
      <c r="E640" s="42"/>
      <c r="F640" s="42"/>
      <c r="G640" s="42"/>
      <c r="H640" s="42"/>
      <c r="I640" s="42"/>
      <c r="J640" s="42"/>
      <c r="K640" s="42"/>
      <c r="L640" s="42"/>
      <c r="M640" s="42"/>
    </row>
    <row r="641">
      <c r="A641" s="42"/>
      <c r="B641" s="42"/>
      <c r="C641" s="42"/>
      <c r="D641" s="42"/>
      <c r="E641" s="42"/>
      <c r="F641" s="42"/>
      <c r="G641" s="42"/>
      <c r="H641" s="42"/>
      <c r="I641" s="42"/>
      <c r="J641" s="42"/>
      <c r="K641" s="42"/>
      <c r="L641" s="42"/>
      <c r="M641" s="42"/>
    </row>
    <row r="642">
      <c r="A642" s="42"/>
      <c r="B642" s="42"/>
      <c r="C642" s="42"/>
      <c r="D642" s="42"/>
      <c r="E642" s="42"/>
      <c r="F642" s="42"/>
      <c r="G642" s="42"/>
      <c r="H642" s="42"/>
      <c r="I642" s="42"/>
      <c r="J642" s="42"/>
      <c r="K642" s="42"/>
      <c r="L642" s="42"/>
      <c r="M642" s="42"/>
    </row>
    <row r="643">
      <c r="A643" s="42"/>
      <c r="B643" s="42"/>
      <c r="C643" s="42"/>
      <c r="D643" s="42"/>
      <c r="E643" s="42"/>
      <c r="F643" s="42"/>
      <c r="G643" s="42"/>
      <c r="H643" s="42"/>
      <c r="I643" s="42"/>
      <c r="J643" s="42"/>
      <c r="K643" s="42"/>
      <c r="L643" s="42"/>
      <c r="M643" s="42"/>
    </row>
    <row r="644">
      <c r="A644" s="42"/>
      <c r="B644" s="42"/>
      <c r="C644" s="42"/>
      <c r="D644" s="42"/>
      <c r="E644" s="42"/>
      <c r="F644" s="42"/>
      <c r="G644" s="42"/>
      <c r="H644" s="42"/>
      <c r="I644" s="42"/>
      <c r="J644" s="42"/>
      <c r="K644" s="42"/>
      <c r="L644" s="42"/>
      <c r="M644" s="42"/>
    </row>
    <row r="645">
      <c r="A645" s="42"/>
      <c r="B645" s="42"/>
      <c r="C645" s="42"/>
      <c r="D645" s="42"/>
      <c r="E645" s="42"/>
      <c r="F645" s="42"/>
      <c r="G645" s="42"/>
      <c r="H645" s="42"/>
      <c r="I645" s="42"/>
      <c r="J645" s="42"/>
      <c r="K645" s="42"/>
      <c r="L645" s="42"/>
      <c r="M645" s="42"/>
    </row>
    <row r="646">
      <c r="A646" s="42"/>
      <c r="B646" s="42"/>
      <c r="C646" s="42"/>
      <c r="D646" s="42"/>
      <c r="E646" s="42"/>
      <c r="F646" s="42"/>
      <c r="G646" s="42"/>
      <c r="H646" s="42"/>
      <c r="I646" s="42"/>
      <c r="J646" s="42"/>
      <c r="K646" s="42"/>
      <c r="L646" s="42"/>
      <c r="M646" s="42"/>
    </row>
    <row r="647">
      <c r="A647" s="42"/>
      <c r="B647" s="42"/>
      <c r="C647" s="42"/>
      <c r="D647" s="42"/>
      <c r="E647" s="42"/>
      <c r="F647" s="42"/>
      <c r="G647" s="42"/>
      <c r="H647" s="42"/>
      <c r="I647" s="42"/>
      <c r="J647" s="42"/>
      <c r="K647" s="42"/>
      <c r="L647" s="42"/>
      <c r="M647" s="42"/>
    </row>
    <row r="648">
      <c r="A648" s="42"/>
      <c r="B648" s="42"/>
      <c r="C648" s="42"/>
      <c r="D648" s="42"/>
      <c r="E648" s="42"/>
      <c r="F648" s="42"/>
      <c r="G648" s="42"/>
      <c r="H648" s="42"/>
      <c r="I648" s="42"/>
      <c r="J648" s="42"/>
      <c r="K648" s="42"/>
      <c r="L648" s="42"/>
      <c r="M648" s="42"/>
    </row>
    <row r="649">
      <c r="A649" s="42"/>
      <c r="B649" s="42"/>
      <c r="C649" s="42"/>
      <c r="D649" s="42"/>
      <c r="E649" s="42"/>
      <c r="F649" s="42"/>
      <c r="G649" s="42"/>
      <c r="H649" s="42"/>
      <c r="I649" s="42"/>
      <c r="J649" s="42"/>
      <c r="K649" s="42"/>
      <c r="L649" s="42"/>
      <c r="M649" s="42"/>
    </row>
    <row r="650">
      <c r="A650" s="42"/>
      <c r="B650" s="42"/>
      <c r="C650" s="42"/>
      <c r="D650" s="42"/>
      <c r="E650" s="42"/>
      <c r="F650" s="42"/>
      <c r="G650" s="42"/>
      <c r="H650" s="42"/>
      <c r="I650" s="42"/>
      <c r="J650" s="42"/>
      <c r="K650" s="42"/>
      <c r="L650" s="42"/>
      <c r="M650" s="42"/>
    </row>
    <row r="651">
      <c r="A651" s="42"/>
      <c r="B651" s="42"/>
      <c r="C651" s="42"/>
      <c r="D651" s="42"/>
      <c r="E651" s="42"/>
      <c r="F651" s="42"/>
      <c r="G651" s="42"/>
      <c r="H651" s="42"/>
      <c r="I651" s="42"/>
      <c r="J651" s="42"/>
      <c r="K651" s="42"/>
      <c r="L651" s="42"/>
      <c r="M651" s="42"/>
    </row>
    <row r="652">
      <c r="A652" s="42"/>
      <c r="B652" s="42"/>
      <c r="C652" s="42"/>
      <c r="D652" s="42"/>
      <c r="E652" s="42"/>
      <c r="F652" s="42"/>
      <c r="G652" s="42"/>
      <c r="H652" s="42"/>
      <c r="I652" s="42"/>
      <c r="J652" s="42"/>
      <c r="K652" s="42"/>
      <c r="L652" s="42"/>
      <c r="M652" s="42"/>
    </row>
    <row r="653">
      <c r="A653" s="42"/>
      <c r="B653" s="42"/>
      <c r="C653" s="42"/>
      <c r="D653" s="42"/>
      <c r="E653" s="42"/>
      <c r="F653" s="42"/>
      <c r="G653" s="42"/>
      <c r="H653" s="42"/>
      <c r="I653" s="42"/>
      <c r="J653" s="42"/>
      <c r="K653" s="42"/>
      <c r="L653" s="42"/>
      <c r="M653" s="42"/>
    </row>
    <row r="654">
      <c r="A654" s="42"/>
      <c r="B654" s="42"/>
      <c r="C654" s="42"/>
      <c r="D654" s="42"/>
      <c r="E654" s="42"/>
      <c r="F654" s="42"/>
      <c r="G654" s="42"/>
      <c r="H654" s="42"/>
      <c r="I654" s="42"/>
      <c r="J654" s="42"/>
      <c r="K654" s="42"/>
      <c r="L654" s="42"/>
      <c r="M654" s="42"/>
    </row>
    <row r="655">
      <c r="A655" s="42"/>
      <c r="B655" s="42"/>
      <c r="C655" s="42"/>
      <c r="D655" s="42"/>
      <c r="E655" s="42"/>
      <c r="F655" s="42"/>
      <c r="G655" s="42"/>
      <c r="H655" s="42"/>
      <c r="I655" s="42"/>
      <c r="J655" s="42"/>
      <c r="K655" s="42"/>
      <c r="L655" s="42"/>
      <c r="M655" s="42"/>
    </row>
    <row r="656">
      <c r="A656" s="42"/>
      <c r="B656" s="42"/>
      <c r="C656" s="42"/>
      <c r="D656" s="42"/>
      <c r="E656" s="42"/>
      <c r="F656" s="42"/>
      <c r="G656" s="42"/>
      <c r="H656" s="42"/>
      <c r="I656" s="42"/>
      <c r="J656" s="42"/>
      <c r="K656" s="42"/>
      <c r="L656" s="42"/>
      <c r="M656" s="42"/>
    </row>
    <row r="657">
      <c r="A657" s="42"/>
      <c r="B657" s="42"/>
      <c r="C657" s="42"/>
      <c r="D657" s="42"/>
      <c r="E657" s="42"/>
      <c r="F657" s="42"/>
      <c r="G657" s="42"/>
      <c r="H657" s="42"/>
      <c r="I657" s="42"/>
      <c r="J657" s="42"/>
      <c r="K657" s="42"/>
      <c r="L657" s="42"/>
      <c r="M657" s="42"/>
    </row>
    <row r="658">
      <c r="A658" s="42"/>
      <c r="B658" s="42"/>
      <c r="C658" s="42"/>
      <c r="D658" s="42"/>
      <c r="E658" s="42"/>
      <c r="F658" s="42"/>
      <c r="G658" s="42"/>
      <c r="H658" s="42"/>
      <c r="I658" s="42"/>
      <c r="J658" s="42"/>
      <c r="K658" s="42"/>
      <c r="L658" s="42"/>
      <c r="M658" s="42"/>
    </row>
    <row r="659">
      <c r="A659" s="42"/>
      <c r="B659" s="42"/>
      <c r="C659" s="42"/>
      <c r="D659" s="42"/>
      <c r="E659" s="42"/>
      <c r="F659" s="42"/>
      <c r="G659" s="42"/>
      <c r="H659" s="42"/>
      <c r="I659" s="42"/>
      <c r="J659" s="42"/>
      <c r="K659" s="42"/>
      <c r="L659" s="42"/>
      <c r="M659" s="42"/>
    </row>
    <row r="660">
      <c r="A660" s="42"/>
      <c r="B660" s="42"/>
      <c r="C660" s="42"/>
      <c r="D660" s="42"/>
      <c r="E660" s="42"/>
      <c r="F660" s="42"/>
      <c r="G660" s="42"/>
      <c r="H660" s="42"/>
      <c r="I660" s="42"/>
      <c r="J660" s="42"/>
      <c r="K660" s="42"/>
      <c r="L660" s="42"/>
      <c r="M660" s="42"/>
    </row>
    <row r="661">
      <c r="A661" s="42"/>
      <c r="B661" s="42"/>
      <c r="C661" s="42"/>
      <c r="D661" s="42"/>
      <c r="E661" s="42"/>
      <c r="F661" s="42"/>
      <c r="G661" s="42"/>
      <c r="H661" s="42"/>
      <c r="I661" s="42"/>
      <c r="J661" s="42"/>
      <c r="K661" s="42"/>
      <c r="L661" s="42"/>
      <c r="M661" s="42"/>
    </row>
    <row r="662">
      <c r="A662" s="42"/>
      <c r="B662" s="42"/>
      <c r="C662" s="42"/>
      <c r="D662" s="42"/>
      <c r="E662" s="42"/>
      <c r="F662" s="42"/>
      <c r="G662" s="42"/>
      <c r="H662" s="42"/>
      <c r="I662" s="42"/>
      <c r="J662" s="42"/>
      <c r="K662" s="42"/>
      <c r="L662" s="42"/>
      <c r="M662" s="42"/>
    </row>
    <row r="663">
      <c r="A663" s="42"/>
      <c r="B663" s="42"/>
      <c r="C663" s="42"/>
      <c r="D663" s="42"/>
      <c r="E663" s="42"/>
      <c r="F663" s="42"/>
      <c r="G663" s="42"/>
      <c r="H663" s="42"/>
      <c r="I663" s="42"/>
      <c r="J663" s="42"/>
      <c r="K663" s="42"/>
      <c r="L663" s="42"/>
      <c r="M663" s="42"/>
    </row>
    <row r="664">
      <c r="A664" s="42"/>
      <c r="B664" s="42"/>
      <c r="C664" s="42"/>
      <c r="D664" s="42"/>
      <c r="E664" s="42"/>
      <c r="F664" s="42"/>
      <c r="G664" s="42"/>
      <c r="H664" s="42"/>
      <c r="I664" s="42"/>
      <c r="J664" s="42"/>
      <c r="K664" s="42"/>
      <c r="L664" s="42"/>
      <c r="M664" s="42"/>
    </row>
    <row r="665">
      <c r="A665" s="42"/>
      <c r="B665" s="42"/>
      <c r="C665" s="42"/>
      <c r="D665" s="42"/>
      <c r="E665" s="42"/>
      <c r="F665" s="42"/>
      <c r="G665" s="42"/>
      <c r="H665" s="42"/>
      <c r="I665" s="42"/>
      <c r="J665" s="42"/>
      <c r="K665" s="42"/>
      <c r="L665" s="42"/>
      <c r="M665" s="42"/>
    </row>
    <row r="666">
      <c r="A666" s="42"/>
      <c r="B666" s="42"/>
      <c r="C666" s="42"/>
      <c r="D666" s="42"/>
      <c r="E666" s="42"/>
      <c r="F666" s="42"/>
      <c r="G666" s="42"/>
      <c r="H666" s="42"/>
      <c r="I666" s="42"/>
      <c r="J666" s="42"/>
      <c r="K666" s="42"/>
      <c r="L666" s="42"/>
      <c r="M666" s="42"/>
    </row>
    <row r="667">
      <c r="A667" s="42"/>
      <c r="B667" s="42"/>
      <c r="C667" s="42"/>
      <c r="D667" s="42"/>
      <c r="E667" s="42"/>
      <c r="F667" s="42"/>
      <c r="G667" s="42"/>
      <c r="H667" s="42"/>
      <c r="I667" s="42"/>
      <c r="J667" s="42"/>
      <c r="K667" s="42"/>
      <c r="L667" s="42"/>
      <c r="M667" s="42"/>
    </row>
    <row r="668">
      <c r="A668" s="42"/>
      <c r="B668" s="42"/>
      <c r="C668" s="42"/>
      <c r="D668" s="42"/>
      <c r="E668" s="42"/>
      <c r="F668" s="42"/>
      <c r="G668" s="42"/>
      <c r="H668" s="42"/>
      <c r="I668" s="42"/>
      <c r="J668" s="42"/>
      <c r="K668" s="42"/>
      <c r="L668" s="42"/>
      <c r="M668" s="42"/>
    </row>
    <row r="669">
      <c r="A669" s="42"/>
      <c r="B669" s="42"/>
      <c r="C669" s="42"/>
      <c r="D669" s="42"/>
      <c r="E669" s="42"/>
      <c r="F669" s="42"/>
      <c r="G669" s="42"/>
      <c r="H669" s="42"/>
      <c r="I669" s="42"/>
      <c r="J669" s="42"/>
      <c r="K669" s="42"/>
      <c r="L669" s="42"/>
      <c r="M669" s="42"/>
    </row>
    <row r="670">
      <c r="A670" s="42"/>
      <c r="B670" s="42"/>
      <c r="C670" s="42"/>
      <c r="D670" s="42"/>
      <c r="E670" s="42"/>
      <c r="F670" s="42"/>
      <c r="G670" s="42"/>
      <c r="H670" s="42"/>
      <c r="I670" s="42"/>
      <c r="J670" s="42"/>
      <c r="K670" s="42"/>
      <c r="L670" s="42"/>
      <c r="M670" s="42"/>
    </row>
    <row r="671">
      <c r="A671" s="42"/>
      <c r="B671" s="42"/>
      <c r="C671" s="42"/>
      <c r="D671" s="42"/>
      <c r="E671" s="42"/>
      <c r="F671" s="42"/>
      <c r="G671" s="42"/>
      <c r="H671" s="42"/>
      <c r="I671" s="42"/>
      <c r="J671" s="42"/>
      <c r="K671" s="42"/>
      <c r="L671" s="42"/>
      <c r="M671" s="42"/>
    </row>
    <row r="672">
      <c r="A672" s="42"/>
      <c r="B672" s="42"/>
      <c r="C672" s="42"/>
      <c r="D672" s="42"/>
      <c r="E672" s="42"/>
      <c r="F672" s="42"/>
      <c r="G672" s="42"/>
      <c r="H672" s="42"/>
      <c r="I672" s="42"/>
      <c r="J672" s="42"/>
      <c r="K672" s="42"/>
      <c r="L672" s="42"/>
      <c r="M672" s="42"/>
    </row>
    <row r="673">
      <c r="A673" s="42"/>
      <c r="B673" s="42"/>
      <c r="C673" s="42"/>
      <c r="D673" s="42"/>
      <c r="E673" s="42"/>
      <c r="F673" s="42"/>
      <c r="G673" s="42"/>
      <c r="H673" s="42"/>
      <c r="I673" s="42"/>
      <c r="J673" s="42"/>
      <c r="K673" s="42"/>
      <c r="L673" s="42"/>
      <c r="M673" s="42"/>
    </row>
    <row r="674">
      <c r="A674" s="42"/>
      <c r="B674" s="42"/>
      <c r="C674" s="42"/>
      <c r="D674" s="42"/>
      <c r="E674" s="42"/>
      <c r="F674" s="42"/>
      <c r="G674" s="42"/>
      <c r="H674" s="42"/>
      <c r="I674" s="42"/>
      <c r="J674" s="42"/>
      <c r="K674" s="42"/>
      <c r="L674" s="42"/>
      <c r="M674" s="42"/>
    </row>
    <row r="675">
      <c r="A675" s="42"/>
      <c r="B675" s="42"/>
      <c r="C675" s="42"/>
      <c r="D675" s="42"/>
      <c r="E675" s="42"/>
      <c r="F675" s="42"/>
      <c r="G675" s="42"/>
      <c r="H675" s="42"/>
      <c r="I675" s="42"/>
      <c r="J675" s="42"/>
      <c r="K675" s="42"/>
      <c r="L675" s="42"/>
      <c r="M675" s="42"/>
    </row>
    <row r="676">
      <c r="A676" s="42"/>
      <c r="B676" s="42"/>
      <c r="C676" s="42"/>
      <c r="D676" s="42"/>
      <c r="E676" s="42"/>
      <c r="F676" s="42"/>
      <c r="G676" s="42"/>
      <c r="H676" s="42"/>
      <c r="I676" s="42"/>
      <c r="J676" s="42"/>
      <c r="K676" s="42"/>
      <c r="L676" s="42"/>
      <c r="M676" s="42"/>
    </row>
    <row r="677">
      <c r="A677" s="42"/>
      <c r="B677" s="42"/>
      <c r="C677" s="42"/>
      <c r="D677" s="42"/>
      <c r="E677" s="42"/>
      <c r="F677" s="42"/>
      <c r="G677" s="42"/>
      <c r="H677" s="42"/>
      <c r="I677" s="42"/>
      <c r="J677" s="42"/>
      <c r="K677" s="42"/>
      <c r="L677" s="42"/>
      <c r="M677" s="42"/>
    </row>
    <row r="678">
      <c r="A678" s="42"/>
      <c r="B678" s="42"/>
      <c r="C678" s="42"/>
      <c r="D678" s="42"/>
      <c r="E678" s="42"/>
      <c r="F678" s="42"/>
      <c r="G678" s="42"/>
      <c r="H678" s="42"/>
      <c r="I678" s="42"/>
      <c r="J678" s="42"/>
      <c r="K678" s="42"/>
      <c r="L678" s="42"/>
      <c r="M678" s="42"/>
    </row>
    <row r="679">
      <c r="A679" s="42"/>
      <c r="B679" s="42"/>
      <c r="C679" s="42"/>
      <c r="D679" s="42"/>
      <c r="E679" s="42"/>
      <c r="F679" s="42"/>
      <c r="G679" s="42"/>
      <c r="H679" s="42"/>
      <c r="I679" s="42"/>
      <c r="J679" s="42"/>
      <c r="K679" s="42"/>
      <c r="L679" s="42"/>
      <c r="M679" s="42"/>
    </row>
    <row r="680">
      <c r="A680" s="42"/>
      <c r="B680" s="42"/>
      <c r="C680" s="42"/>
      <c r="D680" s="42"/>
      <c r="E680" s="42"/>
      <c r="F680" s="42"/>
      <c r="G680" s="42"/>
      <c r="H680" s="42"/>
      <c r="I680" s="42"/>
      <c r="J680" s="42"/>
      <c r="K680" s="42"/>
      <c r="L680" s="42"/>
      <c r="M680" s="42"/>
    </row>
    <row r="681">
      <c r="A681" s="42"/>
      <c r="B681" s="42"/>
      <c r="C681" s="42"/>
      <c r="D681" s="42"/>
      <c r="E681" s="42"/>
      <c r="F681" s="42"/>
      <c r="G681" s="42"/>
      <c r="H681" s="42"/>
      <c r="I681" s="42"/>
      <c r="J681" s="42"/>
      <c r="K681" s="42"/>
      <c r="L681" s="42"/>
      <c r="M681" s="42"/>
    </row>
    <row r="682">
      <c r="A682" s="42"/>
      <c r="B682" s="42"/>
      <c r="C682" s="42"/>
      <c r="D682" s="42"/>
      <c r="E682" s="42"/>
      <c r="F682" s="42"/>
      <c r="G682" s="42"/>
      <c r="H682" s="42"/>
      <c r="I682" s="42"/>
      <c r="J682" s="42"/>
      <c r="K682" s="42"/>
      <c r="L682" s="42"/>
      <c r="M682" s="42"/>
    </row>
    <row r="683">
      <c r="A683" s="42"/>
      <c r="B683" s="42"/>
      <c r="C683" s="42"/>
      <c r="D683" s="42"/>
      <c r="E683" s="42"/>
      <c r="F683" s="42"/>
      <c r="G683" s="42"/>
      <c r="H683" s="42"/>
      <c r="I683" s="42"/>
      <c r="J683" s="42"/>
      <c r="K683" s="42"/>
      <c r="L683" s="42"/>
      <c r="M683" s="42"/>
    </row>
    <row r="684">
      <c r="A684" s="42"/>
      <c r="B684" s="42"/>
      <c r="C684" s="42"/>
      <c r="D684" s="42"/>
      <c r="E684" s="42"/>
      <c r="F684" s="42"/>
      <c r="G684" s="42"/>
      <c r="H684" s="42"/>
      <c r="I684" s="42"/>
      <c r="J684" s="42"/>
      <c r="K684" s="42"/>
      <c r="L684" s="42"/>
      <c r="M684" s="42"/>
    </row>
    <row r="685">
      <c r="A685" s="42"/>
      <c r="B685" s="42"/>
      <c r="C685" s="42"/>
      <c r="D685" s="42"/>
      <c r="E685" s="42"/>
      <c r="F685" s="42"/>
      <c r="G685" s="42"/>
      <c r="H685" s="42"/>
      <c r="I685" s="42"/>
      <c r="J685" s="42"/>
      <c r="K685" s="42"/>
      <c r="L685" s="42"/>
      <c r="M685" s="42"/>
    </row>
    <row r="686">
      <c r="A686" s="42"/>
      <c r="B686" s="42"/>
      <c r="C686" s="42"/>
      <c r="D686" s="42"/>
      <c r="E686" s="42"/>
      <c r="F686" s="42"/>
      <c r="G686" s="42"/>
      <c r="H686" s="42"/>
      <c r="I686" s="42"/>
      <c r="J686" s="42"/>
      <c r="K686" s="42"/>
      <c r="L686" s="42"/>
      <c r="M686" s="42"/>
    </row>
    <row r="687">
      <c r="A687" s="42"/>
      <c r="B687" s="42"/>
      <c r="C687" s="42"/>
      <c r="D687" s="42"/>
      <c r="E687" s="42"/>
      <c r="F687" s="42"/>
      <c r="G687" s="42"/>
      <c r="H687" s="42"/>
      <c r="I687" s="42"/>
      <c r="J687" s="42"/>
      <c r="K687" s="42"/>
      <c r="L687" s="42"/>
      <c r="M687" s="42"/>
    </row>
    <row r="688">
      <c r="A688" s="42"/>
      <c r="B688" s="42"/>
      <c r="C688" s="42"/>
      <c r="D688" s="42"/>
      <c r="E688" s="42"/>
      <c r="F688" s="42"/>
      <c r="G688" s="42"/>
      <c r="H688" s="42"/>
      <c r="I688" s="42"/>
      <c r="J688" s="42"/>
      <c r="K688" s="42"/>
      <c r="L688" s="42"/>
      <c r="M688" s="42"/>
    </row>
    <row r="689">
      <c r="A689" s="42"/>
      <c r="B689" s="42"/>
      <c r="C689" s="42"/>
      <c r="D689" s="42"/>
      <c r="E689" s="42"/>
      <c r="F689" s="42"/>
      <c r="G689" s="42"/>
      <c r="H689" s="42"/>
      <c r="I689" s="42"/>
      <c r="J689" s="42"/>
      <c r="K689" s="42"/>
      <c r="L689" s="42"/>
      <c r="M689" s="42"/>
    </row>
    <row r="690">
      <c r="A690" s="42"/>
      <c r="B690" s="42"/>
      <c r="C690" s="42"/>
      <c r="D690" s="42"/>
      <c r="E690" s="42"/>
      <c r="F690" s="42"/>
      <c r="G690" s="42"/>
      <c r="H690" s="42"/>
      <c r="I690" s="42"/>
      <c r="J690" s="42"/>
      <c r="K690" s="42"/>
      <c r="L690" s="42"/>
      <c r="M690" s="42"/>
    </row>
    <row r="691">
      <c r="A691" s="42"/>
      <c r="B691" s="42"/>
      <c r="C691" s="42"/>
      <c r="D691" s="42"/>
      <c r="E691" s="42"/>
      <c r="F691" s="42"/>
      <c r="G691" s="42"/>
      <c r="H691" s="42"/>
      <c r="I691" s="42"/>
      <c r="J691" s="42"/>
      <c r="K691" s="42"/>
      <c r="L691" s="42"/>
      <c r="M691" s="42"/>
    </row>
    <row r="692">
      <c r="A692" s="42"/>
      <c r="B692" s="42"/>
      <c r="C692" s="42"/>
      <c r="D692" s="42"/>
      <c r="E692" s="42"/>
      <c r="F692" s="42"/>
      <c r="G692" s="42"/>
      <c r="H692" s="42"/>
      <c r="I692" s="42"/>
      <c r="J692" s="42"/>
      <c r="K692" s="42"/>
      <c r="L692" s="42"/>
      <c r="M692" s="42"/>
    </row>
    <row r="693">
      <c r="A693" s="42"/>
      <c r="B693" s="42"/>
      <c r="C693" s="42"/>
      <c r="D693" s="42"/>
      <c r="E693" s="42"/>
      <c r="F693" s="42"/>
      <c r="G693" s="42"/>
      <c r="H693" s="42"/>
      <c r="I693" s="42"/>
      <c r="J693" s="42"/>
      <c r="K693" s="42"/>
      <c r="L693" s="42"/>
      <c r="M693" s="42"/>
    </row>
    <row r="694">
      <c r="A694" s="42"/>
      <c r="B694" s="42"/>
      <c r="C694" s="42"/>
      <c r="D694" s="42"/>
      <c r="E694" s="42"/>
      <c r="F694" s="42"/>
      <c r="G694" s="42"/>
      <c r="H694" s="42"/>
      <c r="I694" s="42"/>
      <c r="J694" s="42"/>
      <c r="K694" s="42"/>
      <c r="L694" s="42"/>
      <c r="M694" s="42"/>
    </row>
    <row r="695">
      <c r="A695" s="42"/>
      <c r="B695" s="42"/>
      <c r="C695" s="42"/>
      <c r="D695" s="42"/>
      <c r="E695" s="42"/>
      <c r="F695" s="42"/>
      <c r="G695" s="42"/>
      <c r="H695" s="42"/>
      <c r="I695" s="42"/>
      <c r="J695" s="42"/>
      <c r="K695" s="42"/>
      <c r="L695" s="42"/>
      <c r="M695" s="42"/>
    </row>
    <row r="696">
      <c r="A696" s="42"/>
      <c r="B696" s="42"/>
      <c r="C696" s="42"/>
      <c r="D696" s="42"/>
      <c r="E696" s="42"/>
      <c r="F696" s="42"/>
      <c r="G696" s="42"/>
      <c r="H696" s="42"/>
      <c r="I696" s="42"/>
      <c r="J696" s="42"/>
      <c r="K696" s="42"/>
      <c r="L696" s="42"/>
      <c r="M696" s="42"/>
    </row>
    <row r="697">
      <c r="A697" s="42"/>
      <c r="B697" s="42"/>
      <c r="C697" s="42"/>
      <c r="D697" s="42"/>
      <c r="E697" s="42"/>
      <c r="F697" s="42"/>
      <c r="G697" s="42"/>
      <c r="H697" s="42"/>
      <c r="I697" s="42"/>
      <c r="J697" s="42"/>
      <c r="K697" s="42"/>
      <c r="L697" s="42"/>
      <c r="M697" s="42"/>
    </row>
    <row r="698">
      <c r="A698" s="42"/>
      <c r="B698" s="42"/>
      <c r="C698" s="42"/>
      <c r="D698" s="42"/>
      <c r="E698" s="42"/>
      <c r="F698" s="42"/>
      <c r="G698" s="42"/>
      <c r="H698" s="42"/>
      <c r="I698" s="42"/>
      <c r="J698" s="42"/>
      <c r="K698" s="42"/>
      <c r="L698" s="42"/>
      <c r="M698" s="42"/>
    </row>
    <row r="699">
      <c r="A699" s="42"/>
      <c r="B699" s="42"/>
      <c r="C699" s="42"/>
      <c r="D699" s="42"/>
      <c r="E699" s="42"/>
      <c r="F699" s="42"/>
      <c r="G699" s="42"/>
      <c r="H699" s="42"/>
      <c r="I699" s="42"/>
      <c r="J699" s="42"/>
      <c r="K699" s="42"/>
      <c r="L699" s="42"/>
      <c r="M699" s="42"/>
    </row>
    <row r="700">
      <c r="A700" s="42"/>
      <c r="B700" s="42"/>
      <c r="C700" s="42"/>
      <c r="D700" s="42"/>
      <c r="E700" s="42"/>
      <c r="F700" s="42"/>
      <c r="G700" s="42"/>
      <c r="H700" s="42"/>
      <c r="I700" s="42"/>
      <c r="J700" s="42"/>
      <c r="K700" s="42"/>
      <c r="L700" s="42"/>
      <c r="M700" s="42"/>
    </row>
    <row r="701">
      <c r="A701" s="42"/>
      <c r="B701" s="42"/>
      <c r="C701" s="42"/>
      <c r="D701" s="42"/>
      <c r="E701" s="42"/>
      <c r="F701" s="42"/>
      <c r="G701" s="42"/>
      <c r="H701" s="42"/>
      <c r="I701" s="42"/>
      <c r="J701" s="42"/>
      <c r="K701" s="42"/>
      <c r="L701" s="42"/>
      <c r="M701" s="42"/>
    </row>
    <row r="702">
      <c r="A702" s="42"/>
      <c r="B702" s="42"/>
      <c r="C702" s="42"/>
      <c r="D702" s="42"/>
      <c r="E702" s="42"/>
      <c r="F702" s="42"/>
      <c r="G702" s="42"/>
      <c r="H702" s="42"/>
      <c r="I702" s="42"/>
      <c r="J702" s="42"/>
      <c r="K702" s="42"/>
      <c r="L702" s="42"/>
      <c r="M702" s="42"/>
    </row>
    <row r="703">
      <c r="A703" s="42"/>
      <c r="B703" s="42"/>
      <c r="C703" s="42"/>
      <c r="D703" s="42"/>
      <c r="E703" s="42"/>
      <c r="F703" s="42"/>
      <c r="G703" s="42"/>
      <c r="H703" s="42"/>
      <c r="I703" s="42"/>
      <c r="J703" s="42"/>
      <c r="K703" s="42"/>
      <c r="L703" s="42"/>
      <c r="M703" s="42"/>
    </row>
    <row r="704">
      <c r="A704" s="42"/>
      <c r="B704" s="42"/>
      <c r="C704" s="42"/>
      <c r="D704" s="42"/>
      <c r="E704" s="42"/>
      <c r="F704" s="42"/>
      <c r="G704" s="42"/>
      <c r="H704" s="42"/>
      <c r="I704" s="42"/>
      <c r="J704" s="42"/>
      <c r="K704" s="42"/>
      <c r="L704" s="42"/>
      <c r="M704" s="42"/>
    </row>
    <row r="705">
      <c r="A705" s="42"/>
      <c r="B705" s="42"/>
      <c r="C705" s="42"/>
      <c r="D705" s="42"/>
      <c r="E705" s="42"/>
      <c r="F705" s="42"/>
      <c r="G705" s="42"/>
      <c r="H705" s="42"/>
      <c r="I705" s="42"/>
      <c r="J705" s="42"/>
      <c r="K705" s="42"/>
      <c r="L705" s="42"/>
      <c r="M705" s="42"/>
    </row>
    <row r="706">
      <c r="A706" s="42"/>
      <c r="B706" s="42"/>
      <c r="C706" s="42"/>
      <c r="D706" s="42"/>
      <c r="E706" s="42"/>
      <c r="F706" s="42"/>
      <c r="G706" s="42"/>
      <c r="H706" s="42"/>
      <c r="I706" s="42"/>
      <c r="J706" s="42"/>
      <c r="K706" s="42"/>
      <c r="L706" s="42"/>
      <c r="M706" s="42"/>
    </row>
    <row r="707">
      <c r="A707" s="42"/>
      <c r="B707" s="42"/>
      <c r="C707" s="42"/>
      <c r="D707" s="42"/>
      <c r="E707" s="42"/>
      <c r="F707" s="42"/>
      <c r="G707" s="42"/>
      <c r="H707" s="42"/>
      <c r="I707" s="42"/>
      <c r="J707" s="42"/>
      <c r="K707" s="42"/>
      <c r="L707" s="42"/>
      <c r="M707" s="42"/>
    </row>
    <row r="708">
      <c r="A708" s="42"/>
      <c r="B708" s="42"/>
      <c r="C708" s="42"/>
      <c r="D708" s="42"/>
      <c r="E708" s="42"/>
      <c r="F708" s="42"/>
      <c r="G708" s="42"/>
      <c r="H708" s="42"/>
      <c r="I708" s="42"/>
      <c r="J708" s="42"/>
      <c r="K708" s="42"/>
      <c r="L708" s="42"/>
      <c r="M708" s="42"/>
    </row>
    <row r="709">
      <c r="A709" s="42"/>
      <c r="B709" s="42"/>
      <c r="C709" s="42"/>
      <c r="D709" s="42"/>
      <c r="E709" s="42"/>
      <c r="F709" s="42"/>
      <c r="G709" s="42"/>
      <c r="H709" s="42"/>
      <c r="I709" s="42"/>
      <c r="J709" s="42"/>
      <c r="K709" s="42"/>
      <c r="L709" s="42"/>
      <c r="M709" s="42"/>
    </row>
    <row r="710">
      <c r="A710" s="42"/>
      <c r="B710" s="42"/>
      <c r="C710" s="42"/>
      <c r="D710" s="42"/>
      <c r="E710" s="42"/>
      <c r="F710" s="42"/>
      <c r="G710" s="42"/>
      <c r="H710" s="42"/>
      <c r="I710" s="42"/>
      <c r="J710" s="42"/>
      <c r="K710" s="42"/>
      <c r="L710" s="42"/>
      <c r="M710" s="42"/>
    </row>
    <row r="711">
      <c r="A711" s="42"/>
      <c r="B711" s="42"/>
      <c r="C711" s="42"/>
      <c r="D711" s="42"/>
      <c r="E711" s="42"/>
      <c r="F711" s="42"/>
      <c r="G711" s="42"/>
      <c r="H711" s="42"/>
      <c r="I711" s="42"/>
      <c r="J711" s="42"/>
      <c r="K711" s="42"/>
      <c r="L711" s="42"/>
      <c r="M711" s="42"/>
    </row>
    <row r="712">
      <c r="A712" s="42"/>
      <c r="B712" s="42"/>
      <c r="C712" s="42"/>
      <c r="D712" s="42"/>
      <c r="E712" s="42"/>
      <c r="F712" s="42"/>
      <c r="G712" s="42"/>
      <c r="H712" s="42"/>
      <c r="I712" s="42"/>
      <c r="J712" s="42"/>
      <c r="K712" s="42"/>
      <c r="L712" s="42"/>
      <c r="M712" s="42"/>
    </row>
    <row r="713">
      <c r="A713" s="42"/>
      <c r="B713" s="42"/>
      <c r="C713" s="42"/>
      <c r="D713" s="42"/>
      <c r="E713" s="42"/>
      <c r="F713" s="42"/>
      <c r="G713" s="42"/>
      <c r="H713" s="42"/>
      <c r="I713" s="42"/>
      <c r="J713" s="42"/>
      <c r="K713" s="42"/>
      <c r="L713" s="42"/>
      <c r="M713" s="42"/>
    </row>
    <row r="714">
      <c r="A714" s="42"/>
      <c r="B714" s="42"/>
      <c r="C714" s="42"/>
      <c r="D714" s="42"/>
      <c r="E714" s="42"/>
      <c r="F714" s="42"/>
      <c r="G714" s="42"/>
      <c r="H714" s="42"/>
      <c r="I714" s="42"/>
      <c r="J714" s="42"/>
      <c r="K714" s="42"/>
      <c r="L714" s="42"/>
      <c r="M714" s="42"/>
    </row>
    <row r="715">
      <c r="A715" s="42"/>
      <c r="B715" s="42"/>
      <c r="C715" s="42"/>
      <c r="D715" s="42"/>
      <c r="E715" s="42"/>
      <c r="F715" s="42"/>
      <c r="G715" s="42"/>
      <c r="H715" s="42"/>
      <c r="I715" s="42"/>
      <c r="J715" s="42"/>
      <c r="K715" s="42"/>
      <c r="L715" s="42"/>
      <c r="M715" s="42"/>
    </row>
    <row r="716">
      <c r="A716" s="42"/>
      <c r="B716" s="42"/>
      <c r="C716" s="42"/>
      <c r="D716" s="42"/>
      <c r="E716" s="42"/>
      <c r="F716" s="42"/>
      <c r="G716" s="42"/>
      <c r="H716" s="42"/>
      <c r="I716" s="42"/>
      <c r="J716" s="42"/>
      <c r="K716" s="42"/>
      <c r="L716" s="42"/>
      <c r="M716" s="42"/>
    </row>
    <row r="717">
      <c r="A717" s="42"/>
      <c r="B717" s="42"/>
      <c r="C717" s="42"/>
      <c r="D717" s="42"/>
      <c r="E717" s="42"/>
      <c r="F717" s="42"/>
      <c r="G717" s="42"/>
      <c r="H717" s="42"/>
      <c r="I717" s="42"/>
      <c r="J717" s="42"/>
      <c r="K717" s="42"/>
      <c r="L717" s="42"/>
      <c r="M717" s="42"/>
    </row>
    <row r="718">
      <c r="A718" s="42"/>
      <c r="B718" s="42"/>
      <c r="C718" s="42"/>
      <c r="D718" s="42"/>
      <c r="E718" s="42"/>
      <c r="F718" s="42"/>
      <c r="G718" s="42"/>
      <c r="H718" s="42"/>
      <c r="I718" s="42"/>
      <c r="J718" s="42"/>
      <c r="K718" s="42"/>
      <c r="L718" s="42"/>
      <c r="M718" s="42"/>
    </row>
    <row r="719">
      <c r="A719" s="42"/>
      <c r="B719" s="42"/>
      <c r="C719" s="42"/>
      <c r="D719" s="42"/>
      <c r="E719" s="42"/>
      <c r="F719" s="42"/>
      <c r="G719" s="42"/>
      <c r="H719" s="42"/>
      <c r="I719" s="42"/>
      <c r="J719" s="42"/>
      <c r="K719" s="42"/>
      <c r="L719" s="42"/>
      <c r="M719" s="42"/>
    </row>
    <row r="720">
      <c r="A720" s="42"/>
      <c r="B720" s="42"/>
      <c r="C720" s="42"/>
      <c r="D720" s="42"/>
      <c r="E720" s="42"/>
      <c r="F720" s="42"/>
      <c r="G720" s="42"/>
      <c r="H720" s="42"/>
      <c r="I720" s="42"/>
      <c r="J720" s="42"/>
      <c r="K720" s="42"/>
      <c r="L720" s="42"/>
      <c r="M720" s="42"/>
    </row>
    <row r="721">
      <c r="A721" s="42"/>
      <c r="B721" s="42"/>
      <c r="C721" s="42"/>
      <c r="D721" s="42"/>
      <c r="E721" s="42"/>
      <c r="F721" s="42"/>
      <c r="G721" s="42"/>
      <c r="H721" s="42"/>
      <c r="I721" s="42"/>
      <c r="J721" s="42"/>
      <c r="K721" s="42"/>
      <c r="L721" s="42"/>
      <c r="M721" s="42"/>
    </row>
    <row r="722">
      <c r="A722" s="42"/>
      <c r="B722" s="42"/>
      <c r="C722" s="42"/>
      <c r="D722" s="42"/>
      <c r="E722" s="42"/>
      <c r="F722" s="42"/>
      <c r="G722" s="42"/>
      <c r="H722" s="42"/>
      <c r="I722" s="42"/>
      <c r="J722" s="42"/>
      <c r="K722" s="42"/>
      <c r="L722" s="42"/>
      <c r="M722" s="42"/>
    </row>
    <row r="723">
      <c r="A723" s="42"/>
      <c r="B723" s="42"/>
      <c r="C723" s="42"/>
      <c r="D723" s="42"/>
      <c r="E723" s="42"/>
      <c r="F723" s="42"/>
      <c r="G723" s="42"/>
      <c r="H723" s="42"/>
      <c r="I723" s="42"/>
      <c r="J723" s="42"/>
      <c r="K723" s="42"/>
      <c r="L723" s="42"/>
      <c r="M723" s="42"/>
    </row>
    <row r="724">
      <c r="A724" s="42"/>
      <c r="B724" s="42"/>
      <c r="C724" s="42"/>
      <c r="D724" s="42"/>
      <c r="E724" s="42"/>
      <c r="F724" s="42"/>
      <c r="G724" s="42"/>
      <c r="H724" s="42"/>
      <c r="I724" s="42"/>
      <c r="J724" s="42"/>
      <c r="K724" s="42"/>
      <c r="L724" s="42"/>
      <c r="M724" s="42"/>
    </row>
    <row r="725">
      <c r="A725" s="42"/>
      <c r="B725" s="42"/>
      <c r="C725" s="42"/>
      <c r="D725" s="42"/>
      <c r="E725" s="42"/>
      <c r="F725" s="42"/>
      <c r="G725" s="42"/>
      <c r="H725" s="42"/>
      <c r="I725" s="42"/>
      <c r="J725" s="42"/>
      <c r="K725" s="42"/>
      <c r="L725" s="42"/>
      <c r="M725" s="42"/>
    </row>
    <row r="726">
      <c r="A726" s="42"/>
      <c r="B726" s="42"/>
      <c r="C726" s="42"/>
      <c r="D726" s="42"/>
      <c r="E726" s="42"/>
      <c r="F726" s="42"/>
      <c r="G726" s="42"/>
      <c r="H726" s="42"/>
      <c r="I726" s="42"/>
      <c r="J726" s="42"/>
      <c r="K726" s="42"/>
      <c r="L726" s="42"/>
      <c r="M726" s="42"/>
    </row>
    <row r="727">
      <c r="A727" s="42"/>
      <c r="B727" s="42"/>
      <c r="C727" s="42"/>
      <c r="D727" s="42"/>
      <c r="E727" s="42"/>
      <c r="F727" s="42"/>
      <c r="G727" s="42"/>
      <c r="H727" s="42"/>
      <c r="I727" s="42"/>
      <c r="J727" s="42"/>
      <c r="K727" s="42"/>
      <c r="L727" s="42"/>
      <c r="M727" s="42"/>
    </row>
    <row r="728">
      <c r="A728" s="42"/>
      <c r="B728" s="42"/>
      <c r="C728" s="42"/>
      <c r="D728" s="42"/>
      <c r="E728" s="42"/>
      <c r="F728" s="42"/>
      <c r="G728" s="42"/>
      <c r="H728" s="42"/>
      <c r="I728" s="42"/>
      <c r="J728" s="42"/>
      <c r="K728" s="42"/>
      <c r="L728" s="42"/>
      <c r="M728" s="42"/>
    </row>
    <row r="729">
      <c r="A729" s="42"/>
      <c r="B729" s="42"/>
      <c r="C729" s="42"/>
      <c r="D729" s="42"/>
      <c r="E729" s="42"/>
      <c r="F729" s="42"/>
      <c r="G729" s="42"/>
      <c r="H729" s="42"/>
      <c r="I729" s="42"/>
      <c r="J729" s="42"/>
      <c r="K729" s="42"/>
      <c r="L729" s="42"/>
      <c r="M729" s="42"/>
    </row>
    <row r="730">
      <c r="A730" s="42"/>
      <c r="B730" s="42"/>
      <c r="C730" s="42"/>
      <c r="D730" s="42"/>
      <c r="E730" s="42"/>
      <c r="F730" s="42"/>
      <c r="G730" s="42"/>
      <c r="H730" s="42"/>
      <c r="I730" s="42"/>
      <c r="J730" s="42"/>
      <c r="K730" s="42"/>
      <c r="L730" s="42"/>
      <c r="M730" s="42"/>
    </row>
    <row r="731">
      <c r="A731" s="42"/>
      <c r="B731" s="42"/>
      <c r="C731" s="42"/>
      <c r="D731" s="42"/>
      <c r="E731" s="42"/>
      <c r="F731" s="42"/>
      <c r="G731" s="42"/>
      <c r="H731" s="42"/>
      <c r="I731" s="42"/>
      <c r="J731" s="42"/>
      <c r="K731" s="42"/>
      <c r="L731" s="42"/>
      <c r="M731" s="42"/>
    </row>
    <row r="732">
      <c r="A732" s="42"/>
      <c r="B732" s="42"/>
      <c r="C732" s="42"/>
      <c r="D732" s="42"/>
      <c r="E732" s="42"/>
      <c r="F732" s="42"/>
      <c r="G732" s="42"/>
      <c r="H732" s="42"/>
      <c r="I732" s="42"/>
      <c r="J732" s="42"/>
      <c r="K732" s="42"/>
      <c r="L732" s="42"/>
      <c r="M732" s="42"/>
    </row>
    <row r="733">
      <c r="A733" s="42"/>
      <c r="B733" s="42"/>
      <c r="C733" s="42"/>
      <c r="D733" s="42"/>
      <c r="E733" s="42"/>
      <c r="F733" s="42"/>
      <c r="G733" s="42"/>
      <c r="H733" s="42"/>
      <c r="I733" s="42"/>
      <c r="J733" s="42"/>
      <c r="K733" s="42"/>
      <c r="L733" s="42"/>
      <c r="M733" s="42"/>
    </row>
    <row r="734">
      <c r="A734" s="42"/>
      <c r="B734" s="42"/>
      <c r="C734" s="42"/>
      <c r="D734" s="42"/>
      <c r="E734" s="42"/>
      <c r="F734" s="42"/>
      <c r="G734" s="42"/>
      <c r="H734" s="42"/>
      <c r="I734" s="42"/>
      <c r="J734" s="42"/>
      <c r="K734" s="42"/>
      <c r="L734" s="42"/>
      <c r="M734" s="42"/>
    </row>
    <row r="735">
      <c r="A735" s="42"/>
      <c r="B735" s="42"/>
      <c r="C735" s="42"/>
      <c r="D735" s="42"/>
      <c r="E735" s="42"/>
      <c r="F735" s="42"/>
      <c r="G735" s="42"/>
      <c r="H735" s="42"/>
      <c r="I735" s="42"/>
      <c r="J735" s="42"/>
      <c r="K735" s="42"/>
      <c r="L735" s="42"/>
      <c r="M735" s="42"/>
    </row>
    <row r="736">
      <c r="A736" s="42"/>
      <c r="B736" s="42"/>
      <c r="C736" s="42"/>
      <c r="D736" s="42"/>
      <c r="E736" s="42"/>
      <c r="F736" s="42"/>
      <c r="G736" s="42"/>
      <c r="H736" s="42"/>
      <c r="I736" s="42"/>
      <c r="J736" s="42"/>
      <c r="K736" s="42"/>
      <c r="L736" s="42"/>
      <c r="M736" s="42"/>
    </row>
    <row r="737">
      <c r="A737" s="42"/>
      <c r="B737" s="42"/>
      <c r="C737" s="42"/>
      <c r="D737" s="42"/>
      <c r="E737" s="42"/>
      <c r="F737" s="42"/>
      <c r="G737" s="42"/>
      <c r="H737" s="42"/>
      <c r="I737" s="42"/>
      <c r="J737" s="42"/>
      <c r="K737" s="42"/>
      <c r="L737" s="42"/>
      <c r="M737" s="42"/>
    </row>
    <row r="738">
      <c r="A738" s="42"/>
      <c r="B738" s="42"/>
      <c r="C738" s="42"/>
      <c r="D738" s="42"/>
      <c r="E738" s="42"/>
      <c r="F738" s="42"/>
      <c r="G738" s="42"/>
      <c r="H738" s="42"/>
      <c r="I738" s="42"/>
      <c r="J738" s="42"/>
      <c r="K738" s="42"/>
      <c r="L738" s="42"/>
      <c r="M738" s="42"/>
    </row>
    <row r="739">
      <c r="A739" s="42"/>
      <c r="B739" s="42"/>
      <c r="C739" s="42"/>
      <c r="D739" s="42"/>
      <c r="E739" s="42"/>
      <c r="F739" s="42"/>
      <c r="G739" s="42"/>
      <c r="H739" s="42"/>
      <c r="I739" s="42"/>
      <c r="J739" s="42"/>
      <c r="K739" s="42"/>
      <c r="L739" s="42"/>
      <c r="M739" s="42"/>
    </row>
    <row r="740">
      <c r="A740" s="42"/>
      <c r="B740" s="42"/>
      <c r="C740" s="42"/>
      <c r="D740" s="42"/>
      <c r="E740" s="42"/>
      <c r="F740" s="42"/>
      <c r="G740" s="42"/>
      <c r="H740" s="42"/>
      <c r="I740" s="42"/>
      <c r="J740" s="42"/>
      <c r="K740" s="42"/>
      <c r="L740" s="42"/>
      <c r="M740" s="42"/>
    </row>
    <row r="741">
      <c r="A741" s="42"/>
      <c r="B741" s="42"/>
      <c r="C741" s="42"/>
      <c r="D741" s="42"/>
      <c r="E741" s="42"/>
      <c r="F741" s="42"/>
      <c r="G741" s="42"/>
      <c r="H741" s="42"/>
      <c r="I741" s="42"/>
      <c r="J741" s="42"/>
      <c r="K741" s="42"/>
      <c r="L741" s="42"/>
      <c r="M741" s="42"/>
    </row>
    <row r="742">
      <c r="A742" s="42"/>
      <c r="B742" s="42"/>
      <c r="C742" s="42"/>
      <c r="D742" s="42"/>
      <c r="E742" s="42"/>
      <c r="F742" s="42"/>
      <c r="G742" s="42"/>
      <c r="H742" s="42"/>
      <c r="I742" s="42"/>
      <c r="J742" s="42"/>
      <c r="K742" s="42"/>
      <c r="L742" s="42"/>
      <c r="M742" s="42"/>
    </row>
    <row r="743">
      <c r="A743" s="42"/>
      <c r="B743" s="42"/>
      <c r="C743" s="42"/>
      <c r="D743" s="42"/>
      <c r="E743" s="42"/>
      <c r="F743" s="42"/>
      <c r="G743" s="42"/>
      <c r="H743" s="42"/>
      <c r="I743" s="42"/>
      <c r="J743" s="42"/>
      <c r="K743" s="42"/>
      <c r="L743" s="42"/>
      <c r="M743" s="42"/>
    </row>
    <row r="744">
      <c r="A744" s="42"/>
      <c r="B744" s="42"/>
      <c r="C744" s="42"/>
      <c r="D744" s="42"/>
      <c r="E744" s="42"/>
      <c r="F744" s="42"/>
      <c r="G744" s="42"/>
      <c r="H744" s="42"/>
      <c r="I744" s="42"/>
      <c r="J744" s="42"/>
      <c r="K744" s="42"/>
      <c r="L744" s="42"/>
      <c r="M744" s="42"/>
    </row>
    <row r="745">
      <c r="A745" s="42"/>
      <c r="B745" s="42"/>
      <c r="C745" s="42"/>
      <c r="D745" s="42"/>
      <c r="E745" s="42"/>
      <c r="F745" s="42"/>
      <c r="G745" s="42"/>
      <c r="H745" s="42"/>
      <c r="I745" s="42"/>
      <c r="J745" s="42"/>
      <c r="K745" s="42"/>
      <c r="L745" s="42"/>
      <c r="M745" s="42"/>
    </row>
    <row r="746">
      <c r="A746" s="42"/>
      <c r="B746" s="42"/>
      <c r="C746" s="42"/>
      <c r="D746" s="42"/>
      <c r="E746" s="42"/>
      <c r="F746" s="42"/>
      <c r="G746" s="42"/>
      <c r="H746" s="42"/>
      <c r="I746" s="42"/>
      <c r="J746" s="42"/>
      <c r="K746" s="42"/>
      <c r="L746" s="42"/>
      <c r="M746" s="42"/>
    </row>
    <row r="747">
      <c r="A747" s="42"/>
      <c r="B747" s="42"/>
      <c r="C747" s="42"/>
      <c r="D747" s="42"/>
      <c r="E747" s="42"/>
      <c r="F747" s="42"/>
      <c r="G747" s="42"/>
      <c r="H747" s="42"/>
      <c r="I747" s="42"/>
      <c r="J747" s="42"/>
      <c r="K747" s="42"/>
      <c r="L747" s="42"/>
      <c r="M747" s="42"/>
    </row>
    <row r="748">
      <c r="A748" s="42"/>
      <c r="B748" s="42"/>
      <c r="C748" s="42"/>
      <c r="D748" s="42"/>
      <c r="E748" s="42"/>
      <c r="F748" s="42"/>
      <c r="G748" s="42"/>
      <c r="H748" s="42"/>
      <c r="I748" s="42"/>
      <c r="J748" s="42"/>
      <c r="K748" s="42"/>
      <c r="L748" s="42"/>
      <c r="M748" s="42"/>
    </row>
    <row r="749">
      <c r="A749" s="42"/>
      <c r="B749" s="42"/>
      <c r="C749" s="42"/>
      <c r="D749" s="42"/>
      <c r="E749" s="42"/>
      <c r="F749" s="42"/>
      <c r="G749" s="42"/>
      <c r="H749" s="42"/>
      <c r="I749" s="42"/>
      <c r="J749" s="42"/>
      <c r="K749" s="42"/>
      <c r="L749" s="42"/>
      <c r="M749" s="42"/>
    </row>
    <row r="750">
      <c r="A750" s="42"/>
      <c r="B750" s="42"/>
      <c r="C750" s="42"/>
      <c r="D750" s="42"/>
      <c r="E750" s="42"/>
      <c r="F750" s="42"/>
      <c r="G750" s="42"/>
      <c r="H750" s="42"/>
      <c r="I750" s="42"/>
      <c r="J750" s="42"/>
      <c r="K750" s="42"/>
      <c r="L750" s="42"/>
      <c r="M750" s="42"/>
    </row>
    <row r="751">
      <c r="A751" s="42"/>
      <c r="B751" s="42"/>
      <c r="C751" s="42"/>
      <c r="D751" s="42"/>
      <c r="E751" s="42"/>
      <c r="F751" s="42"/>
      <c r="G751" s="42"/>
      <c r="H751" s="42"/>
      <c r="I751" s="42"/>
      <c r="J751" s="42"/>
      <c r="K751" s="42"/>
      <c r="L751" s="42"/>
      <c r="M751" s="42"/>
    </row>
    <row r="752">
      <c r="A752" s="42"/>
      <c r="B752" s="42"/>
      <c r="C752" s="42"/>
      <c r="D752" s="42"/>
      <c r="E752" s="42"/>
      <c r="F752" s="42"/>
      <c r="G752" s="42"/>
      <c r="H752" s="42"/>
      <c r="I752" s="42"/>
      <c r="J752" s="42"/>
      <c r="K752" s="42"/>
      <c r="L752" s="42"/>
      <c r="M752" s="42"/>
    </row>
    <row r="753">
      <c r="A753" s="42"/>
      <c r="B753" s="42"/>
      <c r="C753" s="42"/>
      <c r="D753" s="42"/>
      <c r="E753" s="42"/>
      <c r="F753" s="42"/>
      <c r="G753" s="42"/>
      <c r="H753" s="42"/>
      <c r="I753" s="42"/>
      <c r="J753" s="42"/>
      <c r="K753" s="42"/>
      <c r="L753" s="42"/>
      <c r="M753" s="42"/>
    </row>
    <row r="754">
      <c r="A754" s="42"/>
      <c r="B754" s="42"/>
      <c r="C754" s="42"/>
      <c r="D754" s="42"/>
      <c r="E754" s="42"/>
      <c r="F754" s="42"/>
      <c r="G754" s="42"/>
      <c r="H754" s="42"/>
      <c r="I754" s="42"/>
      <c r="J754" s="42"/>
      <c r="K754" s="42"/>
      <c r="L754" s="42"/>
      <c r="M754" s="42"/>
    </row>
    <row r="755">
      <c r="A755" s="42"/>
      <c r="B755" s="42"/>
      <c r="C755" s="42"/>
      <c r="D755" s="42"/>
      <c r="E755" s="42"/>
      <c r="F755" s="42"/>
      <c r="G755" s="42"/>
      <c r="H755" s="42"/>
      <c r="I755" s="42"/>
      <c r="J755" s="42"/>
      <c r="K755" s="42"/>
      <c r="L755" s="42"/>
      <c r="M755" s="42"/>
    </row>
    <row r="756">
      <c r="A756" s="42"/>
      <c r="B756" s="42"/>
      <c r="C756" s="42"/>
      <c r="D756" s="42"/>
      <c r="E756" s="42"/>
      <c r="F756" s="42"/>
      <c r="G756" s="42"/>
      <c r="H756" s="42"/>
      <c r="I756" s="42"/>
      <c r="J756" s="42"/>
      <c r="K756" s="42"/>
      <c r="L756" s="42"/>
      <c r="M756" s="42"/>
    </row>
    <row r="757">
      <c r="A757" s="42"/>
      <c r="B757" s="42"/>
      <c r="C757" s="42"/>
      <c r="D757" s="42"/>
      <c r="E757" s="42"/>
      <c r="F757" s="42"/>
      <c r="G757" s="42"/>
      <c r="H757" s="42"/>
      <c r="I757" s="42"/>
      <c r="J757" s="42"/>
      <c r="K757" s="42"/>
      <c r="L757" s="42"/>
      <c r="M757" s="42"/>
    </row>
    <row r="758">
      <c r="A758" s="42"/>
      <c r="B758" s="42"/>
      <c r="C758" s="42"/>
      <c r="D758" s="42"/>
      <c r="E758" s="42"/>
      <c r="F758" s="42"/>
      <c r="G758" s="42"/>
      <c r="H758" s="42"/>
      <c r="I758" s="42"/>
      <c r="J758" s="42"/>
      <c r="K758" s="42"/>
      <c r="L758" s="42"/>
      <c r="M758" s="42"/>
    </row>
    <row r="759">
      <c r="A759" s="42"/>
      <c r="B759" s="42"/>
      <c r="C759" s="42"/>
      <c r="D759" s="42"/>
      <c r="E759" s="42"/>
      <c r="F759" s="42"/>
      <c r="G759" s="42"/>
      <c r="H759" s="42"/>
      <c r="I759" s="42"/>
      <c r="J759" s="42"/>
      <c r="K759" s="42"/>
      <c r="L759" s="42"/>
      <c r="M759" s="42"/>
    </row>
    <row r="760">
      <c r="A760" s="42"/>
      <c r="B760" s="42"/>
      <c r="C760" s="42"/>
      <c r="D760" s="42"/>
      <c r="E760" s="42"/>
      <c r="F760" s="42"/>
      <c r="G760" s="42"/>
      <c r="H760" s="42"/>
      <c r="I760" s="42"/>
      <c r="J760" s="42"/>
      <c r="K760" s="42"/>
      <c r="L760" s="42"/>
      <c r="M760" s="42"/>
    </row>
    <row r="761">
      <c r="A761" s="42"/>
      <c r="B761" s="42"/>
      <c r="C761" s="42"/>
      <c r="D761" s="42"/>
      <c r="E761" s="42"/>
      <c r="F761" s="42"/>
      <c r="G761" s="42"/>
      <c r="H761" s="42"/>
      <c r="I761" s="42"/>
      <c r="J761" s="42"/>
      <c r="K761" s="42"/>
      <c r="L761" s="42"/>
      <c r="M761" s="42"/>
    </row>
    <row r="762">
      <c r="A762" s="42"/>
      <c r="B762" s="42"/>
      <c r="C762" s="42"/>
      <c r="D762" s="42"/>
      <c r="E762" s="42"/>
      <c r="F762" s="42"/>
      <c r="G762" s="42"/>
      <c r="H762" s="42"/>
      <c r="I762" s="42"/>
      <c r="J762" s="42"/>
      <c r="K762" s="42"/>
      <c r="L762" s="42"/>
      <c r="M762" s="42"/>
    </row>
    <row r="763">
      <c r="A763" s="42"/>
      <c r="B763" s="42"/>
      <c r="C763" s="42"/>
      <c r="D763" s="42"/>
      <c r="E763" s="42"/>
      <c r="F763" s="42"/>
      <c r="G763" s="42"/>
      <c r="H763" s="42"/>
      <c r="I763" s="42"/>
      <c r="J763" s="42"/>
      <c r="K763" s="42"/>
      <c r="L763" s="42"/>
      <c r="M763" s="42"/>
    </row>
    <row r="764">
      <c r="A764" s="42"/>
      <c r="B764" s="42"/>
      <c r="C764" s="42"/>
      <c r="D764" s="42"/>
      <c r="E764" s="42"/>
      <c r="F764" s="42"/>
      <c r="G764" s="42"/>
      <c r="H764" s="42"/>
      <c r="I764" s="42"/>
      <c r="J764" s="42"/>
      <c r="K764" s="42"/>
      <c r="L764" s="42"/>
      <c r="M764" s="42"/>
    </row>
    <row r="765">
      <c r="A765" s="42"/>
      <c r="B765" s="42"/>
      <c r="C765" s="42"/>
      <c r="D765" s="42"/>
      <c r="E765" s="42"/>
      <c r="F765" s="42"/>
      <c r="G765" s="42"/>
      <c r="H765" s="42"/>
      <c r="I765" s="42"/>
      <c r="J765" s="42"/>
      <c r="K765" s="42"/>
      <c r="L765" s="42"/>
      <c r="M765" s="42"/>
    </row>
    <row r="766">
      <c r="A766" s="42"/>
      <c r="B766" s="42"/>
      <c r="C766" s="42"/>
      <c r="D766" s="42"/>
      <c r="E766" s="42"/>
      <c r="F766" s="42"/>
      <c r="G766" s="42"/>
      <c r="H766" s="42"/>
      <c r="I766" s="42"/>
      <c r="J766" s="42"/>
      <c r="K766" s="42"/>
      <c r="L766" s="42"/>
      <c r="M766" s="42"/>
    </row>
    <row r="767">
      <c r="A767" s="42"/>
      <c r="B767" s="42"/>
      <c r="C767" s="42"/>
      <c r="D767" s="42"/>
      <c r="E767" s="42"/>
      <c r="F767" s="42"/>
      <c r="G767" s="42"/>
      <c r="H767" s="42"/>
      <c r="I767" s="42"/>
      <c r="J767" s="42"/>
      <c r="K767" s="42"/>
      <c r="L767" s="42"/>
      <c r="M767" s="42"/>
    </row>
    <row r="768">
      <c r="A768" s="42"/>
      <c r="B768" s="42"/>
      <c r="C768" s="42"/>
      <c r="D768" s="42"/>
      <c r="E768" s="42"/>
      <c r="F768" s="42"/>
      <c r="G768" s="42"/>
      <c r="H768" s="42"/>
      <c r="I768" s="42"/>
      <c r="J768" s="42"/>
      <c r="K768" s="42"/>
      <c r="L768" s="42"/>
      <c r="M768" s="42"/>
    </row>
    <row r="769">
      <c r="A769" s="42"/>
      <c r="B769" s="42"/>
      <c r="C769" s="42"/>
      <c r="D769" s="42"/>
      <c r="E769" s="42"/>
      <c r="F769" s="42"/>
      <c r="G769" s="42"/>
      <c r="H769" s="42"/>
      <c r="I769" s="42"/>
      <c r="J769" s="42"/>
      <c r="K769" s="42"/>
      <c r="L769" s="42"/>
      <c r="M769" s="42"/>
    </row>
    <row r="770">
      <c r="A770" s="42"/>
      <c r="B770" s="42"/>
      <c r="C770" s="42"/>
      <c r="D770" s="42"/>
      <c r="E770" s="42"/>
      <c r="F770" s="42"/>
      <c r="G770" s="42"/>
      <c r="H770" s="42"/>
      <c r="I770" s="42"/>
      <c r="J770" s="42"/>
      <c r="K770" s="42"/>
      <c r="L770" s="42"/>
      <c r="M770" s="42"/>
    </row>
    <row r="771">
      <c r="A771" s="42"/>
      <c r="B771" s="42"/>
      <c r="C771" s="42"/>
      <c r="D771" s="42"/>
      <c r="E771" s="42"/>
      <c r="F771" s="42"/>
      <c r="G771" s="42"/>
      <c r="H771" s="42"/>
      <c r="I771" s="42"/>
      <c r="J771" s="42"/>
      <c r="K771" s="42"/>
      <c r="L771" s="42"/>
      <c r="M771" s="42"/>
    </row>
    <row r="772">
      <c r="A772" s="42"/>
      <c r="B772" s="42"/>
      <c r="C772" s="42"/>
      <c r="D772" s="42"/>
      <c r="E772" s="42"/>
      <c r="F772" s="42"/>
      <c r="G772" s="42"/>
      <c r="H772" s="42"/>
      <c r="I772" s="42"/>
      <c r="J772" s="42"/>
      <c r="K772" s="42"/>
      <c r="L772" s="42"/>
      <c r="M772" s="42"/>
    </row>
    <row r="773">
      <c r="A773" s="42"/>
      <c r="B773" s="42"/>
      <c r="C773" s="42"/>
      <c r="D773" s="42"/>
      <c r="E773" s="42"/>
      <c r="F773" s="42"/>
      <c r="G773" s="42"/>
      <c r="H773" s="42"/>
      <c r="I773" s="42"/>
      <c r="J773" s="42"/>
      <c r="K773" s="42"/>
      <c r="L773" s="42"/>
      <c r="M773" s="42"/>
    </row>
    <row r="774">
      <c r="A774" s="42"/>
      <c r="B774" s="42"/>
      <c r="C774" s="42"/>
      <c r="D774" s="42"/>
      <c r="E774" s="42"/>
      <c r="F774" s="42"/>
      <c r="G774" s="42"/>
      <c r="H774" s="42"/>
      <c r="I774" s="42"/>
      <c r="J774" s="42"/>
      <c r="K774" s="42"/>
      <c r="L774" s="42"/>
      <c r="M774" s="42"/>
    </row>
    <row r="775">
      <c r="A775" s="42"/>
      <c r="B775" s="42"/>
      <c r="C775" s="42"/>
      <c r="D775" s="42"/>
      <c r="E775" s="42"/>
      <c r="F775" s="42"/>
      <c r="G775" s="42"/>
      <c r="H775" s="42"/>
      <c r="I775" s="42"/>
      <c r="J775" s="42"/>
      <c r="K775" s="42"/>
      <c r="L775" s="42"/>
      <c r="M775" s="42"/>
    </row>
    <row r="776">
      <c r="A776" s="42"/>
      <c r="B776" s="42"/>
      <c r="C776" s="42"/>
      <c r="D776" s="42"/>
      <c r="E776" s="42"/>
      <c r="F776" s="42"/>
      <c r="G776" s="42"/>
      <c r="H776" s="42"/>
      <c r="I776" s="42"/>
      <c r="J776" s="42"/>
      <c r="K776" s="42"/>
      <c r="L776" s="42"/>
      <c r="M776" s="42"/>
    </row>
    <row r="777">
      <c r="A777" s="42"/>
      <c r="B777" s="42"/>
      <c r="C777" s="42"/>
      <c r="D777" s="42"/>
      <c r="E777" s="42"/>
      <c r="F777" s="42"/>
      <c r="G777" s="42"/>
      <c r="H777" s="42"/>
      <c r="I777" s="42"/>
      <c r="J777" s="42"/>
      <c r="K777" s="42"/>
      <c r="L777" s="42"/>
      <c r="M777" s="42"/>
    </row>
    <row r="778">
      <c r="A778" s="42"/>
      <c r="B778" s="42"/>
      <c r="C778" s="42"/>
      <c r="D778" s="42"/>
      <c r="E778" s="42"/>
      <c r="F778" s="42"/>
      <c r="G778" s="42"/>
      <c r="H778" s="42"/>
      <c r="I778" s="42"/>
      <c r="J778" s="42"/>
      <c r="K778" s="42"/>
      <c r="L778" s="42"/>
      <c r="M778" s="42"/>
    </row>
    <row r="779">
      <c r="A779" s="42"/>
      <c r="B779" s="42"/>
      <c r="C779" s="42"/>
      <c r="D779" s="42"/>
      <c r="E779" s="42"/>
      <c r="F779" s="42"/>
      <c r="G779" s="42"/>
      <c r="H779" s="42"/>
      <c r="I779" s="42"/>
      <c r="J779" s="42"/>
      <c r="K779" s="42"/>
      <c r="L779" s="42"/>
      <c r="M779" s="42"/>
    </row>
    <row r="780">
      <c r="A780" s="42"/>
      <c r="B780" s="42"/>
      <c r="C780" s="42"/>
      <c r="D780" s="42"/>
      <c r="E780" s="42"/>
      <c r="F780" s="42"/>
      <c r="G780" s="42"/>
      <c r="H780" s="42"/>
      <c r="I780" s="42"/>
      <c r="J780" s="42"/>
      <c r="K780" s="42"/>
      <c r="L780" s="42"/>
      <c r="M780" s="42"/>
    </row>
    <row r="781">
      <c r="A781" s="42"/>
      <c r="B781" s="42"/>
      <c r="C781" s="42"/>
      <c r="D781" s="42"/>
      <c r="E781" s="42"/>
      <c r="F781" s="42"/>
      <c r="G781" s="42"/>
      <c r="H781" s="42"/>
      <c r="I781" s="42"/>
      <c r="J781" s="42"/>
      <c r="K781" s="42"/>
      <c r="L781" s="42"/>
      <c r="M781" s="42"/>
    </row>
    <row r="782">
      <c r="A782" s="42"/>
      <c r="B782" s="42"/>
      <c r="C782" s="42"/>
      <c r="D782" s="42"/>
      <c r="E782" s="42"/>
      <c r="F782" s="42"/>
      <c r="G782" s="42"/>
      <c r="H782" s="42"/>
      <c r="I782" s="42"/>
      <c r="J782" s="42"/>
      <c r="K782" s="42"/>
      <c r="L782" s="42"/>
      <c r="M782" s="42"/>
    </row>
    <row r="783">
      <c r="A783" s="42"/>
      <c r="B783" s="42"/>
      <c r="C783" s="42"/>
      <c r="D783" s="42"/>
      <c r="E783" s="42"/>
      <c r="F783" s="42"/>
      <c r="G783" s="42"/>
      <c r="H783" s="42"/>
      <c r="I783" s="42"/>
      <c r="J783" s="42"/>
      <c r="K783" s="42"/>
      <c r="L783" s="42"/>
      <c r="M783" s="42"/>
    </row>
    <row r="784">
      <c r="A784" s="42"/>
      <c r="B784" s="42"/>
      <c r="C784" s="42"/>
      <c r="D784" s="42"/>
      <c r="E784" s="42"/>
      <c r="F784" s="42"/>
      <c r="G784" s="42"/>
      <c r="H784" s="42"/>
      <c r="I784" s="42"/>
      <c r="J784" s="42"/>
      <c r="K784" s="42"/>
      <c r="L784" s="42"/>
      <c r="M784" s="42"/>
    </row>
    <row r="785">
      <c r="A785" s="42"/>
      <c r="B785" s="42"/>
      <c r="C785" s="42"/>
      <c r="D785" s="42"/>
      <c r="E785" s="42"/>
      <c r="F785" s="42"/>
      <c r="G785" s="42"/>
      <c r="H785" s="42"/>
      <c r="I785" s="42"/>
      <c r="J785" s="42"/>
      <c r="K785" s="42"/>
      <c r="L785" s="42"/>
      <c r="M785" s="42"/>
    </row>
    <row r="786">
      <c r="A786" s="42"/>
      <c r="B786" s="42"/>
      <c r="C786" s="42"/>
      <c r="D786" s="42"/>
      <c r="E786" s="42"/>
      <c r="F786" s="42"/>
      <c r="G786" s="42"/>
      <c r="H786" s="42"/>
      <c r="I786" s="42"/>
      <c r="J786" s="42"/>
      <c r="K786" s="42"/>
      <c r="L786" s="42"/>
      <c r="M786" s="42"/>
    </row>
    <row r="787">
      <c r="A787" s="42"/>
      <c r="B787" s="42"/>
      <c r="C787" s="42"/>
      <c r="D787" s="42"/>
      <c r="E787" s="42"/>
      <c r="F787" s="42"/>
      <c r="G787" s="42"/>
      <c r="H787" s="42"/>
      <c r="I787" s="42"/>
      <c r="J787" s="42"/>
      <c r="K787" s="42"/>
      <c r="L787" s="42"/>
      <c r="M787" s="42"/>
    </row>
    <row r="788">
      <c r="A788" s="42"/>
      <c r="B788" s="42"/>
      <c r="C788" s="42"/>
      <c r="D788" s="42"/>
      <c r="E788" s="42"/>
      <c r="F788" s="42"/>
      <c r="G788" s="42"/>
      <c r="H788" s="42"/>
      <c r="I788" s="42"/>
      <c r="J788" s="42"/>
      <c r="K788" s="42"/>
      <c r="L788" s="42"/>
      <c r="M788" s="42"/>
    </row>
    <row r="789">
      <c r="A789" s="42"/>
      <c r="B789" s="42"/>
      <c r="C789" s="42"/>
      <c r="D789" s="42"/>
      <c r="E789" s="42"/>
      <c r="F789" s="42"/>
      <c r="G789" s="42"/>
      <c r="H789" s="42"/>
      <c r="I789" s="42"/>
      <c r="J789" s="42"/>
      <c r="K789" s="42"/>
      <c r="L789" s="42"/>
      <c r="M789" s="42"/>
    </row>
    <row r="790">
      <c r="A790" s="42"/>
      <c r="B790" s="42"/>
      <c r="C790" s="42"/>
      <c r="D790" s="42"/>
      <c r="E790" s="42"/>
      <c r="F790" s="42"/>
      <c r="G790" s="42"/>
      <c r="H790" s="42"/>
      <c r="I790" s="42"/>
      <c r="J790" s="42"/>
      <c r="K790" s="42"/>
      <c r="L790" s="42"/>
      <c r="M790" s="42"/>
    </row>
    <row r="791">
      <c r="A791" s="42"/>
      <c r="B791" s="42"/>
      <c r="C791" s="42"/>
      <c r="D791" s="42"/>
      <c r="E791" s="42"/>
      <c r="F791" s="42"/>
      <c r="G791" s="42"/>
      <c r="H791" s="42"/>
      <c r="I791" s="42"/>
      <c r="J791" s="42"/>
      <c r="K791" s="42"/>
      <c r="L791" s="42"/>
      <c r="M791" s="42"/>
    </row>
    <row r="792">
      <c r="A792" s="42"/>
      <c r="B792" s="42"/>
      <c r="C792" s="42"/>
      <c r="D792" s="42"/>
      <c r="E792" s="42"/>
      <c r="F792" s="42"/>
      <c r="G792" s="42"/>
      <c r="H792" s="42"/>
      <c r="I792" s="42"/>
      <c r="J792" s="42"/>
      <c r="K792" s="42"/>
      <c r="L792" s="42"/>
      <c r="M792" s="42"/>
    </row>
    <row r="793">
      <c r="A793" s="42"/>
      <c r="B793" s="42"/>
      <c r="C793" s="42"/>
      <c r="D793" s="42"/>
      <c r="E793" s="42"/>
      <c r="F793" s="42"/>
      <c r="G793" s="42"/>
      <c r="H793" s="42"/>
      <c r="I793" s="42"/>
      <c r="J793" s="42"/>
      <c r="K793" s="42"/>
      <c r="L793" s="42"/>
      <c r="M793" s="42"/>
    </row>
    <row r="794">
      <c r="A794" s="42"/>
      <c r="B794" s="42"/>
      <c r="C794" s="42"/>
      <c r="D794" s="42"/>
      <c r="E794" s="42"/>
      <c r="F794" s="42"/>
      <c r="G794" s="42"/>
      <c r="H794" s="42"/>
      <c r="I794" s="42"/>
      <c r="J794" s="42"/>
      <c r="K794" s="42"/>
      <c r="L794" s="42"/>
      <c r="M794" s="42"/>
    </row>
    <row r="795">
      <c r="A795" s="42"/>
      <c r="B795" s="42"/>
      <c r="C795" s="42"/>
      <c r="D795" s="42"/>
      <c r="E795" s="42"/>
      <c r="F795" s="42"/>
      <c r="G795" s="42"/>
      <c r="H795" s="42"/>
      <c r="I795" s="42"/>
      <c r="J795" s="42"/>
      <c r="K795" s="42"/>
      <c r="L795" s="42"/>
      <c r="M795" s="42"/>
    </row>
    <row r="796">
      <c r="A796" s="42"/>
      <c r="B796" s="42"/>
      <c r="C796" s="42"/>
      <c r="D796" s="42"/>
      <c r="E796" s="42"/>
      <c r="F796" s="42"/>
      <c r="G796" s="42"/>
      <c r="H796" s="42"/>
      <c r="I796" s="42"/>
      <c r="J796" s="42"/>
      <c r="K796" s="42"/>
      <c r="L796" s="42"/>
      <c r="M796" s="42"/>
    </row>
    <row r="797">
      <c r="A797" s="42"/>
      <c r="B797" s="42"/>
      <c r="C797" s="42"/>
      <c r="D797" s="42"/>
      <c r="E797" s="42"/>
      <c r="F797" s="42"/>
      <c r="G797" s="42"/>
      <c r="H797" s="42"/>
      <c r="I797" s="42"/>
      <c r="J797" s="42"/>
      <c r="K797" s="42"/>
      <c r="L797" s="42"/>
      <c r="M797" s="42"/>
    </row>
    <row r="798">
      <c r="A798" s="42"/>
      <c r="B798" s="42"/>
      <c r="C798" s="42"/>
      <c r="D798" s="42"/>
      <c r="E798" s="42"/>
      <c r="F798" s="42"/>
      <c r="G798" s="42"/>
      <c r="H798" s="42"/>
      <c r="I798" s="42"/>
      <c r="J798" s="42"/>
      <c r="K798" s="42"/>
      <c r="L798" s="42"/>
      <c r="M798" s="42"/>
    </row>
    <row r="799">
      <c r="A799" s="42"/>
      <c r="B799" s="42"/>
      <c r="C799" s="42"/>
      <c r="D799" s="42"/>
      <c r="E799" s="42"/>
      <c r="F799" s="42"/>
      <c r="G799" s="42"/>
      <c r="H799" s="42"/>
      <c r="I799" s="42"/>
      <c r="J799" s="42"/>
      <c r="K799" s="42"/>
      <c r="L799" s="42"/>
      <c r="M799" s="42"/>
    </row>
    <row r="800">
      <c r="A800" s="42"/>
      <c r="B800" s="42"/>
      <c r="C800" s="42"/>
      <c r="D800" s="42"/>
      <c r="E800" s="42"/>
      <c r="F800" s="42"/>
      <c r="G800" s="42"/>
      <c r="H800" s="42"/>
      <c r="I800" s="42"/>
      <c r="J800" s="42"/>
      <c r="K800" s="42"/>
      <c r="L800" s="42"/>
      <c r="M800" s="42"/>
    </row>
    <row r="801">
      <c r="A801" s="42"/>
      <c r="B801" s="42"/>
      <c r="C801" s="42"/>
      <c r="D801" s="42"/>
      <c r="E801" s="42"/>
      <c r="F801" s="42"/>
      <c r="G801" s="42"/>
      <c r="H801" s="42"/>
      <c r="I801" s="42"/>
      <c r="J801" s="42"/>
      <c r="K801" s="42"/>
      <c r="L801" s="42"/>
      <c r="M801" s="42"/>
    </row>
    <row r="802">
      <c r="A802" s="42"/>
      <c r="B802" s="42"/>
      <c r="C802" s="42"/>
      <c r="D802" s="42"/>
      <c r="E802" s="42"/>
      <c r="F802" s="42"/>
      <c r="G802" s="42"/>
      <c r="H802" s="42"/>
      <c r="I802" s="42"/>
      <c r="J802" s="42"/>
      <c r="K802" s="42"/>
      <c r="L802" s="42"/>
      <c r="M802" s="42"/>
    </row>
    <row r="803">
      <c r="A803" s="42"/>
      <c r="B803" s="42"/>
      <c r="C803" s="42"/>
      <c r="D803" s="42"/>
      <c r="E803" s="42"/>
      <c r="F803" s="42"/>
      <c r="G803" s="42"/>
      <c r="H803" s="42"/>
      <c r="I803" s="42"/>
      <c r="J803" s="42"/>
      <c r="K803" s="42"/>
      <c r="L803" s="42"/>
      <c r="M803" s="42"/>
    </row>
    <row r="804">
      <c r="A804" s="42"/>
      <c r="B804" s="42"/>
      <c r="C804" s="42"/>
      <c r="D804" s="42"/>
      <c r="E804" s="42"/>
      <c r="F804" s="42"/>
      <c r="G804" s="42"/>
      <c r="H804" s="42"/>
      <c r="I804" s="42"/>
      <c r="J804" s="42"/>
      <c r="K804" s="42"/>
      <c r="L804" s="42"/>
      <c r="M804" s="42"/>
    </row>
    <row r="805">
      <c r="A805" s="42"/>
      <c r="B805" s="42"/>
      <c r="C805" s="42"/>
      <c r="D805" s="42"/>
      <c r="E805" s="42"/>
      <c r="F805" s="42"/>
      <c r="G805" s="42"/>
      <c r="H805" s="42"/>
      <c r="I805" s="42"/>
      <c r="J805" s="42"/>
      <c r="K805" s="42"/>
      <c r="L805" s="42"/>
      <c r="M805" s="42"/>
    </row>
    <row r="806">
      <c r="A806" s="42"/>
      <c r="B806" s="42"/>
      <c r="C806" s="42"/>
      <c r="D806" s="42"/>
      <c r="E806" s="42"/>
      <c r="F806" s="42"/>
      <c r="G806" s="42"/>
      <c r="H806" s="42"/>
      <c r="I806" s="42"/>
      <c r="J806" s="42"/>
      <c r="K806" s="42"/>
      <c r="L806" s="42"/>
      <c r="M806" s="42"/>
    </row>
    <row r="807">
      <c r="A807" s="42"/>
      <c r="B807" s="42"/>
      <c r="C807" s="42"/>
      <c r="D807" s="42"/>
      <c r="E807" s="42"/>
      <c r="F807" s="42"/>
      <c r="G807" s="42"/>
      <c r="H807" s="42"/>
      <c r="I807" s="42"/>
      <c r="J807" s="42"/>
      <c r="K807" s="42"/>
      <c r="L807" s="42"/>
      <c r="M807" s="42"/>
    </row>
    <row r="808">
      <c r="A808" s="42"/>
      <c r="B808" s="42"/>
      <c r="C808" s="42"/>
      <c r="D808" s="42"/>
      <c r="E808" s="42"/>
      <c r="F808" s="42"/>
      <c r="G808" s="42"/>
      <c r="H808" s="42"/>
      <c r="I808" s="42"/>
      <c r="J808" s="42"/>
      <c r="K808" s="42"/>
      <c r="L808" s="42"/>
      <c r="M808" s="42"/>
    </row>
    <row r="809">
      <c r="A809" s="42"/>
      <c r="B809" s="42"/>
      <c r="C809" s="42"/>
      <c r="D809" s="42"/>
      <c r="E809" s="42"/>
      <c r="F809" s="42"/>
      <c r="G809" s="42"/>
      <c r="H809" s="42"/>
      <c r="I809" s="42"/>
      <c r="J809" s="42"/>
      <c r="K809" s="42"/>
      <c r="L809" s="42"/>
      <c r="M809" s="42"/>
    </row>
    <row r="810">
      <c r="A810" s="42"/>
      <c r="B810" s="42"/>
      <c r="C810" s="42"/>
      <c r="D810" s="42"/>
      <c r="E810" s="42"/>
      <c r="F810" s="42"/>
      <c r="G810" s="42"/>
      <c r="H810" s="42"/>
      <c r="I810" s="42"/>
      <c r="J810" s="42"/>
      <c r="K810" s="42"/>
      <c r="L810" s="42"/>
      <c r="M810" s="42"/>
    </row>
    <row r="811">
      <c r="A811" s="42"/>
      <c r="B811" s="42"/>
      <c r="C811" s="42"/>
      <c r="D811" s="42"/>
      <c r="E811" s="42"/>
      <c r="F811" s="42"/>
      <c r="G811" s="42"/>
      <c r="H811" s="42"/>
      <c r="I811" s="42"/>
      <c r="J811" s="42"/>
      <c r="K811" s="42"/>
      <c r="L811" s="42"/>
      <c r="M811" s="42"/>
    </row>
    <row r="812">
      <c r="A812" s="42"/>
      <c r="B812" s="42"/>
      <c r="C812" s="42"/>
      <c r="D812" s="42"/>
      <c r="E812" s="42"/>
      <c r="F812" s="42"/>
      <c r="G812" s="42"/>
      <c r="H812" s="42"/>
      <c r="I812" s="42"/>
      <c r="J812" s="42"/>
      <c r="K812" s="42"/>
      <c r="L812" s="42"/>
      <c r="M812" s="42"/>
    </row>
    <row r="813">
      <c r="A813" s="42"/>
      <c r="B813" s="42"/>
      <c r="C813" s="42"/>
      <c r="D813" s="42"/>
      <c r="E813" s="42"/>
      <c r="F813" s="42"/>
      <c r="G813" s="42"/>
      <c r="H813" s="42"/>
      <c r="I813" s="42"/>
      <c r="J813" s="42"/>
      <c r="K813" s="42"/>
      <c r="L813" s="42"/>
      <c r="M813" s="42"/>
    </row>
    <row r="814">
      <c r="A814" s="42"/>
      <c r="B814" s="42"/>
      <c r="C814" s="42"/>
      <c r="D814" s="42"/>
      <c r="E814" s="42"/>
      <c r="F814" s="42"/>
      <c r="G814" s="42"/>
      <c r="H814" s="42"/>
      <c r="I814" s="42"/>
      <c r="J814" s="42"/>
      <c r="K814" s="42"/>
      <c r="L814" s="42"/>
      <c r="M814" s="42"/>
    </row>
    <row r="815">
      <c r="A815" s="42"/>
      <c r="B815" s="42"/>
      <c r="C815" s="42"/>
      <c r="D815" s="42"/>
      <c r="E815" s="42"/>
      <c r="F815" s="42"/>
      <c r="G815" s="42"/>
      <c r="H815" s="42"/>
      <c r="I815" s="42"/>
      <c r="J815" s="42"/>
      <c r="K815" s="42"/>
      <c r="L815" s="42"/>
      <c r="M815" s="42"/>
    </row>
    <row r="816">
      <c r="A816" s="42"/>
      <c r="B816" s="42"/>
      <c r="C816" s="42"/>
      <c r="D816" s="42"/>
      <c r="E816" s="42"/>
      <c r="F816" s="42"/>
      <c r="G816" s="42"/>
      <c r="H816" s="42"/>
      <c r="I816" s="42"/>
      <c r="J816" s="42"/>
      <c r="K816" s="42"/>
      <c r="L816" s="42"/>
      <c r="M816" s="42"/>
    </row>
    <row r="817">
      <c r="A817" s="42"/>
      <c r="B817" s="42"/>
      <c r="C817" s="42"/>
      <c r="D817" s="42"/>
      <c r="E817" s="42"/>
      <c r="F817" s="42"/>
      <c r="G817" s="42"/>
      <c r="H817" s="42"/>
      <c r="I817" s="42"/>
      <c r="J817" s="42"/>
      <c r="K817" s="42"/>
      <c r="L817" s="42"/>
      <c r="M817" s="42"/>
    </row>
    <row r="818">
      <c r="A818" s="42"/>
      <c r="B818" s="42"/>
      <c r="C818" s="42"/>
      <c r="D818" s="42"/>
      <c r="E818" s="42"/>
      <c r="F818" s="42"/>
      <c r="G818" s="42"/>
      <c r="H818" s="42"/>
      <c r="I818" s="42"/>
      <c r="J818" s="42"/>
      <c r="K818" s="42"/>
      <c r="L818" s="42"/>
      <c r="M818" s="42"/>
    </row>
    <row r="819">
      <c r="A819" s="42"/>
      <c r="B819" s="42"/>
      <c r="C819" s="42"/>
      <c r="D819" s="42"/>
      <c r="E819" s="42"/>
      <c r="F819" s="42"/>
      <c r="G819" s="42"/>
      <c r="H819" s="42"/>
      <c r="I819" s="42"/>
      <c r="J819" s="42"/>
      <c r="K819" s="42"/>
      <c r="L819" s="42"/>
      <c r="M819" s="42"/>
    </row>
    <row r="820">
      <c r="A820" s="42"/>
      <c r="B820" s="42"/>
      <c r="C820" s="42"/>
      <c r="D820" s="42"/>
      <c r="E820" s="42"/>
      <c r="F820" s="42"/>
      <c r="G820" s="42"/>
      <c r="H820" s="42"/>
      <c r="I820" s="42"/>
      <c r="J820" s="42"/>
      <c r="K820" s="42"/>
      <c r="L820" s="42"/>
      <c r="M820" s="42"/>
    </row>
    <row r="821">
      <c r="A821" s="42"/>
      <c r="B821" s="42"/>
      <c r="C821" s="42"/>
      <c r="D821" s="42"/>
      <c r="E821" s="42"/>
      <c r="F821" s="42"/>
      <c r="G821" s="42"/>
      <c r="H821" s="42"/>
      <c r="I821" s="42"/>
      <c r="J821" s="42"/>
      <c r="K821" s="42"/>
      <c r="L821" s="42"/>
      <c r="M821" s="42"/>
    </row>
    <row r="822">
      <c r="A822" s="42"/>
      <c r="B822" s="42"/>
      <c r="C822" s="42"/>
      <c r="D822" s="42"/>
      <c r="E822" s="42"/>
      <c r="F822" s="42"/>
      <c r="G822" s="42"/>
      <c r="H822" s="42"/>
      <c r="I822" s="42"/>
      <c r="J822" s="42"/>
      <c r="K822" s="42"/>
      <c r="L822" s="42"/>
      <c r="M822" s="42"/>
    </row>
    <row r="823">
      <c r="A823" s="42"/>
      <c r="B823" s="42"/>
      <c r="C823" s="42"/>
      <c r="D823" s="42"/>
      <c r="E823" s="42"/>
      <c r="F823" s="42"/>
      <c r="G823" s="42"/>
      <c r="H823" s="42"/>
      <c r="I823" s="42"/>
      <c r="J823" s="42"/>
      <c r="K823" s="42"/>
      <c r="L823" s="42"/>
      <c r="M823" s="42"/>
    </row>
    <row r="824">
      <c r="A824" s="42"/>
      <c r="B824" s="42"/>
      <c r="C824" s="42"/>
      <c r="D824" s="42"/>
      <c r="E824" s="42"/>
      <c r="F824" s="42"/>
      <c r="G824" s="42"/>
      <c r="H824" s="42"/>
      <c r="I824" s="42"/>
      <c r="J824" s="42"/>
      <c r="K824" s="42"/>
      <c r="L824" s="42"/>
      <c r="M824" s="42"/>
    </row>
    <row r="825">
      <c r="A825" s="42"/>
      <c r="B825" s="42"/>
      <c r="C825" s="42"/>
      <c r="D825" s="42"/>
      <c r="E825" s="42"/>
      <c r="F825" s="42"/>
      <c r="G825" s="42"/>
      <c r="H825" s="42"/>
      <c r="I825" s="42"/>
      <c r="J825" s="42"/>
      <c r="K825" s="42"/>
      <c r="L825" s="42"/>
      <c r="M825" s="42"/>
    </row>
    <row r="826">
      <c r="A826" s="42"/>
      <c r="B826" s="42"/>
      <c r="C826" s="42"/>
      <c r="D826" s="42"/>
      <c r="E826" s="42"/>
      <c r="F826" s="42"/>
      <c r="G826" s="42"/>
      <c r="H826" s="42"/>
      <c r="I826" s="42"/>
      <c r="J826" s="42"/>
      <c r="K826" s="42"/>
      <c r="L826" s="42"/>
      <c r="M826" s="42"/>
    </row>
    <row r="827">
      <c r="A827" s="42"/>
      <c r="B827" s="42"/>
      <c r="C827" s="42"/>
      <c r="D827" s="42"/>
      <c r="E827" s="42"/>
      <c r="F827" s="42"/>
      <c r="G827" s="42"/>
      <c r="H827" s="42"/>
      <c r="I827" s="42"/>
      <c r="J827" s="42"/>
      <c r="K827" s="42"/>
      <c r="L827" s="42"/>
      <c r="M827" s="42"/>
    </row>
    <row r="828">
      <c r="A828" s="42"/>
      <c r="B828" s="42"/>
      <c r="C828" s="42"/>
      <c r="D828" s="42"/>
      <c r="E828" s="42"/>
      <c r="F828" s="42"/>
      <c r="G828" s="42"/>
      <c r="H828" s="42"/>
      <c r="I828" s="42"/>
      <c r="J828" s="42"/>
      <c r="K828" s="42"/>
      <c r="L828" s="42"/>
      <c r="M828" s="42"/>
    </row>
    <row r="829">
      <c r="A829" s="42"/>
      <c r="B829" s="42"/>
      <c r="C829" s="42"/>
      <c r="D829" s="42"/>
      <c r="E829" s="42"/>
      <c r="F829" s="42"/>
      <c r="G829" s="42"/>
      <c r="H829" s="42"/>
      <c r="I829" s="42"/>
      <c r="J829" s="42"/>
      <c r="K829" s="42"/>
      <c r="L829" s="42"/>
      <c r="M829" s="42"/>
    </row>
    <row r="830">
      <c r="A830" s="42"/>
      <c r="B830" s="42"/>
      <c r="C830" s="42"/>
      <c r="D830" s="42"/>
      <c r="E830" s="42"/>
      <c r="F830" s="42"/>
      <c r="G830" s="42"/>
      <c r="H830" s="42"/>
      <c r="I830" s="42"/>
      <c r="J830" s="42"/>
      <c r="K830" s="42"/>
      <c r="L830" s="42"/>
      <c r="M830" s="42"/>
    </row>
    <row r="831">
      <c r="A831" s="42"/>
      <c r="B831" s="42"/>
      <c r="C831" s="42"/>
      <c r="D831" s="42"/>
      <c r="E831" s="42"/>
      <c r="F831" s="42"/>
      <c r="G831" s="42"/>
      <c r="H831" s="42"/>
      <c r="I831" s="42"/>
      <c r="J831" s="42"/>
      <c r="K831" s="42"/>
      <c r="L831" s="42"/>
      <c r="M831" s="42"/>
    </row>
    <row r="832">
      <c r="A832" s="42"/>
      <c r="B832" s="42"/>
      <c r="C832" s="42"/>
      <c r="D832" s="42"/>
      <c r="E832" s="42"/>
      <c r="F832" s="42"/>
      <c r="G832" s="42"/>
      <c r="H832" s="42"/>
      <c r="I832" s="42"/>
      <c r="J832" s="42"/>
      <c r="K832" s="42"/>
      <c r="L832" s="42"/>
      <c r="M832" s="42"/>
    </row>
    <row r="833">
      <c r="A833" s="42"/>
      <c r="B833" s="42"/>
      <c r="C833" s="42"/>
      <c r="D833" s="42"/>
      <c r="E833" s="42"/>
      <c r="F833" s="42"/>
      <c r="G833" s="42"/>
      <c r="H833" s="42"/>
      <c r="I833" s="42"/>
      <c r="J833" s="42"/>
      <c r="K833" s="42"/>
      <c r="L833" s="42"/>
      <c r="M833" s="42"/>
    </row>
    <row r="834">
      <c r="A834" s="42"/>
      <c r="B834" s="42"/>
      <c r="C834" s="42"/>
      <c r="D834" s="42"/>
      <c r="E834" s="42"/>
      <c r="F834" s="42"/>
      <c r="G834" s="42"/>
      <c r="H834" s="42"/>
      <c r="I834" s="42"/>
      <c r="J834" s="42"/>
      <c r="K834" s="42"/>
      <c r="L834" s="42"/>
      <c r="M834" s="42"/>
    </row>
    <row r="835">
      <c r="A835" s="42"/>
      <c r="B835" s="42"/>
      <c r="C835" s="42"/>
      <c r="D835" s="42"/>
      <c r="E835" s="42"/>
      <c r="F835" s="42"/>
      <c r="G835" s="42"/>
      <c r="H835" s="42"/>
      <c r="I835" s="42"/>
      <c r="J835" s="42"/>
      <c r="K835" s="42"/>
      <c r="L835" s="42"/>
      <c r="M835" s="42"/>
    </row>
    <row r="836">
      <c r="A836" s="42"/>
      <c r="B836" s="42"/>
      <c r="C836" s="42"/>
      <c r="D836" s="42"/>
      <c r="E836" s="42"/>
      <c r="F836" s="42"/>
      <c r="G836" s="42"/>
      <c r="H836" s="42"/>
      <c r="I836" s="42"/>
      <c r="J836" s="42"/>
      <c r="K836" s="42"/>
      <c r="L836" s="42"/>
      <c r="M836" s="42"/>
    </row>
    <row r="837">
      <c r="A837" s="42"/>
      <c r="B837" s="42"/>
      <c r="C837" s="42"/>
      <c r="D837" s="42"/>
      <c r="E837" s="42"/>
      <c r="F837" s="42"/>
      <c r="G837" s="42"/>
      <c r="H837" s="42"/>
      <c r="I837" s="42"/>
      <c r="J837" s="42"/>
      <c r="K837" s="42"/>
      <c r="L837" s="42"/>
      <c r="M837" s="42"/>
    </row>
    <row r="838">
      <c r="A838" s="42"/>
      <c r="B838" s="42"/>
      <c r="C838" s="42"/>
      <c r="D838" s="42"/>
      <c r="E838" s="42"/>
      <c r="F838" s="42"/>
      <c r="G838" s="42"/>
      <c r="H838" s="42"/>
      <c r="I838" s="42"/>
      <c r="J838" s="42"/>
      <c r="K838" s="42"/>
      <c r="L838" s="42"/>
      <c r="M838" s="42"/>
    </row>
    <row r="839">
      <c r="A839" s="42"/>
      <c r="B839" s="42"/>
      <c r="C839" s="42"/>
      <c r="D839" s="42"/>
      <c r="E839" s="42"/>
      <c r="F839" s="42"/>
      <c r="G839" s="42"/>
      <c r="H839" s="42"/>
      <c r="I839" s="42"/>
      <c r="J839" s="42"/>
      <c r="K839" s="42"/>
      <c r="L839" s="42"/>
      <c r="M839" s="42"/>
    </row>
    <row r="840">
      <c r="A840" s="42"/>
      <c r="B840" s="42"/>
      <c r="C840" s="42"/>
      <c r="D840" s="42"/>
      <c r="E840" s="42"/>
      <c r="F840" s="42"/>
      <c r="G840" s="42"/>
      <c r="H840" s="42"/>
      <c r="I840" s="42"/>
      <c r="J840" s="42"/>
      <c r="K840" s="42"/>
      <c r="L840" s="42"/>
      <c r="M840" s="42"/>
    </row>
    <row r="841">
      <c r="A841" s="42"/>
      <c r="B841" s="42"/>
      <c r="C841" s="42"/>
      <c r="D841" s="42"/>
      <c r="E841" s="42"/>
      <c r="F841" s="42"/>
      <c r="G841" s="42"/>
      <c r="H841" s="42"/>
      <c r="I841" s="42"/>
      <c r="J841" s="42"/>
      <c r="K841" s="42"/>
      <c r="L841" s="42"/>
      <c r="M841" s="42"/>
    </row>
    <row r="842">
      <c r="A842" s="42"/>
      <c r="B842" s="42"/>
      <c r="C842" s="42"/>
      <c r="D842" s="42"/>
      <c r="E842" s="42"/>
      <c r="F842" s="42"/>
      <c r="G842" s="42"/>
      <c r="H842" s="42"/>
      <c r="I842" s="42"/>
      <c r="J842" s="42"/>
      <c r="K842" s="42"/>
      <c r="L842" s="42"/>
      <c r="M842" s="42"/>
    </row>
    <row r="843">
      <c r="A843" s="42"/>
      <c r="B843" s="42"/>
      <c r="C843" s="42"/>
      <c r="D843" s="42"/>
      <c r="E843" s="42"/>
      <c r="F843" s="42"/>
      <c r="G843" s="42"/>
      <c r="H843" s="42"/>
      <c r="I843" s="42"/>
      <c r="J843" s="42"/>
      <c r="K843" s="42"/>
      <c r="L843" s="42"/>
      <c r="M843" s="42"/>
    </row>
    <row r="844">
      <c r="A844" s="42"/>
      <c r="B844" s="42"/>
      <c r="C844" s="42"/>
      <c r="D844" s="42"/>
      <c r="E844" s="42"/>
      <c r="F844" s="42"/>
      <c r="G844" s="42"/>
      <c r="H844" s="42"/>
      <c r="I844" s="42"/>
      <c r="J844" s="42"/>
      <c r="K844" s="42"/>
      <c r="L844" s="42"/>
      <c r="M844" s="42"/>
    </row>
    <row r="845">
      <c r="A845" s="42"/>
      <c r="B845" s="42"/>
      <c r="C845" s="42"/>
      <c r="D845" s="42"/>
      <c r="E845" s="42"/>
      <c r="F845" s="42"/>
      <c r="G845" s="42"/>
      <c r="H845" s="42"/>
      <c r="I845" s="42"/>
      <c r="J845" s="42"/>
      <c r="K845" s="42"/>
      <c r="L845" s="42"/>
      <c r="M845" s="42"/>
    </row>
    <row r="846">
      <c r="A846" s="42"/>
      <c r="B846" s="42"/>
      <c r="C846" s="42"/>
      <c r="D846" s="42"/>
      <c r="E846" s="42"/>
      <c r="F846" s="42"/>
      <c r="G846" s="42"/>
      <c r="H846" s="42"/>
      <c r="I846" s="42"/>
      <c r="J846" s="42"/>
      <c r="K846" s="42"/>
      <c r="L846" s="42"/>
      <c r="M846" s="42"/>
    </row>
    <row r="847">
      <c r="A847" s="42"/>
      <c r="B847" s="42"/>
      <c r="C847" s="42"/>
      <c r="D847" s="42"/>
      <c r="E847" s="42"/>
      <c r="F847" s="42"/>
      <c r="G847" s="42"/>
      <c r="H847" s="42"/>
      <c r="I847" s="42"/>
      <c r="J847" s="42"/>
      <c r="K847" s="42"/>
      <c r="L847" s="42"/>
      <c r="M847" s="42"/>
    </row>
    <row r="848">
      <c r="A848" s="42"/>
      <c r="B848" s="42"/>
      <c r="C848" s="42"/>
      <c r="D848" s="42"/>
      <c r="E848" s="42"/>
      <c r="F848" s="42"/>
      <c r="G848" s="42"/>
      <c r="H848" s="42"/>
      <c r="I848" s="42"/>
      <c r="J848" s="42"/>
      <c r="K848" s="42"/>
      <c r="L848" s="42"/>
      <c r="M848" s="42"/>
    </row>
    <row r="849">
      <c r="A849" s="42"/>
      <c r="B849" s="42"/>
      <c r="C849" s="42"/>
      <c r="D849" s="42"/>
      <c r="E849" s="42"/>
      <c r="F849" s="42"/>
      <c r="G849" s="42"/>
      <c r="H849" s="42"/>
      <c r="I849" s="42"/>
      <c r="J849" s="42"/>
      <c r="K849" s="42"/>
      <c r="L849" s="42"/>
      <c r="M849" s="42"/>
    </row>
    <row r="850">
      <c r="A850" s="42"/>
      <c r="B850" s="42"/>
      <c r="C850" s="42"/>
      <c r="D850" s="42"/>
      <c r="E850" s="42"/>
      <c r="F850" s="42"/>
      <c r="G850" s="42"/>
      <c r="H850" s="42"/>
      <c r="I850" s="42"/>
      <c r="J850" s="42"/>
      <c r="K850" s="42"/>
      <c r="L850" s="42"/>
      <c r="M850" s="42"/>
    </row>
    <row r="851">
      <c r="A851" s="42"/>
      <c r="B851" s="42"/>
      <c r="C851" s="42"/>
      <c r="D851" s="42"/>
      <c r="E851" s="42"/>
      <c r="F851" s="42"/>
      <c r="G851" s="42"/>
      <c r="H851" s="42"/>
      <c r="I851" s="42"/>
      <c r="J851" s="42"/>
      <c r="K851" s="42"/>
      <c r="L851" s="42"/>
      <c r="M851" s="42"/>
    </row>
    <row r="852">
      <c r="A852" s="42"/>
      <c r="B852" s="42"/>
      <c r="C852" s="42"/>
      <c r="D852" s="42"/>
      <c r="E852" s="42"/>
      <c r="F852" s="42"/>
      <c r="G852" s="42"/>
      <c r="H852" s="42"/>
      <c r="I852" s="42"/>
      <c r="J852" s="42"/>
      <c r="K852" s="42"/>
      <c r="L852" s="42"/>
      <c r="M852" s="42"/>
    </row>
    <row r="853">
      <c r="A853" s="42"/>
      <c r="B853" s="42"/>
      <c r="C853" s="42"/>
      <c r="D853" s="42"/>
      <c r="E853" s="42"/>
      <c r="F853" s="42"/>
      <c r="G853" s="42"/>
      <c r="H853" s="42"/>
      <c r="I853" s="42"/>
      <c r="J853" s="42"/>
      <c r="K853" s="42"/>
      <c r="L853" s="42"/>
      <c r="M853" s="42"/>
    </row>
    <row r="854">
      <c r="A854" s="42"/>
      <c r="B854" s="42"/>
      <c r="C854" s="42"/>
      <c r="D854" s="42"/>
      <c r="E854" s="42"/>
      <c r="F854" s="42"/>
      <c r="G854" s="42"/>
      <c r="H854" s="42"/>
      <c r="I854" s="42"/>
      <c r="J854" s="42"/>
      <c r="K854" s="42"/>
      <c r="L854" s="42"/>
      <c r="M854" s="42"/>
    </row>
    <row r="855">
      <c r="A855" s="42"/>
      <c r="B855" s="42"/>
      <c r="C855" s="42"/>
      <c r="D855" s="42"/>
      <c r="E855" s="42"/>
      <c r="F855" s="42"/>
      <c r="G855" s="42"/>
      <c r="H855" s="42"/>
      <c r="I855" s="42"/>
      <c r="J855" s="42"/>
      <c r="K855" s="42"/>
      <c r="L855" s="42"/>
      <c r="M855" s="42"/>
    </row>
    <row r="856">
      <c r="A856" s="42"/>
      <c r="B856" s="42"/>
      <c r="C856" s="42"/>
      <c r="D856" s="42"/>
      <c r="E856" s="42"/>
      <c r="F856" s="42"/>
      <c r="G856" s="42"/>
      <c r="H856" s="42"/>
      <c r="I856" s="42"/>
      <c r="J856" s="42"/>
      <c r="K856" s="42"/>
      <c r="L856" s="42"/>
      <c r="M856" s="42"/>
    </row>
    <row r="857">
      <c r="A857" s="42"/>
      <c r="B857" s="42"/>
      <c r="C857" s="42"/>
      <c r="D857" s="42"/>
      <c r="E857" s="42"/>
      <c r="F857" s="42"/>
      <c r="G857" s="42"/>
      <c r="H857" s="42"/>
      <c r="I857" s="42"/>
      <c r="J857" s="42"/>
      <c r="K857" s="42"/>
      <c r="L857" s="42"/>
      <c r="M857" s="42"/>
    </row>
    <row r="858">
      <c r="A858" s="42"/>
      <c r="B858" s="42"/>
      <c r="C858" s="42"/>
      <c r="D858" s="42"/>
      <c r="E858" s="42"/>
      <c r="F858" s="42"/>
      <c r="G858" s="42"/>
      <c r="H858" s="42"/>
      <c r="I858" s="42"/>
      <c r="J858" s="42"/>
      <c r="K858" s="42"/>
      <c r="L858" s="42"/>
      <c r="M858" s="42"/>
    </row>
    <row r="859">
      <c r="A859" s="42"/>
      <c r="B859" s="42"/>
      <c r="C859" s="42"/>
      <c r="D859" s="42"/>
      <c r="E859" s="42"/>
      <c r="F859" s="42"/>
      <c r="G859" s="42"/>
      <c r="H859" s="42"/>
      <c r="I859" s="42"/>
      <c r="J859" s="42"/>
      <c r="K859" s="42"/>
      <c r="L859" s="42"/>
      <c r="M859" s="42"/>
    </row>
    <row r="860">
      <c r="A860" s="42"/>
      <c r="B860" s="42"/>
      <c r="C860" s="42"/>
      <c r="D860" s="42"/>
      <c r="E860" s="42"/>
      <c r="F860" s="42"/>
      <c r="G860" s="42"/>
      <c r="H860" s="42"/>
      <c r="I860" s="42"/>
      <c r="J860" s="42"/>
      <c r="K860" s="42"/>
      <c r="L860" s="42"/>
      <c r="M860" s="42"/>
    </row>
    <row r="861">
      <c r="A861" s="42"/>
      <c r="B861" s="42"/>
      <c r="C861" s="42"/>
      <c r="D861" s="42"/>
      <c r="E861" s="42"/>
      <c r="F861" s="42"/>
      <c r="G861" s="42"/>
      <c r="H861" s="42"/>
      <c r="I861" s="42"/>
      <c r="J861" s="42"/>
      <c r="K861" s="42"/>
      <c r="L861" s="42"/>
      <c r="M861" s="42"/>
    </row>
    <row r="862">
      <c r="A862" s="42"/>
      <c r="B862" s="42"/>
      <c r="C862" s="42"/>
      <c r="D862" s="42"/>
      <c r="E862" s="42"/>
      <c r="F862" s="42"/>
      <c r="G862" s="42"/>
      <c r="H862" s="42"/>
      <c r="I862" s="42"/>
      <c r="J862" s="42"/>
      <c r="K862" s="42"/>
      <c r="L862" s="42"/>
      <c r="M862" s="42"/>
    </row>
    <row r="863">
      <c r="A863" s="42"/>
      <c r="B863" s="42"/>
      <c r="C863" s="42"/>
      <c r="D863" s="42"/>
      <c r="E863" s="42"/>
      <c r="F863" s="42"/>
      <c r="G863" s="42"/>
      <c r="H863" s="42"/>
      <c r="I863" s="42"/>
      <c r="J863" s="42"/>
      <c r="K863" s="42"/>
      <c r="L863" s="42"/>
      <c r="M863" s="42"/>
    </row>
    <row r="864">
      <c r="A864" s="42"/>
      <c r="B864" s="42"/>
      <c r="C864" s="42"/>
      <c r="D864" s="42"/>
      <c r="E864" s="42"/>
      <c r="F864" s="42"/>
      <c r="G864" s="42"/>
      <c r="H864" s="42"/>
      <c r="I864" s="42"/>
      <c r="J864" s="42"/>
      <c r="K864" s="42"/>
      <c r="L864" s="42"/>
      <c r="M864" s="42"/>
    </row>
    <row r="865">
      <c r="A865" s="42"/>
      <c r="B865" s="42"/>
      <c r="C865" s="42"/>
      <c r="D865" s="42"/>
      <c r="E865" s="42"/>
      <c r="F865" s="42"/>
      <c r="G865" s="42"/>
      <c r="H865" s="42"/>
      <c r="I865" s="42"/>
      <c r="J865" s="42"/>
      <c r="K865" s="42"/>
      <c r="L865" s="42"/>
      <c r="M865" s="42"/>
    </row>
    <row r="866">
      <c r="A866" s="42"/>
      <c r="B866" s="42"/>
      <c r="C866" s="42"/>
      <c r="D866" s="42"/>
      <c r="E866" s="42"/>
      <c r="F866" s="42"/>
      <c r="G866" s="42"/>
      <c r="H866" s="42"/>
      <c r="I866" s="42"/>
      <c r="J866" s="42"/>
      <c r="K866" s="42"/>
      <c r="L866" s="42"/>
      <c r="M866" s="42"/>
    </row>
    <row r="867">
      <c r="A867" s="42"/>
      <c r="B867" s="42"/>
      <c r="C867" s="42"/>
      <c r="D867" s="42"/>
      <c r="E867" s="42"/>
      <c r="F867" s="42"/>
      <c r="G867" s="42"/>
      <c r="H867" s="42"/>
      <c r="I867" s="42"/>
      <c r="J867" s="42"/>
      <c r="K867" s="42"/>
      <c r="L867" s="42"/>
      <c r="M867" s="42"/>
    </row>
    <row r="868">
      <c r="A868" s="42"/>
      <c r="B868" s="42"/>
      <c r="C868" s="42"/>
      <c r="D868" s="42"/>
      <c r="E868" s="42"/>
      <c r="F868" s="42"/>
      <c r="G868" s="42"/>
      <c r="H868" s="42"/>
      <c r="I868" s="42"/>
      <c r="J868" s="42"/>
      <c r="K868" s="42"/>
      <c r="L868" s="42"/>
      <c r="M868" s="42"/>
    </row>
    <row r="869">
      <c r="A869" s="42"/>
      <c r="B869" s="42"/>
      <c r="C869" s="42"/>
      <c r="D869" s="42"/>
      <c r="E869" s="42"/>
      <c r="F869" s="42"/>
      <c r="G869" s="42"/>
      <c r="H869" s="42"/>
      <c r="I869" s="42"/>
      <c r="J869" s="42"/>
      <c r="K869" s="42"/>
      <c r="L869" s="42"/>
      <c r="M869" s="42"/>
    </row>
    <row r="870">
      <c r="A870" s="42"/>
      <c r="B870" s="42"/>
      <c r="C870" s="42"/>
      <c r="D870" s="42"/>
      <c r="E870" s="42"/>
      <c r="F870" s="42"/>
      <c r="G870" s="42"/>
      <c r="H870" s="42"/>
      <c r="I870" s="42"/>
      <c r="J870" s="42"/>
      <c r="K870" s="42"/>
      <c r="L870" s="42"/>
      <c r="M870" s="42"/>
    </row>
    <row r="871">
      <c r="A871" s="42"/>
      <c r="B871" s="42"/>
      <c r="C871" s="42"/>
      <c r="D871" s="42"/>
      <c r="E871" s="42"/>
      <c r="F871" s="42"/>
      <c r="G871" s="42"/>
      <c r="H871" s="42"/>
      <c r="I871" s="42"/>
      <c r="J871" s="42"/>
      <c r="K871" s="42"/>
      <c r="L871" s="42"/>
      <c r="M871" s="42"/>
    </row>
    <row r="872">
      <c r="A872" s="42"/>
      <c r="B872" s="42"/>
      <c r="C872" s="42"/>
      <c r="D872" s="42"/>
      <c r="E872" s="42"/>
      <c r="F872" s="42"/>
      <c r="G872" s="42"/>
      <c r="H872" s="42"/>
      <c r="I872" s="42"/>
      <c r="J872" s="42"/>
      <c r="K872" s="42"/>
      <c r="L872" s="42"/>
      <c r="M872" s="42"/>
    </row>
    <row r="873">
      <c r="A873" s="42"/>
      <c r="B873" s="42"/>
      <c r="C873" s="42"/>
      <c r="D873" s="42"/>
      <c r="E873" s="42"/>
      <c r="F873" s="42"/>
      <c r="G873" s="42"/>
      <c r="H873" s="42"/>
      <c r="I873" s="42"/>
      <c r="J873" s="42"/>
      <c r="K873" s="42"/>
      <c r="L873" s="42"/>
      <c r="M873" s="42"/>
    </row>
    <row r="874">
      <c r="A874" s="42"/>
      <c r="B874" s="42"/>
      <c r="C874" s="42"/>
      <c r="D874" s="42"/>
      <c r="E874" s="42"/>
      <c r="F874" s="42"/>
      <c r="G874" s="42"/>
      <c r="H874" s="42"/>
      <c r="I874" s="42"/>
      <c r="J874" s="42"/>
      <c r="K874" s="42"/>
      <c r="L874" s="42"/>
      <c r="M874" s="42"/>
    </row>
    <row r="875">
      <c r="A875" s="42"/>
      <c r="B875" s="42"/>
      <c r="C875" s="42"/>
      <c r="D875" s="42"/>
      <c r="E875" s="42"/>
      <c r="F875" s="42"/>
      <c r="G875" s="42"/>
      <c r="H875" s="42"/>
      <c r="I875" s="42"/>
      <c r="J875" s="42"/>
      <c r="K875" s="42"/>
      <c r="L875" s="42"/>
      <c r="M875" s="42"/>
    </row>
    <row r="876">
      <c r="A876" s="42"/>
      <c r="B876" s="42"/>
      <c r="C876" s="42"/>
      <c r="D876" s="42"/>
      <c r="E876" s="42"/>
      <c r="F876" s="42"/>
      <c r="G876" s="42"/>
      <c r="H876" s="42"/>
      <c r="I876" s="42"/>
      <c r="J876" s="42"/>
      <c r="K876" s="42"/>
      <c r="L876" s="42"/>
      <c r="M876" s="42"/>
    </row>
    <row r="877">
      <c r="A877" s="42"/>
      <c r="B877" s="42"/>
      <c r="C877" s="42"/>
      <c r="D877" s="42"/>
      <c r="E877" s="42"/>
      <c r="F877" s="42"/>
      <c r="G877" s="42"/>
      <c r="H877" s="42"/>
      <c r="I877" s="42"/>
      <c r="J877" s="42"/>
      <c r="K877" s="42"/>
      <c r="L877" s="42"/>
      <c r="M877" s="42"/>
    </row>
    <row r="878">
      <c r="A878" s="42"/>
      <c r="B878" s="42"/>
      <c r="C878" s="42"/>
      <c r="D878" s="42"/>
      <c r="E878" s="42"/>
      <c r="F878" s="42"/>
      <c r="G878" s="42"/>
      <c r="H878" s="42"/>
      <c r="I878" s="42"/>
      <c r="J878" s="42"/>
      <c r="K878" s="42"/>
      <c r="L878" s="42"/>
      <c r="M878" s="42"/>
    </row>
    <row r="879">
      <c r="A879" s="42"/>
      <c r="B879" s="42"/>
      <c r="C879" s="42"/>
      <c r="D879" s="42"/>
      <c r="E879" s="42"/>
      <c r="F879" s="42"/>
      <c r="G879" s="42"/>
      <c r="H879" s="42"/>
      <c r="I879" s="42"/>
      <c r="J879" s="42"/>
      <c r="K879" s="42"/>
      <c r="L879" s="42"/>
      <c r="M879" s="42"/>
    </row>
    <row r="880">
      <c r="A880" s="42"/>
      <c r="B880" s="42"/>
      <c r="C880" s="42"/>
      <c r="D880" s="42"/>
      <c r="E880" s="42"/>
      <c r="F880" s="42"/>
      <c r="G880" s="42"/>
      <c r="H880" s="42"/>
      <c r="I880" s="42"/>
      <c r="J880" s="42"/>
      <c r="K880" s="42"/>
      <c r="L880" s="42"/>
      <c r="M880" s="42"/>
    </row>
    <row r="881">
      <c r="A881" s="42"/>
      <c r="B881" s="42"/>
      <c r="C881" s="42"/>
      <c r="D881" s="42"/>
      <c r="E881" s="42"/>
      <c r="F881" s="42"/>
      <c r="G881" s="42"/>
      <c r="H881" s="42"/>
      <c r="I881" s="42"/>
      <c r="J881" s="42"/>
      <c r="K881" s="42"/>
      <c r="L881" s="42"/>
      <c r="M881" s="42"/>
    </row>
    <row r="882">
      <c r="A882" s="42"/>
      <c r="B882" s="42"/>
      <c r="C882" s="42"/>
      <c r="D882" s="42"/>
      <c r="E882" s="42"/>
      <c r="F882" s="42"/>
      <c r="G882" s="42"/>
      <c r="H882" s="42"/>
      <c r="I882" s="42"/>
      <c r="J882" s="42"/>
      <c r="K882" s="42"/>
      <c r="L882" s="42"/>
      <c r="M882" s="42"/>
    </row>
    <row r="883">
      <c r="A883" s="42"/>
      <c r="B883" s="42"/>
      <c r="C883" s="42"/>
      <c r="D883" s="42"/>
      <c r="E883" s="42"/>
      <c r="F883" s="42"/>
      <c r="G883" s="42"/>
      <c r="H883" s="42"/>
      <c r="I883" s="42"/>
      <c r="J883" s="42"/>
      <c r="K883" s="42"/>
      <c r="L883" s="42"/>
      <c r="M883" s="42"/>
    </row>
    <row r="884">
      <c r="A884" s="42"/>
      <c r="B884" s="42"/>
      <c r="C884" s="42"/>
      <c r="D884" s="42"/>
      <c r="E884" s="42"/>
      <c r="F884" s="42"/>
      <c r="G884" s="42"/>
      <c r="H884" s="42"/>
      <c r="I884" s="42"/>
      <c r="J884" s="42"/>
      <c r="K884" s="42"/>
      <c r="L884" s="42"/>
      <c r="M884" s="42"/>
    </row>
    <row r="885">
      <c r="A885" s="42"/>
      <c r="B885" s="42"/>
      <c r="C885" s="42"/>
      <c r="D885" s="42"/>
      <c r="E885" s="42"/>
      <c r="F885" s="42"/>
      <c r="G885" s="42"/>
      <c r="H885" s="42"/>
      <c r="I885" s="42"/>
      <c r="J885" s="42"/>
      <c r="K885" s="42"/>
      <c r="L885" s="42"/>
      <c r="M885" s="42"/>
    </row>
    <row r="886">
      <c r="A886" s="42"/>
      <c r="B886" s="42"/>
      <c r="C886" s="42"/>
      <c r="D886" s="42"/>
      <c r="E886" s="42"/>
      <c r="F886" s="42"/>
      <c r="G886" s="42"/>
      <c r="H886" s="42"/>
      <c r="I886" s="42"/>
      <c r="J886" s="42"/>
      <c r="K886" s="42"/>
      <c r="L886" s="42"/>
      <c r="M886" s="42"/>
    </row>
    <row r="887">
      <c r="A887" s="42"/>
      <c r="B887" s="42"/>
      <c r="C887" s="42"/>
      <c r="D887" s="42"/>
      <c r="E887" s="42"/>
      <c r="F887" s="42"/>
      <c r="G887" s="42"/>
      <c r="H887" s="42"/>
      <c r="I887" s="42"/>
      <c r="J887" s="42"/>
      <c r="K887" s="42"/>
      <c r="L887" s="42"/>
      <c r="M887" s="42"/>
    </row>
    <row r="888">
      <c r="A888" s="42"/>
      <c r="B888" s="42"/>
      <c r="C888" s="42"/>
      <c r="D888" s="42"/>
      <c r="E888" s="42"/>
      <c r="F888" s="42"/>
      <c r="G888" s="42"/>
      <c r="H888" s="42"/>
      <c r="I888" s="42"/>
      <c r="J888" s="42"/>
      <c r="K888" s="42"/>
      <c r="L888" s="42"/>
      <c r="M888" s="42"/>
    </row>
    <row r="889">
      <c r="A889" s="42"/>
      <c r="B889" s="42"/>
      <c r="C889" s="42"/>
      <c r="D889" s="42"/>
      <c r="E889" s="42"/>
      <c r="F889" s="42"/>
      <c r="G889" s="42"/>
      <c r="H889" s="42"/>
      <c r="I889" s="42"/>
      <c r="J889" s="42"/>
      <c r="K889" s="42"/>
      <c r="L889" s="42"/>
      <c r="M889" s="42"/>
    </row>
    <row r="890">
      <c r="A890" s="42"/>
      <c r="B890" s="42"/>
      <c r="C890" s="42"/>
      <c r="D890" s="42"/>
      <c r="E890" s="42"/>
      <c r="F890" s="42"/>
      <c r="G890" s="42"/>
      <c r="H890" s="42"/>
      <c r="I890" s="42"/>
      <c r="J890" s="42"/>
      <c r="K890" s="42"/>
      <c r="L890" s="42"/>
      <c r="M890" s="42"/>
    </row>
    <row r="891">
      <c r="A891" s="42"/>
      <c r="B891" s="42"/>
      <c r="C891" s="42"/>
      <c r="D891" s="42"/>
      <c r="E891" s="42"/>
      <c r="F891" s="42"/>
      <c r="G891" s="42"/>
      <c r="H891" s="42"/>
      <c r="I891" s="42"/>
      <c r="J891" s="42"/>
      <c r="K891" s="42"/>
      <c r="L891" s="42"/>
      <c r="M891" s="42"/>
    </row>
    <row r="892">
      <c r="A892" s="42"/>
      <c r="B892" s="42"/>
      <c r="C892" s="42"/>
      <c r="D892" s="42"/>
      <c r="E892" s="42"/>
      <c r="F892" s="42"/>
      <c r="G892" s="42"/>
      <c r="H892" s="42"/>
      <c r="I892" s="42"/>
      <c r="J892" s="42"/>
      <c r="K892" s="42"/>
      <c r="L892" s="42"/>
      <c r="M892" s="42"/>
    </row>
    <row r="893">
      <c r="A893" s="42"/>
      <c r="B893" s="42"/>
      <c r="C893" s="42"/>
      <c r="D893" s="42"/>
      <c r="E893" s="42"/>
      <c r="F893" s="42"/>
      <c r="G893" s="42"/>
      <c r="H893" s="42"/>
      <c r="I893" s="42"/>
      <c r="J893" s="42"/>
      <c r="K893" s="42"/>
      <c r="L893" s="42"/>
      <c r="M893" s="42"/>
    </row>
    <row r="894">
      <c r="A894" s="42"/>
      <c r="B894" s="42"/>
      <c r="C894" s="42"/>
      <c r="D894" s="42"/>
      <c r="E894" s="42"/>
      <c r="F894" s="42"/>
      <c r="G894" s="42"/>
      <c r="H894" s="42"/>
      <c r="I894" s="42"/>
      <c r="J894" s="42"/>
      <c r="K894" s="42"/>
      <c r="L894" s="42"/>
      <c r="M894" s="42"/>
    </row>
    <row r="895">
      <c r="A895" s="42"/>
      <c r="B895" s="42"/>
      <c r="C895" s="42"/>
      <c r="D895" s="42"/>
      <c r="E895" s="42"/>
      <c r="F895" s="42"/>
      <c r="G895" s="42"/>
      <c r="H895" s="42"/>
      <c r="I895" s="42"/>
      <c r="J895" s="42"/>
      <c r="K895" s="42"/>
      <c r="L895" s="42"/>
      <c r="M895" s="42"/>
    </row>
    <row r="896">
      <c r="A896" s="42"/>
      <c r="B896" s="42"/>
      <c r="C896" s="42"/>
      <c r="D896" s="42"/>
      <c r="E896" s="42"/>
      <c r="F896" s="42"/>
      <c r="G896" s="42"/>
      <c r="H896" s="42"/>
      <c r="I896" s="42"/>
      <c r="J896" s="42"/>
      <c r="K896" s="42"/>
      <c r="L896" s="42"/>
      <c r="M896" s="42"/>
    </row>
    <row r="897">
      <c r="A897" s="42"/>
      <c r="B897" s="42"/>
      <c r="C897" s="42"/>
      <c r="D897" s="42"/>
      <c r="E897" s="42"/>
      <c r="F897" s="42"/>
      <c r="G897" s="42"/>
      <c r="H897" s="42"/>
      <c r="I897" s="42"/>
      <c r="J897" s="42"/>
      <c r="K897" s="42"/>
      <c r="L897" s="42"/>
      <c r="M897" s="42"/>
    </row>
    <row r="898">
      <c r="A898" s="42"/>
      <c r="B898" s="42"/>
      <c r="C898" s="42"/>
      <c r="D898" s="42"/>
      <c r="E898" s="42"/>
      <c r="F898" s="42"/>
      <c r="G898" s="42"/>
      <c r="H898" s="42"/>
      <c r="I898" s="42"/>
      <c r="J898" s="42"/>
      <c r="K898" s="42"/>
      <c r="L898" s="42"/>
      <c r="M898" s="42"/>
    </row>
    <row r="899">
      <c r="A899" s="42"/>
      <c r="B899" s="42"/>
      <c r="C899" s="42"/>
      <c r="D899" s="42"/>
      <c r="E899" s="42"/>
      <c r="F899" s="42"/>
      <c r="G899" s="42"/>
      <c r="H899" s="42"/>
      <c r="I899" s="42"/>
      <c r="J899" s="42"/>
      <c r="K899" s="42"/>
      <c r="L899" s="42"/>
      <c r="M899" s="42"/>
    </row>
    <row r="900">
      <c r="A900" s="42"/>
      <c r="B900" s="42"/>
      <c r="C900" s="42"/>
      <c r="D900" s="42"/>
      <c r="E900" s="42"/>
      <c r="F900" s="42"/>
      <c r="G900" s="42"/>
      <c r="H900" s="42"/>
      <c r="I900" s="42"/>
      <c r="J900" s="42"/>
      <c r="K900" s="42"/>
      <c r="L900" s="42"/>
      <c r="M900" s="42"/>
    </row>
    <row r="901">
      <c r="A901" s="42"/>
      <c r="B901" s="42"/>
      <c r="C901" s="42"/>
      <c r="D901" s="42"/>
      <c r="E901" s="42"/>
      <c r="F901" s="42"/>
      <c r="G901" s="42"/>
      <c r="H901" s="42"/>
      <c r="I901" s="42"/>
      <c r="J901" s="42"/>
      <c r="K901" s="42"/>
      <c r="L901" s="42"/>
      <c r="M901" s="42"/>
    </row>
    <row r="902">
      <c r="A902" s="42"/>
      <c r="B902" s="42"/>
      <c r="C902" s="42"/>
      <c r="D902" s="42"/>
      <c r="E902" s="42"/>
      <c r="F902" s="42"/>
      <c r="G902" s="42"/>
      <c r="H902" s="42"/>
      <c r="I902" s="42"/>
      <c r="J902" s="42"/>
      <c r="K902" s="42"/>
      <c r="L902" s="42"/>
      <c r="M902" s="42"/>
    </row>
    <row r="903">
      <c r="A903" s="42"/>
      <c r="B903" s="42"/>
      <c r="C903" s="42"/>
      <c r="D903" s="42"/>
      <c r="E903" s="42"/>
      <c r="F903" s="42"/>
      <c r="G903" s="42"/>
      <c r="H903" s="42"/>
      <c r="I903" s="42"/>
      <c r="J903" s="42"/>
      <c r="K903" s="42"/>
      <c r="L903" s="42"/>
      <c r="M903" s="42"/>
    </row>
    <row r="904">
      <c r="A904" s="42"/>
      <c r="B904" s="42"/>
      <c r="C904" s="42"/>
      <c r="D904" s="42"/>
      <c r="E904" s="42"/>
      <c r="F904" s="42"/>
      <c r="G904" s="42"/>
      <c r="H904" s="42"/>
      <c r="I904" s="42"/>
      <c r="J904" s="42"/>
      <c r="K904" s="42"/>
      <c r="L904" s="42"/>
      <c r="M904" s="42"/>
    </row>
    <row r="905">
      <c r="A905" s="42"/>
      <c r="B905" s="42"/>
      <c r="C905" s="42"/>
      <c r="D905" s="42"/>
      <c r="E905" s="42"/>
      <c r="F905" s="42"/>
      <c r="G905" s="42"/>
      <c r="H905" s="42"/>
      <c r="I905" s="42"/>
      <c r="J905" s="42"/>
      <c r="K905" s="42"/>
      <c r="L905" s="42"/>
      <c r="M905" s="42"/>
    </row>
    <row r="906">
      <c r="A906" s="42"/>
      <c r="B906" s="42"/>
      <c r="C906" s="42"/>
      <c r="D906" s="42"/>
      <c r="E906" s="42"/>
      <c r="F906" s="42"/>
      <c r="G906" s="42"/>
      <c r="H906" s="42"/>
      <c r="I906" s="42"/>
      <c r="J906" s="42"/>
      <c r="K906" s="42"/>
      <c r="L906" s="42"/>
      <c r="M906" s="42"/>
    </row>
    <row r="907">
      <c r="A907" s="42"/>
      <c r="B907" s="42"/>
      <c r="C907" s="42"/>
      <c r="D907" s="42"/>
      <c r="E907" s="42"/>
      <c r="F907" s="42"/>
      <c r="G907" s="42"/>
      <c r="H907" s="42"/>
      <c r="I907" s="42"/>
      <c r="J907" s="42"/>
      <c r="K907" s="42"/>
      <c r="L907" s="42"/>
      <c r="M907" s="42"/>
    </row>
    <row r="908">
      <c r="A908" s="42"/>
      <c r="B908" s="42"/>
      <c r="C908" s="42"/>
      <c r="D908" s="42"/>
      <c r="E908" s="42"/>
      <c r="F908" s="42"/>
      <c r="G908" s="42"/>
      <c r="H908" s="42"/>
      <c r="I908" s="42"/>
      <c r="J908" s="42"/>
      <c r="K908" s="42"/>
      <c r="L908" s="42"/>
      <c r="M908" s="42"/>
    </row>
    <row r="909">
      <c r="A909" s="42"/>
      <c r="B909" s="42"/>
      <c r="C909" s="42"/>
      <c r="D909" s="42"/>
      <c r="E909" s="42"/>
      <c r="F909" s="42"/>
      <c r="G909" s="42"/>
      <c r="H909" s="42"/>
      <c r="I909" s="42"/>
      <c r="J909" s="42"/>
      <c r="K909" s="42"/>
      <c r="L909" s="42"/>
      <c r="M909" s="42"/>
    </row>
    <row r="910">
      <c r="A910" s="42"/>
      <c r="B910" s="42"/>
      <c r="C910" s="42"/>
      <c r="D910" s="42"/>
      <c r="E910" s="42"/>
      <c r="F910" s="42"/>
      <c r="G910" s="42"/>
      <c r="H910" s="42"/>
      <c r="I910" s="42"/>
      <c r="J910" s="42"/>
      <c r="K910" s="42"/>
      <c r="L910" s="42"/>
      <c r="M910" s="42"/>
    </row>
    <row r="911">
      <c r="A911" s="42"/>
      <c r="B911" s="42"/>
      <c r="C911" s="42"/>
      <c r="D911" s="42"/>
      <c r="E911" s="42"/>
      <c r="F911" s="42"/>
      <c r="G911" s="42"/>
      <c r="H911" s="42"/>
      <c r="I911" s="42"/>
      <c r="J911" s="42"/>
      <c r="K911" s="42"/>
      <c r="L911" s="42"/>
      <c r="M911" s="42"/>
    </row>
    <row r="912">
      <c r="A912" s="42"/>
      <c r="B912" s="42"/>
      <c r="C912" s="42"/>
      <c r="D912" s="42"/>
      <c r="E912" s="42"/>
      <c r="F912" s="42"/>
      <c r="G912" s="42"/>
      <c r="H912" s="42"/>
      <c r="I912" s="42"/>
      <c r="J912" s="42"/>
      <c r="K912" s="42"/>
      <c r="L912" s="42"/>
      <c r="M912" s="42"/>
    </row>
    <row r="913">
      <c r="A913" s="42"/>
      <c r="B913" s="42"/>
      <c r="C913" s="42"/>
      <c r="D913" s="42"/>
      <c r="E913" s="42"/>
      <c r="F913" s="42"/>
      <c r="G913" s="42"/>
      <c r="H913" s="42"/>
      <c r="I913" s="42"/>
      <c r="J913" s="42"/>
      <c r="K913" s="42"/>
      <c r="L913" s="42"/>
      <c r="M913" s="42"/>
    </row>
    <row r="914">
      <c r="A914" s="42"/>
      <c r="B914" s="42"/>
      <c r="C914" s="42"/>
      <c r="D914" s="42"/>
      <c r="E914" s="42"/>
      <c r="F914" s="42"/>
      <c r="G914" s="42"/>
      <c r="H914" s="42"/>
      <c r="I914" s="42"/>
      <c r="J914" s="42"/>
      <c r="K914" s="42"/>
      <c r="L914" s="42"/>
      <c r="M914" s="42"/>
    </row>
    <row r="915">
      <c r="A915" s="42"/>
      <c r="B915" s="42"/>
      <c r="C915" s="42"/>
      <c r="D915" s="42"/>
      <c r="E915" s="42"/>
      <c r="F915" s="42"/>
      <c r="G915" s="42"/>
      <c r="H915" s="42"/>
      <c r="I915" s="42"/>
      <c r="J915" s="42"/>
      <c r="K915" s="42"/>
      <c r="L915" s="42"/>
      <c r="M915" s="42"/>
    </row>
    <row r="916">
      <c r="A916" s="42"/>
      <c r="B916" s="42"/>
      <c r="C916" s="42"/>
      <c r="D916" s="42"/>
      <c r="E916" s="42"/>
      <c r="F916" s="42"/>
      <c r="G916" s="42"/>
      <c r="H916" s="42"/>
      <c r="I916" s="42"/>
      <c r="J916" s="42"/>
      <c r="K916" s="42"/>
      <c r="L916" s="42"/>
      <c r="M916" s="42"/>
    </row>
    <row r="917">
      <c r="A917" s="42"/>
      <c r="B917" s="42"/>
      <c r="C917" s="42"/>
      <c r="D917" s="42"/>
      <c r="E917" s="42"/>
      <c r="F917" s="42"/>
      <c r="G917" s="42"/>
      <c r="H917" s="42"/>
      <c r="I917" s="42"/>
      <c r="J917" s="42"/>
      <c r="K917" s="42"/>
      <c r="L917" s="42"/>
      <c r="M917" s="42"/>
    </row>
    <row r="918">
      <c r="A918" s="42"/>
      <c r="B918" s="42"/>
      <c r="C918" s="42"/>
      <c r="D918" s="42"/>
      <c r="E918" s="42"/>
      <c r="F918" s="42"/>
      <c r="G918" s="42"/>
      <c r="H918" s="42"/>
      <c r="I918" s="42"/>
      <c r="J918" s="42"/>
      <c r="K918" s="42"/>
      <c r="L918" s="42"/>
      <c r="M918" s="42"/>
    </row>
    <row r="919">
      <c r="A919" s="42"/>
      <c r="B919" s="42"/>
      <c r="C919" s="42"/>
      <c r="D919" s="42"/>
      <c r="E919" s="42"/>
      <c r="F919" s="42"/>
      <c r="G919" s="42"/>
      <c r="H919" s="42"/>
      <c r="I919" s="42"/>
      <c r="J919" s="42"/>
      <c r="K919" s="42"/>
      <c r="L919" s="42"/>
      <c r="M919" s="42"/>
    </row>
    <row r="920">
      <c r="A920" s="42"/>
      <c r="B920" s="42"/>
      <c r="C920" s="42"/>
      <c r="D920" s="42"/>
      <c r="E920" s="42"/>
      <c r="F920" s="42"/>
      <c r="G920" s="42"/>
      <c r="H920" s="42"/>
      <c r="I920" s="42"/>
      <c r="J920" s="42"/>
      <c r="K920" s="42"/>
      <c r="L920" s="42"/>
      <c r="M920" s="42"/>
    </row>
    <row r="921">
      <c r="A921" s="42"/>
      <c r="B921" s="42"/>
      <c r="C921" s="42"/>
      <c r="D921" s="42"/>
      <c r="E921" s="42"/>
      <c r="F921" s="42"/>
      <c r="G921" s="42"/>
      <c r="H921" s="42"/>
      <c r="I921" s="42"/>
      <c r="J921" s="42"/>
      <c r="K921" s="42"/>
      <c r="L921" s="42"/>
      <c r="M921" s="42"/>
    </row>
    <row r="922">
      <c r="A922" s="42"/>
      <c r="B922" s="42"/>
      <c r="C922" s="42"/>
      <c r="D922" s="42"/>
      <c r="E922" s="42"/>
      <c r="F922" s="42"/>
      <c r="G922" s="42"/>
      <c r="H922" s="42"/>
      <c r="I922" s="42"/>
      <c r="J922" s="42"/>
      <c r="K922" s="42"/>
      <c r="L922" s="42"/>
      <c r="M922" s="42"/>
    </row>
    <row r="923">
      <c r="A923" s="42"/>
      <c r="B923" s="42"/>
      <c r="C923" s="42"/>
      <c r="D923" s="42"/>
      <c r="E923" s="42"/>
      <c r="F923" s="42"/>
      <c r="G923" s="42"/>
      <c r="H923" s="42"/>
      <c r="I923" s="42"/>
      <c r="J923" s="42"/>
      <c r="K923" s="42"/>
      <c r="L923" s="42"/>
      <c r="M923" s="42"/>
    </row>
    <row r="924">
      <c r="A924" s="42"/>
      <c r="B924" s="42"/>
      <c r="C924" s="42"/>
      <c r="D924" s="42"/>
      <c r="E924" s="42"/>
      <c r="F924" s="42"/>
      <c r="G924" s="42"/>
      <c r="H924" s="42"/>
      <c r="I924" s="42"/>
      <c r="J924" s="42"/>
      <c r="K924" s="42"/>
      <c r="L924" s="42"/>
      <c r="M924" s="42"/>
    </row>
    <row r="925">
      <c r="A925" s="42"/>
      <c r="B925" s="42"/>
      <c r="C925" s="42"/>
      <c r="D925" s="42"/>
      <c r="E925" s="42"/>
      <c r="F925" s="42"/>
      <c r="G925" s="42"/>
      <c r="H925" s="42"/>
      <c r="I925" s="42"/>
      <c r="J925" s="42"/>
      <c r="K925" s="42"/>
      <c r="L925" s="42"/>
      <c r="M925" s="42"/>
    </row>
    <row r="926">
      <c r="A926" s="42"/>
      <c r="B926" s="42"/>
      <c r="C926" s="42"/>
      <c r="D926" s="42"/>
      <c r="E926" s="42"/>
      <c r="F926" s="42"/>
      <c r="G926" s="42"/>
      <c r="H926" s="42"/>
      <c r="I926" s="42"/>
      <c r="J926" s="42"/>
      <c r="K926" s="42"/>
      <c r="L926" s="42"/>
      <c r="M926" s="42"/>
    </row>
    <row r="927">
      <c r="A927" s="42"/>
      <c r="B927" s="42"/>
      <c r="C927" s="42"/>
      <c r="D927" s="42"/>
      <c r="E927" s="42"/>
      <c r="F927" s="42"/>
      <c r="G927" s="42"/>
      <c r="H927" s="42"/>
      <c r="I927" s="42"/>
      <c r="J927" s="42"/>
      <c r="K927" s="42"/>
      <c r="L927" s="42"/>
      <c r="M927" s="42"/>
    </row>
    <row r="928">
      <c r="A928" s="42"/>
      <c r="B928" s="42"/>
      <c r="C928" s="42"/>
      <c r="D928" s="42"/>
      <c r="E928" s="42"/>
      <c r="F928" s="42"/>
      <c r="G928" s="42"/>
      <c r="H928" s="42"/>
      <c r="I928" s="42"/>
      <c r="J928" s="42"/>
      <c r="K928" s="42"/>
      <c r="L928" s="42"/>
      <c r="M928" s="42"/>
    </row>
    <row r="929">
      <c r="A929" s="42"/>
      <c r="B929" s="42"/>
      <c r="C929" s="42"/>
      <c r="D929" s="42"/>
      <c r="E929" s="42"/>
      <c r="F929" s="42"/>
      <c r="G929" s="42"/>
      <c r="H929" s="42"/>
      <c r="I929" s="42"/>
      <c r="J929" s="42"/>
      <c r="K929" s="42"/>
      <c r="L929" s="42"/>
      <c r="M929" s="42"/>
    </row>
    <row r="930">
      <c r="A930" s="42"/>
      <c r="B930" s="42"/>
      <c r="C930" s="42"/>
      <c r="D930" s="42"/>
      <c r="E930" s="42"/>
      <c r="F930" s="42"/>
      <c r="G930" s="42"/>
      <c r="H930" s="42"/>
      <c r="I930" s="42"/>
      <c r="J930" s="42"/>
      <c r="K930" s="42"/>
      <c r="L930" s="42"/>
      <c r="M930" s="42"/>
    </row>
    <row r="931">
      <c r="A931" s="42"/>
      <c r="B931" s="42"/>
      <c r="C931" s="42"/>
      <c r="D931" s="42"/>
      <c r="E931" s="42"/>
      <c r="F931" s="42"/>
      <c r="G931" s="42"/>
      <c r="H931" s="42"/>
      <c r="I931" s="42"/>
      <c r="J931" s="42"/>
      <c r="K931" s="42"/>
      <c r="L931" s="42"/>
      <c r="M931" s="42"/>
    </row>
    <row r="932">
      <c r="A932" s="42"/>
      <c r="B932" s="42"/>
      <c r="C932" s="42"/>
      <c r="D932" s="42"/>
      <c r="E932" s="42"/>
      <c r="F932" s="42"/>
      <c r="G932" s="42"/>
      <c r="H932" s="42"/>
      <c r="I932" s="42"/>
      <c r="J932" s="42"/>
      <c r="K932" s="42"/>
      <c r="L932" s="42"/>
      <c r="M932" s="42"/>
    </row>
    <row r="933">
      <c r="A933" s="42"/>
      <c r="B933" s="42"/>
      <c r="C933" s="42"/>
      <c r="D933" s="42"/>
      <c r="E933" s="42"/>
      <c r="F933" s="42"/>
      <c r="G933" s="42"/>
      <c r="H933" s="42"/>
      <c r="I933" s="42"/>
      <c r="J933" s="42"/>
      <c r="K933" s="42"/>
      <c r="L933" s="42"/>
      <c r="M933" s="42"/>
    </row>
    <row r="934">
      <c r="A934" s="42"/>
      <c r="B934" s="42"/>
      <c r="C934" s="42"/>
      <c r="D934" s="42"/>
      <c r="E934" s="42"/>
      <c r="F934" s="42"/>
      <c r="G934" s="42"/>
      <c r="H934" s="42"/>
      <c r="I934" s="42"/>
      <c r="J934" s="42"/>
      <c r="K934" s="42"/>
      <c r="L934" s="42"/>
      <c r="M934" s="42"/>
    </row>
    <row r="935">
      <c r="A935" s="42"/>
      <c r="B935" s="42"/>
      <c r="C935" s="42"/>
      <c r="D935" s="42"/>
      <c r="E935" s="42"/>
      <c r="F935" s="42"/>
      <c r="G935" s="42"/>
      <c r="H935" s="42"/>
      <c r="I935" s="42"/>
      <c r="J935" s="42"/>
      <c r="K935" s="42"/>
      <c r="L935" s="42"/>
      <c r="M935" s="42"/>
    </row>
    <row r="936">
      <c r="A936" s="42"/>
      <c r="B936" s="42"/>
      <c r="C936" s="42"/>
      <c r="D936" s="42"/>
      <c r="E936" s="42"/>
      <c r="F936" s="42"/>
      <c r="G936" s="42"/>
      <c r="H936" s="42"/>
      <c r="I936" s="42"/>
      <c r="J936" s="42"/>
      <c r="K936" s="42"/>
      <c r="L936" s="42"/>
      <c r="M936" s="42"/>
    </row>
    <row r="937">
      <c r="A937" s="42"/>
      <c r="B937" s="42"/>
      <c r="C937" s="42"/>
      <c r="D937" s="42"/>
      <c r="E937" s="42"/>
      <c r="F937" s="42"/>
      <c r="G937" s="42"/>
      <c r="H937" s="42"/>
      <c r="I937" s="42"/>
      <c r="J937" s="42"/>
      <c r="K937" s="42"/>
      <c r="L937" s="42"/>
      <c r="M937" s="42"/>
    </row>
    <row r="938">
      <c r="A938" s="42"/>
      <c r="B938" s="42"/>
      <c r="C938" s="42"/>
      <c r="D938" s="42"/>
      <c r="E938" s="42"/>
      <c r="F938" s="42"/>
      <c r="G938" s="42"/>
      <c r="H938" s="42"/>
      <c r="I938" s="42"/>
      <c r="J938" s="42"/>
      <c r="K938" s="42"/>
      <c r="L938" s="42"/>
      <c r="M938" s="42"/>
    </row>
    <row r="939">
      <c r="A939" s="42"/>
      <c r="B939" s="42"/>
      <c r="C939" s="42"/>
      <c r="D939" s="42"/>
      <c r="E939" s="42"/>
      <c r="F939" s="42"/>
      <c r="G939" s="42"/>
      <c r="H939" s="42"/>
      <c r="I939" s="42"/>
      <c r="J939" s="42"/>
      <c r="K939" s="42"/>
      <c r="L939" s="42"/>
      <c r="M939" s="42"/>
    </row>
    <row r="940">
      <c r="A940" s="42"/>
      <c r="B940" s="42"/>
      <c r="C940" s="42"/>
      <c r="D940" s="42"/>
      <c r="E940" s="42"/>
      <c r="F940" s="42"/>
      <c r="G940" s="42"/>
      <c r="H940" s="42"/>
      <c r="I940" s="42"/>
      <c r="J940" s="42"/>
      <c r="K940" s="42"/>
      <c r="L940" s="42"/>
      <c r="M940" s="42"/>
    </row>
    <row r="941">
      <c r="A941" s="42"/>
      <c r="B941" s="42"/>
      <c r="C941" s="42"/>
      <c r="D941" s="42"/>
      <c r="E941" s="42"/>
      <c r="F941" s="42"/>
      <c r="G941" s="42"/>
      <c r="H941" s="42"/>
      <c r="I941" s="42"/>
      <c r="J941" s="42"/>
      <c r="K941" s="42"/>
      <c r="L941" s="42"/>
      <c r="M941" s="42"/>
    </row>
    <row r="942">
      <c r="A942" s="42"/>
      <c r="B942" s="42"/>
      <c r="C942" s="42"/>
      <c r="D942" s="42"/>
      <c r="E942" s="42"/>
      <c r="F942" s="42"/>
      <c r="G942" s="42"/>
      <c r="H942" s="42"/>
      <c r="I942" s="42"/>
      <c r="J942" s="42"/>
      <c r="K942" s="42"/>
      <c r="L942" s="42"/>
      <c r="M942" s="42"/>
    </row>
    <row r="943">
      <c r="A943" s="42"/>
      <c r="B943" s="42"/>
      <c r="C943" s="42"/>
      <c r="D943" s="42"/>
      <c r="E943" s="42"/>
      <c r="F943" s="42"/>
      <c r="G943" s="42"/>
      <c r="H943" s="42"/>
      <c r="I943" s="42"/>
      <c r="J943" s="42"/>
      <c r="K943" s="42"/>
      <c r="L943" s="42"/>
      <c r="M943" s="42"/>
    </row>
    <row r="944">
      <c r="A944" s="42"/>
      <c r="B944" s="42"/>
      <c r="C944" s="42"/>
      <c r="D944" s="42"/>
      <c r="E944" s="42"/>
      <c r="F944" s="42"/>
      <c r="G944" s="42"/>
      <c r="H944" s="42"/>
      <c r="I944" s="42"/>
      <c r="J944" s="42"/>
      <c r="K944" s="42"/>
      <c r="L944" s="42"/>
      <c r="M944" s="42"/>
    </row>
    <row r="945">
      <c r="A945" s="42"/>
      <c r="B945" s="42"/>
      <c r="C945" s="42"/>
      <c r="D945" s="42"/>
      <c r="E945" s="42"/>
      <c r="F945" s="42"/>
      <c r="G945" s="42"/>
      <c r="H945" s="42"/>
      <c r="I945" s="42"/>
      <c r="J945" s="42"/>
      <c r="K945" s="42"/>
      <c r="L945" s="42"/>
      <c r="M945" s="42"/>
    </row>
    <row r="946">
      <c r="A946" s="42"/>
      <c r="B946" s="42"/>
      <c r="C946" s="42"/>
      <c r="D946" s="42"/>
      <c r="E946" s="42"/>
      <c r="F946" s="42"/>
      <c r="G946" s="42"/>
      <c r="H946" s="42"/>
      <c r="I946" s="42"/>
      <c r="J946" s="42"/>
      <c r="K946" s="42"/>
      <c r="L946" s="42"/>
      <c r="M946" s="42"/>
    </row>
    <row r="947">
      <c r="A947" s="42"/>
      <c r="B947" s="42"/>
      <c r="C947" s="42"/>
      <c r="D947" s="42"/>
      <c r="E947" s="42"/>
      <c r="F947" s="42"/>
      <c r="G947" s="42"/>
      <c r="H947" s="42"/>
      <c r="I947" s="42"/>
      <c r="J947" s="42"/>
      <c r="K947" s="42"/>
      <c r="L947" s="42"/>
      <c r="M947" s="42"/>
    </row>
    <row r="948">
      <c r="A948" s="42"/>
      <c r="B948" s="42"/>
      <c r="C948" s="42"/>
      <c r="D948" s="42"/>
      <c r="E948" s="42"/>
      <c r="F948" s="42"/>
      <c r="G948" s="42"/>
      <c r="H948" s="42"/>
      <c r="I948" s="42"/>
      <c r="J948" s="42"/>
      <c r="K948" s="42"/>
      <c r="L948" s="42"/>
      <c r="M948" s="42"/>
    </row>
    <row r="949">
      <c r="A949" s="42"/>
      <c r="B949" s="42"/>
      <c r="C949" s="42"/>
      <c r="D949" s="42"/>
      <c r="E949" s="42"/>
      <c r="F949" s="42"/>
      <c r="G949" s="42"/>
      <c r="H949" s="42"/>
      <c r="I949" s="42"/>
      <c r="J949" s="42"/>
      <c r="K949" s="42"/>
      <c r="L949" s="42"/>
      <c r="M949" s="42"/>
    </row>
    <row r="950">
      <c r="A950" s="42"/>
      <c r="B950" s="42"/>
      <c r="C950" s="42"/>
      <c r="D950" s="42"/>
      <c r="E950" s="42"/>
      <c r="F950" s="42"/>
      <c r="G950" s="42"/>
      <c r="H950" s="42"/>
      <c r="I950" s="42"/>
      <c r="J950" s="42"/>
      <c r="K950" s="42"/>
      <c r="L950" s="42"/>
      <c r="M950" s="42"/>
    </row>
    <row r="951">
      <c r="A951" s="42"/>
      <c r="B951" s="42"/>
      <c r="C951" s="42"/>
      <c r="D951" s="42"/>
      <c r="E951" s="42"/>
      <c r="F951" s="42"/>
      <c r="G951" s="42"/>
      <c r="H951" s="42"/>
      <c r="I951" s="42"/>
      <c r="J951" s="42"/>
      <c r="K951" s="42"/>
      <c r="L951" s="42"/>
      <c r="M951" s="42"/>
    </row>
    <row r="952">
      <c r="A952" s="42"/>
      <c r="B952" s="42"/>
      <c r="C952" s="42"/>
      <c r="D952" s="42"/>
      <c r="E952" s="42"/>
      <c r="F952" s="42"/>
      <c r="G952" s="42"/>
      <c r="H952" s="42"/>
      <c r="I952" s="42"/>
      <c r="J952" s="42"/>
      <c r="K952" s="42"/>
      <c r="L952" s="42"/>
      <c r="M952" s="42"/>
    </row>
    <row r="953">
      <c r="A953" s="42"/>
      <c r="B953" s="42"/>
      <c r="C953" s="42"/>
      <c r="D953" s="42"/>
      <c r="E953" s="42"/>
      <c r="F953" s="42"/>
      <c r="G953" s="42"/>
      <c r="H953" s="42"/>
      <c r="I953" s="42"/>
      <c r="J953" s="42"/>
      <c r="K953" s="42"/>
      <c r="L953" s="42"/>
      <c r="M953" s="42"/>
    </row>
    <row r="954">
      <c r="A954" s="42"/>
      <c r="B954" s="42"/>
      <c r="C954" s="42"/>
      <c r="D954" s="42"/>
      <c r="E954" s="42"/>
      <c r="F954" s="42"/>
      <c r="G954" s="42"/>
      <c r="H954" s="42"/>
      <c r="I954" s="42"/>
      <c r="J954" s="42"/>
      <c r="K954" s="42"/>
      <c r="L954" s="42"/>
      <c r="M954" s="42"/>
    </row>
    <row r="955">
      <c r="A955" s="42"/>
      <c r="B955" s="42"/>
      <c r="C955" s="42"/>
      <c r="D955" s="42"/>
      <c r="E955" s="42"/>
      <c r="F955" s="42"/>
      <c r="G955" s="42"/>
      <c r="H955" s="42"/>
      <c r="I955" s="42"/>
      <c r="J955" s="42"/>
      <c r="K955" s="42"/>
      <c r="L955" s="42"/>
      <c r="M955" s="42"/>
    </row>
    <row r="956">
      <c r="A956" s="42"/>
      <c r="B956" s="42"/>
      <c r="C956" s="42"/>
      <c r="D956" s="42"/>
      <c r="E956" s="42"/>
      <c r="F956" s="42"/>
      <c r="G956" s="42"/>
      <c r="H956" s="42"/>
      <c r="I956" s="42"/>
      <c r="J956" s="42"/>
      <c r="K956" s="42"/>
      <c r="L956" s="42"/>
      <c r="M956" s="42"/>
    </row>
    <row r="957">
      <c r="A957" s="42"/>
      <c r="B957" s="42"/>
      <c r="C957" s="42"/>
      <c r="D957" s="42"/>
      <c r="E957" s="42"/>
      <c r="F957" s="42"/>
      <c r="G957" s="42"/>
      <c r="H957" s="42"/>
      <c r="I957" s="42"/>
      <c r="J957" s="42"/>
      <c r="K957" s="42"/>
      <c r="L957" s="42"/>
      <c r="M957" s="42"/>
    </row>
    <row r="958">
      <c r="A958" s="42"/>
      <c r="B958" s="42"/>
      <c r="C958" s="42"/>
      <c r="D958" s="42"/>
      <c r="E958" s="42"/>
      <c r="F958" s="42"/>
      <c r="G958" s="42"/>
      <c r="H958" s="42"/>
      <c r="I958" s="42"/>
      <c r="J958" s="42"/>
      <c r="K958" s="42"/>
      <c r="L958" s="42"/>
      <c r="M958" s="42"/>
    </row>
    <row r="959">
      <c r="A959" s="42"/>
      <c r="B959" s="42"/>
      <c r="C959" s="42"/>
      <c r="D959" s="42"/>
      <c r="E959" s="42"/>
      <c r="F959" s="42"/>
      <c r="G959" s="42"/>
      <c r="H959" s="42"/>
      <c r="I959" s="42"/>
      <c r="J959" s="42"/>
      <c r="K959" s="42"/>
      <c r="L959" s="42"/>
      <c r="M959" s="42"/>
    </row>
    <row r="960">
      <c r="A960" s="42"/>
      <c r="B960" s="42"/>
      <c r="C960" s="42"/>
      <c r="D960" s="42"/>
      <c r="E960" s="42"/>
      <c r="F960" s="42"/>
      <c r="G960" s="42"/>
      <c r="H960" s="42"/>
      <c r="I960" s="42"/>
      <c r="J960" s="42"/>
      <c r="K960" s="42"/>
      <c r="L960" s="42"/>
      <c r="M960" s="42"/>
    </row>
    <row r="961">
      <c r="A961" s="42"/>
      <c r="B961" s="42"/>
      <c r="C961" s="42"/>
      <c r="D961" s="42"/>
      <c r="E961" s="42"/>
      <c r="F961" s="42"/>
      <c r="G961" s="42"/>
      <c r="H961" s="42"/>
      <c r="I961" s="42"/>
      <c r="J961" s="42"/>
      <c r="K961" s="42"/>
      <c r="L961" s="42"/>
      <c r="M961" s="42"/>
    </row>
    <row r="962">
      <c r="A962" s="42"/>
      <c r="B962" s="42"/>
      <c r="C962" s="42"/>
      <c r="D962" s="42"/>
      <c r="E962" s="42"/>
      <c r="F962" s="42"/>
      <c r="G962" s="42"/>
      <c r="H962" s="42"/>
      <c r="I962" s="42"/>
      <c r="J962" s="42"/>
      <c r="K962" s="42"/>
      <c r="L962" s="42"/>
      <c r="M962" s="42"/>
    </row>
    <row r="963">
      <c r="A963" s="42"/>
      <c r="B963" s="42"/>
      <c r="C963" s="42"/>
      <c r="D963" s="42"/>
      <c r="E963" s="42"/>
      <c r="F963" s="42"/>
      <c r="G963" s="42"/>
      <c r="H963" s="42"/>
      <c r="I963" s="42"/>
      <c r="J963" s="42"/>
      <c r="K963" s="42"/>
      <c r="L963" s="42"/>
      <c r="M963" s="42"/>
    </row>
    <row r="964">
      <c r="A964" s="42"/>
      <c r="B964" s="42"/>
      <c r="C964" s="42"/>
      <c r="D964" s="42"/>
      <c r="E964" s="42"/>
      <c r="F964" s="42"/>
      <c r="G964" s="42"/>
      <c r="H964" s="42"/>
      <c r="I964" s="42"/>
      <c r="J964" s="42"/>
      <c r="K964" s="42"/>
      <c r="L964" s="42"/>
      <c r="M964" s="42"/>
    </row>
    <row r="965">
      <c r="A965" s="42"/>
      <c r="B965" s="42"/>
      <c r="C965" s="42"/>
      <c r="D965" s="42"/>
      <c r="E965" s="42"/>
      <c r="F965" s="42"/>
      <c r="G965" s="42"/>
      <c r="H965" s="42"/>
      <c r="I965" s="42"/>
      <c r="J965" s="42"/>
      <c r="K965" s="42"/>
      <c r="L965" s="42"/>
      <c r="M965" s="42"/>
    </row>
    <row r="966">
      <c r="A966" s="42"/>
      <c r="B966" s="42"/>
      <c r="C966" s="42"/>
      <c r="D966" s="42"/>
      <c r="E966" s="42"/>
      <c r="F966" s="42"/>
      <c r="G966" s="42"/>
      <c r="H966" s="42"/>
      <c r="I966" s="42"/>
      <c r="J966" s="42"/>
      <c r="K966" s="42"/>
      <c r="L966" s="42"/>
      <c r="M966" s="42"/>
    </row>
    <row r="967">
      <c r="A967" s="42"/>
      <c r="B967" s="42"/>
      <c r="C967" s="42"/>
      <c r="D967" s="42"/>
      <c r="E967" s="42"/>
      <c r="F967" s="42"/>
      <c r="G967" s="42"/>
      <c r="H967" s="42"/>
      <c r="I967" s="42"/>
      <c r="J967" s="42"/>
      <c r="K967" s="42"/>
      <c r="L967" s="42"/>
      <c r="M967" s="42"/>
    </row>
    <row r="968">
      <c r="A968" s="42"/>
      <c r="B968" s="42"/>
      <c r="C968" s="42"/>
      <c r="D968" s="42"/>
      <c r="E968" s="42"/>
      <c r="F968" s="42"/>
      <c r="G968" s="42"/>
      <c r="H968" s="42"/>
      <c r="I968" s="42"/>
      <c r="J968" s="42"/>
      <c r="K968" s="42"/>
      <c r="L968" s="42"/>
      <c r="M968" s="42"/>
    </row>
    <row r="969">
      <c r="A969" s="42"/>
      <c r="B969" s="42"/>
      <c r="C969" s="42"/>
      <c r="D969" s="42"/>
      <c r="E969" s="42"/>
      <c r="F969" s="42"/>
      <c r="G969" s="42"/>
      <c r="H969" s="42"/>
      <c r="I969" s="42"/>
      <c r="J969" s="42"/>
      <c r="K969" s="42"/>
      <c r="L969" s="42"/>
      <c r="M969" s="42"/>
    </row>
    <row r="970">
      <c r="A970" s="42"/>
      <c r="B970" s="42"/>
      <c r="C970" s="42"/>
      <c r="D970" s="42"/>
      <c r="E970" s="42"/>
      <c r="F970" s="42"/>
      <c r="G970" s="42"/>
      <c r="H970" s="42"/>
      <c r="I970" s="42"/>
      <c r="J970" s="42"/>
      <c r="K970" s="42"/>
      <c r="L970" s="42"/>
      <c r="M970" s="42"/>
    </row>
    <row r="971">
      <c r="A971" s="42"/>
      <c r="B971" s="42"/>
      <c r="C971" s="42"/>
      <c r="D971" s="42"/>
      <c r="E971" s="42"/>
      <c r="F971" s="42"/>
      <c r="G971" s="42"/>
      <c r="H971" s="42"/>
      <c r="I971" s="42"/>
      <c r="J971" s="42"/>
      <c r="K971" s="42"/>
      <c r="L971" s="42"/>
      <c r="M971" s="42"/>
    </row>
    <row r="972">
      <c r="A972" s="42"/>
      <c r="B972" s="42"/>
      <c r="C972" s="42"/>
      <c r="D972" s="42"/>
      <c r="E972" s="42"/>
      <c r="F972" s="42"/>
      <c r="G972" s="42"/>
      <c r="H972" s="42"/>
      <c r="I972" s="42"/>
      <c r="J972" s="42"/>
      <c r="K972" s="42"/>
      <c r="L972" s="42"/>
      <c r="M972" s="42"/>
    </row>
    <row r="973">
      <c r="A973" s="42"/>
      <c r="B973" s="42"/>
      <c r="C973" s="42"/>
      <c r="D973" s="42"/>
      <c r="E973" s="42"/>
      <c r="F973" s="42"/>
      <c r="G973" s="42"/>
      <c r="H973" s="42"/>
      <c r="I973" s="42"/>
      <c r="J973" s="42"/>
      <c r="K973" s="42"/>
      <c r="L973" s="42"/>
      <c r="M973" s="42"/>
    </row>
    <row r="974">
      <c r="A974" s="42"/>
      <c r="B974" s="42"/>
      <c r="C974" s="42"/>
      <c r="D974" s="42"/>
      <c r="E974" s="42"/>
      <c r="F974" s="42"/>
      <c r="G974" s="42"/>
      <c r="H974" s="42"/>
      <c r="I974" s="42"/>
      <c r="J974" s="42"/>
      <c r="K974" s="42"/>
      <c r="L974" s="42"/>
      <c r="M974" s="42"/>
    </row>
    <row r="975">
      <c r="A975" s="42"/>
      <c r="B975" s="42"/>
      <c r="C975" s="42"/>
      <c r="D975" s="42"/>
      <c r="E975" s="42"/>
      <c r="F975" s="42"/>
      <c r="G975" s="42"/>
      <c r="H975" s="42"/>
      <c r="I975" s="42"/>
      <c r="J975" s="42"/>
      <c r="K975" s="42"/>
      <c r="L975" s="42"/>
      <c r="M975" s="42"/>
    </row>
    <row r="976">
      <c r="A976" s="42"/>
      <c r="B976" s="42"/>
      <c r="C976" s="42"/>
      <c r="D976" s="42"/>
      <c r="E976" s="42"/>
      <c r="F976" s="42"/>
      <c r="G976" s="42"/>
      <c r="H976" s="42"/>
      <c r="I976" s="42"/>
      <c r="J976" s="42"/>
      <c r="K976" s="42"/>
      <c r="L976" s="42"/>
      <c r="M976" s="42"/>
    </row>
    <row r="977">
      <c r="A977" s="42"/>
      <c r="B977" s="42"/>
      <c r="C977" s="42"/>
      <c r="D977" s="42"/>
      <c r="E977" s="42"/>
      <c r="F977" s="42"/>
      <c r="G977" s="42"/>
      <c r="H977" s="42"/>
      <c r="I977" s="42"/>
      <c r="J977" s="42"/>
      <c r="K977" s="42"/>
      <c r="L977" s="42"/>
      <c r="M977" s="42"/>
    </row>
    <row r="978">
      <c r="A978" s="42"/>
      <c r="B978" s="42"/>
      <c r="C978" s="42"/>
      <c r="D978" s="42"/>
      <c r="E978" s="42"/>
      <c r="F978" s="42"/>
      <c r="G978" s="42"/>
      <c r="H978" s="42"/>
      <c r="I978" s="42"/>
      <c r="J978" s="42"/>
      <c r="K978" s="42"/>
      <c r="L978" s="42"/>
      <c r="M978" s="42"/>
    </row>
    <row r="979">
      <c r="A979" s="42"/>
      <c r="B979" s="42"/>
      <c r="C979" s="42"/>
      <c r="D979" s="42"/>
      <c r="E979" s="42"/>
      <c r="F979" s="42"/>
      <c r="G979" s="42"/>
      <c r="H979" s="42"/>
      <c r="I979" s="42"/>
      <c r="J979" s="42"/>
      <c r="K979" s="42"/>
      <c r="L979" s="42"/>
      <c r="M979" s="42"/>
    </row>
    <row r="980">
      <c r="A980" s="42"/>
      <c r="B980" s="42"/>
      <c r="C980" s="42"/>
      <c r="D980" s="42"/>
      <c r="E980" s="42"/>
      <c r="F980" s="42"/>
      <c r="G980" s="42"/>
      <c r="H980" s="42"/>
      <c r="I980" s="42"/>
      <c r="J980" s="42"/>
      <c r="K980" s="42"/>
      <c r="L980" s="42"/>
      <c r="M980" s="42"/>
    </row>
    <row r="981">
      <c r="A981" s="42"/>
      <c r="B981" s="42"/>
      <c r="C981" s="42"/>
      <c r="D981" s="42"/>
      <c r="E981" s="42"/>
      <c r="F981" s="42"/>
      <c r="G981" s="42"/>
      <c r="H981" s="42"/>
      <c r="I981" s="42"/>
      <c r="J981" s="42"/>
      <c r="K981" s="42"/>
      <c r="L981" s="42"/>
      <c r="M981" s="42"/>
    </row>
    <row r="982">
      <c r="A982" s="42"/>
      <c r="B982" s="42"/>
      <c r="C982" s="42"/>
      <c r="D982" s="42"/>
      <c r="E982" s="42"/>
      <c r="F982" s="42"/>
      <c r="G982" s="42"/>
      <c r="H982" s="42"/>
      <c r="I982" s="42"/>
      <c r="J982" s="42"/>
      <c r="K982" s="42"/>
      <c r="L982" s="42"/>
      <c r="M982" s="42"/>
    </row>
    <row r="983">
      <c r="A983" s="42"/>
      <c r="B983" s="42"/>
      <c r="C983" s="42"/>
      <c r="D983" s="42"/>
      <c r="E983" s="42"/>
      <c r="F983" s="42"/>
      <c r="G983" s="42"/>
      <c r="H983" s="42"/>
      <c r="I983" s="42"/>
      <c r="J983" s="42"/>
      <c r="K983" s="42"/>
      <c r="L983" s="42"/>
      <c r="M983" s="42"/>
    </row>
    <row r="984">
      <c r="A984" s="42"/>
      <c r="B984" s="42"/>
      <c r="C984" s="42"/>
      <c r="D984" s="42"/>
      <c r="E984" s="42"/>
      <c r="F984" s="42"/>
      <c r="G984" s="42"/>
      <c r="H984" s="42"/>
      <c r="I984" s="42"/>
      <c r="J984" s="42"/>
      <c r="K984" s="42"/>
      <c r="L984" s="42"/>
      <c r="M984" s="42"/>
    </row>
    <row r="985">
      <c r="A985" s="42"/>
      <c r="B985" s="42"/>
      <c r="C985" s="42"/>
      <c r="D985" s="42"/>
      <c r="E985" s="42"/>
      <c r="F985" s="42"/>
      <c r="G985" s="42"/>
      <c r="H985" s="42"/>
      <c r="I985" s="42"/>
      <c r="J985" s="42"/>
      <c r="K985" s="42"/>
      <c r="L985" s="42"/>
      <c r="M985" s="42"/>
    </row>
    <row r="986">
      <c r="A986" s="42"/>
      <c r="B986" s="42"/>
      <c r="C986" s="42"/>
      <c r="D986" s="42"/>
      <c r="E986" s="42"/>
      <c r="F986" s="42"/>
      <c r="G986" s="42"/>
      <c r="H986" s="42"/>
      <c r="I986" s="42"/>
      <c r="J986" s="42"/>
      <c r="K986" s="42"/>
      <c r="L986" s="42"/>
      <c r="M986" s="42"/>
    </row>
    <row r="987">
      <c r="A987" s="42"/>
      <c r="B987" s="42"/>
      <c r="C987" s="42"/>
      <c r="D987" s="42"/>
      <c r="E987" s="42"/>
      <c r="F987" s="42"/>
      <c r="G987" s="42"/>
      <c r="H987" s="42"/>
      <c r="I987" s="42"/>
      <c r="J987" s="42"/>
      <c r="K987" s="42"/>
      <c r="L987" s="42"/>
      <c r="M987" s="42"/>
    </row>
    <row r="988">
      <c r="A988" s="42"/>
      <c r="B988" s="42"/>
      <c r="C988" s="42"/>
      <c r="D988" s="42"/>
      <c r="E988" s="42"/>
      <c r="F988" s="42"/>
      <c r="G988" s="42"/>
      <c r="H988" s="42"/>
      <c r="I988" s="42"/>
      <c r="J988" s="42"/>
      <c r="K988" s="42"/>
      <c r="L988" s="42"/>
      <c r="M988" s="42"/>
    </row>
    <row r="989">
      <c r="A989" s="42"/>
      <c r="B989" s="42"/>
      <c r="C989" s="42"/>
      <c r="D989" s="42"/>
      <c r="E989" s="42"/>
      <c r="F989" s="42"/>
      <c r="G989" s="42"/>
      <c r="H989" s="42"/>
      <c r="I989" s="42"/>
      <c r="J989" s="42"/>
      <c r="K989" s="42"/>
      <c r="L989" s="42"/>
      <c r="M989" s="42"/>
    </row>
    <row r="990">
      <c r="A990" s="42"/>
      <c r="B990" s="42"/>
      <c r="C990" s="42"/>
      <c r="D990" s="42"/>
      <c r="E990" s="42"/>
      <c r="F990" s="42"/>
      <c r="G990" s="42"/>
      <c r="H990" s="42"/>
      <c r="I990" s="42"/>
      <c r="J990" s="42"/>
      <c r="K990" s="42"/>
      <c r="L990" s="42"/>
      <c r="M990" s="42"/>
    </row>
    <row r="991">
      <c r="A991" s="42"/>
      <c r="B991" s="42"/>
      <c r="C991" s="42"/>
      <c r="D991" s="42"/>
      <c r="E991" s="42"/>
      <c r="F991" s="42"/>
      <c r="G991" s="42"/>
      <c r="H991" s="42"/>
      <c r="I991" s="42"/>
      <c r="J991" s="42"/>
      <c r="K991" s="42"/>
      <c r="L991" s="42"/>
      <c r="M991" s="42"/>
    </row>
    <row r="992">
      <c r="A992" s="42"/>
      <c r="B992" s="42"/>
      <c r="C992" s="42"/>
      <c r="D992" s="42"/>
      <c r="E992" s="42"/>
      <c r="F992" s="42"/>
      <c r="G992" s="42"/>
      <c r="H992" s="42"/>
      <c r="I992" s="42"/>
      <c r="J992" s="42"/>
      <c r="K992" s="42"/>
      <c r="L992" s="42"/>
      <c r="M992" s="42"/>
    </row>
    <row r="993">
      <c r="A993" s="42"/>
      <c r="B993" s="42"/>
      <c r="C993" s="42"/>
      <c r="D993" s="42"/>
      <c r="E993" s="42"/>
      <c r="F993" s="42"/>
      <c r="G993" s="42"/>
      <c r="H993" s="42"/>
      <c r="I993" s="42"/>
      <c r="J993" s="42"/>
      <c r="K993" s="42"/>
      <c r="L993" s="42"/>
      <c r="M993" s="42"/>
    </row>
    <row r="994">
      <c r="A994" s="42"/>
      <c r="B994" s="42"/>
      <c r="C994" s="42"/>
      <c r="D994" s="42"/>
      <c r="E994" s="42"/>
      <c r="F994" s="42"/>
      <c r="G994" s="42"/>
      <c r="H994" s="42"/>
      <c r="I994" s="42"/>
      <c r="J994" s="42"/>
      <c r="K994" s="42"/>
      <c r="L994" s="42"/>
      <c r="M994" s="42"/>
    </row>
    <row r="995">
      <c r="A995" s="42"/>
      <c r="B995" s="42"/>
      <c r="C995" s="42"/>
      <c r="D995" s="42"/>
      <c r="E995" s="42"/>
      <c r="F995" s="42"/>
      <c r="G995" s="42"/>
      <c r="H995" s="42"/>
      <c r="I995" s="42"/>
      <c r="J995" s="42"/>
      <c r="K995" s="42"/>
      <c r="L995" s="42"/>
      <c r="M995" s="42"/>
    </row>
    <row r="996">
      <c r="A996" s="42"/>
      <c r="B996" s="42"/>
      <c r="C996" s="42"/>
      <c r="D996" s="42"/>
      <c r="E996" s="42"/>
      <c r="F996" s="42"/>
      <c r="G996" s="42"/>
      <c r="H996" s="42"/>
      <c r="I996" s="42"/>
      <c r="J996" s="42"/>
      <c r="K996" s="42"/>
      <c r="L996" s="42"/>
      <c r="M996" s="42"/>
    </row>
    <row r="997">
      <c r="A997" s="42"/>
      <c r="B997" s="42"/>
      <c r="C997" s="42"/>
      <c r="D997" s="42"/>
      <c r="E997" s="42"/>
      <c r="F997" s="42"/>
      <c r="G997" s="42"/>
      <c r="H997" s="42"/>
      <c r="I997" s="42"/>
      <c r="J997" s="42"/>
      <c r="K997" s="42"/>
      <c r="L997" s="42"/>
      <c r="M997" s="42"/>
    </row>
    <row r="998">
      <c r="A998" s="42"/>
      <c r="B998" s="42"/>
      <c r="C998" s="42"/>
      <c r="D998" s="42"/>
      <c r="E998" s="42"/>
      <c r="F998" s="42"/>
      <c r="G998" s="42"/>
      <c r="H998" s="42"/>
      <c r="I998" s="42"/>
      <c r="J998" s="42"/>
      <c r="K998" s="42"/>
      <c r="L998" s="42"/>
      <c r="M998" s="42"/>
    </row>
    <row r="999">
      <c r="A999" s="42"/>
      <c r="B999" s="42"/>
      <c r="C999" s="42"/>
      <c r="D999" s="42"/>
      <c r="E999" s="42"/>
      <c r="F999" s="42"/>
      <c r="G999" s="42"/>
      <c r="H999" s="42"/>
      <c r="I999" s="42"/>
      <c r="J999" s="42"/>
      <c r="K999" s="42"/>
      <c r="L999" s="42"/>
      <c r="M999" s="42"/>
    </row>
    <row r="1000">
      <c r="A1000" s="42"/>
      <c r="B1000" s="42"/>
      <c r="C1000" s="42"/>
      <c r="D1000" s="42"/>
      <c r="E1000" s="42"/>
      <c r="F1000" s="42"/>
      <c r="G1000" s="42"/>
      <c r="H1000" s="42"/>
      <c r="I1000" s="42"/>
      <c r="J1000" s="42"/>
      <c r="K1000" s="42"/>
      <c r="L1000" s="42"/>
      <c r="M1000" s="42"/>
    </row>
  </sheetData>
  <hyperlinks>
    <hyperlink r:id="rId1" ref="I2"/>
    <hyperlink r:id="rId2" ref="J2"/>
    <hyperlink r:id="rId3" ref="I3"/>
    <hyperlink r:id="rId4" ref="J3"/>
    <hyperlink r:id="rId5" ref="I4"/>
    <hyperlink r:id="rId6" ref="J4"/>
    <hyperlink r:id="rId7" location="index.js" ref="I5"/>
    <hyperlink r:id="rId8" ref="J5"/>
    <hyperlink r:id="rId9" ref="I6"/>
    <hyperlink r:id="rId10" ref="J6"/>
    <hyperlink r:id="rId11" ref="I7"/>
    <hyperlink r:id="rId12" ref="J7"/>
    <hyperlink r:id="rId13" ref="I8"/>
    <hyperlink r:id="rId14" ref="J8"/>
    <hyperlink r:id="rId15" ref="K8"/>
    <hyperlink r:id="rId16" location="w1quis.js" ref="I9"/>
    <hyperlink r:id="rId17" ref="K9"/>
    <hyperlink r:id="rId18" ref="I10"/>
    <hyperlink r:id="rId19" ref="K10"/>
    <hyperlink r:id="rId20" ref="I11"/>
    <hyperlink r:id="rId21" ref="J11"/>
    <hyperlink r:id="rId22" ref="M11"/>
    <hyperlink r:id="rId23" ref="I12"/>
    <hyperlink r:id="rId24" ref="J12"/>
    <hyperlink r:id="rId25" ref="I13"/>
    <hyperlink r:id="rId26" ref="J13"/>
    <hyperlink r:id="rId27" ref="I14"/>
    <hyperlink r:id="rId28" ref="J14"/>
    <hyperlink r:id="rId29" location="index.js" ref="I15"/>
    <hyperlink r:id="rId30" ref="J15"/>
    <hyperlink r:id="rId31" ref="I16"/>
    <hyperlink r:id="rId32" ref="K16"/>
    <hyperlink r:id="rId33" ref="I17"/>
    <hyperlink r:id="rId34" ref="J17"/>
    <hyperlink r:id="rId35" location="index.js" ref="I18"/>
    <hyperlink r:id="rId36" ref="J18"/>
    <hyperlink r:id="rId37" ref="I19"/>
    <hyperlink r:id="rId38" ref="J19"/>
    <hyperlink r:id="rId39" location="index.js" ref="I20"/>
    <hyperlink r:id="rId40" ref="J20"/>
    <hyperlink r:id="rId41" ref="I21"/>
    <hyperlink r:id="rId42" ref="J21"/>
    <hyperlink r:id="rId43" ref="I22"/>
    <hyperlink r:id="rId44" ref="J22"/>
    <hyperlink r:id="rId45" ref="I23"/>
    <hyperlink r:id="rId46" ref="J23"/>
    <hyperlink r:id="rId47" ref="I24"/>
    <hyperlink r:id="rId48" ref="J24"/>
    <hyperlink r:id="rId49" location="index.js" ref="I25"/>
    <hyperlink r:id="rId50" ref="J25"/>
    <hyperlink r:id="rId51" location="index.js" ref="I26"/>
    <hyperlink r:id="rId52" ref="J26"/>
    <hyperlink r:id="rId53" ref="I27"/>
    <hyperlink r:id="rId54" ref="K27"/>
    <hyperlink r:id="rId55" ref="I28"/>
    <hyperlink r:id="rId56" ref="J28"/>
    <hyperlink r:id="rId57" location="index.js" ref="I29"/>
    <hyperlink r:id="rId58" ref="J29"/>
    <hyperlink r:id="rId59" ref="I30"/>
    <hyperlink r:id="rId60" ref="I31"/>
    <hyperlink r:id="rId61" ref="J31"/>
    <hyperlink r:id="rId62" ref="I32"/>
    <hyperlink r:id="rId63" ref="J32"/>
    <hyperlink r:id="rId64" location="index.js" ref="I33"/>
    <hyperlink r:id="rId65" ref="J33"/>
    <hyperlink r:id="rId66" ref="I34"/>
    <hyperlink r:id="rId67" ref="J34"/>
    <hyperlink r:id="rId68" location="index.js" ref="I35"/>
    <hyperlink r:id="rId69" ref="J35"/>
    <hyperlink r:id="rId70" location="index.js" ref="I36"/>
    <hyperlink r:id="rId71" ref="J36"/>
    <hyperlink r:id="rId72" ref="I37"/>
    <hyperlink r:id="rId73" ref="J37"/>
    <hyperlink r:id="rId74" location="index.js" ref="I38"/>
    <hyperlink r:id="rId75" ref="J38"/>
    <hyperlink r:id="rId76" ref="I39"/>
    <hyperlink r:id="rId77" ref="J39"/>
    <hyperlink r:id="rId78" ref="I40"/>
    <hyperlink r:id="rId79" ref="J40"/>
    <hyperlink r:id="rId80" ref="I41"/>
    <hyperlink r:id="rId81" ref="J41"/>
    <hyperlink r:id="rId82" location="index.js" ref="I42"/>
    <hyperlink r:id="rId83" ref="I43"/>
    <hyperlink r:id="rId84" ref="J43"/>
    <hyperlink r:id="rId85" ref="I44"/>
    <hyperlink r:id="rId86" ref="J44"/>
    <hyperlink r:id="rId87" location="index.js" ref="I45"/>
    <hyperlink r:id="rId88" ref="J45"/>
    <hyperlink r:id="rId89" ref="I46"/>
    <hyperlink r:id="rId90" ref="I47"/>
    <hyperlink r:id="rId91" location="index.js" ref="I48"/>
    <hyperlink r:id="rId92" ref="J48"/>
    <hyperlink r:id="rId93" ref="I49"/>
    <hyperlink r:id="rId94" location="G13p_MErmTd2d-ZhcMJt-a5o0w2ef7BsqN" ref="J49"/>
    <hyperlink r:id="rId95" ref="I50"/>
    <hyperlink r:id="rId96" ref="J50"/>
    <hyperlink r:id="rId97" ref="K50"/>
    <hyperlink r:id="rId98" location="index.js" ref="I51"/>
    <hyperlink r:id="rId99" ref="K51"/>
    <hyperlink r:id="rId100" location="index.js" ref="I52"/>
    <hyperlink r:id="rId101" ref="I53"/>
    <hyperlink r:id="rId102" ref="K53"/>
    <hyperlink r:id="rId103" ref="I54"/>
    <hyperlink r:id="rId104" ref="K54"/>
    <hyperlink r:id="rId105" location="index.js" ref="I55"/>
    <hyperlink r:id="rId106" ref="J55"/>
    <hyperlink r:id="rId107" location="index.js" ref="I56"/>
    <hyperlink r:id="rId108" ref="J56"/>
    <hyperlink r:id="rId109" ref="I57"/>
    <hyperlink r:id="rId110" ref="J57"/>
    <hyperlink r:id="rId111" location="index.js" ref="I58"/>
    <hyperlink r:id="rId112" ref="J58"/>
    <hyperlink r:id="rId113" ref="I59"/>
    <hyperlink r:id="rId114" ref="J59"/>
    <hyperlink r:id="rId115" ref="K59"/>
    <hyperlink r:id="rId116" location="index.js" ref="I60"/>
    <hyperlink r:id="rId117" ref="K60"/>
    <hyperlink r:id="rId118" location="index.js" ref="I61"/>
    <hyperlink r:id="rId119" ref="J61"/>
    <hyperlink r:id="rId120" ref="I62"/>
    <hyperlink r:id="rId121" ref="J62"/>
    <hyperlink r:id="rId122" ref="I63"/>
    <hyperlink r:id="rId123" ref="J63"/>
    <hyperlink r:id="rId124" location="index.js" ref="I64"/>
    <hyperlink r:id="rId125" ref="J64"/>
    <hyperlink r:id="rId126" location="index.js" ref="I65"/>
    <hyperlink r:id="rId127" ref="J65"/>
    <hyperlink r:id="rId128" location="index.js" ref="I66"/>
    <hyperlink r:id="rId129" ref="K66"/>
    <hyperlink r:id="rId130" ref="I67"/>
    <hyperlink r:id="rId131" ref="J67"/>
    <hyperlink r:id="rId132" ref="I68"/>
    <hyperlink r:id="rId133" ref="J68"/>
    <hyperlink r:id="rId134" ref="I69"/>
    <hyperlink r:id="rId135" ref="J69"/>
    <hyperlink r:id="rId136" ref="I70"/>
    <hyperlink r:id="rId137" ref="J70"/>
    <hyperlink r:id="rId138" location="index.js" ref="I71"/>
    <hyperlink r:id="rId139" ref="J71"/>
    <hyperlink r:id="rId140" location="index.js" ref="I72"/>
    <hyperlink r:id="rId141" ref="J72"/>
    <hyperlink r:id="rId142" location="index.js" ref="I73"/>
    <hyperlink r:id="rId143" ref="J73"/>
    <hyperlink r:id="rId144" ref="I74"/>
    <hyperlink r:id="rId145" ref="J74"/>
    <hyperlink r:id="rId146" location="index.js" ref="I75"/>
    <hyperlink r:id="rId147" ref="I76"/>
    <hyperlink r:id="rId148" ref="J76"/>
    <hyperlink r:id="rId149" location="index.js" ref="I77"/>
    <hyperlink r:id="rId150" location="index.js" ref="I78"/>
    <hyperlink r:id="rId151" ref="J78"/>
    <hyperlink r:id="rId152" location="index.js" ref="I79"/>
    <hyperlink r:id="rId153" ref="J79"/>
    <hyperlink r:id="rId154" ref="I80"/>
    <hyperlink r:id="rId155" ref="I81"/>
    <hyperlink r:id="rId156" ref="J81"/>
    <hyperlink r:id="rId157" ref="K81"/>
    <hyperlink r:id="rId158" ref="I82"/>
    <hyperlink r:id="rId159" ref="J82"/>
    <hyperlink r:id="rId160" location="index.js" ref="I83"/>
    <hyperlink r:id="rId161" location="G1Ga9H554bnKNfHkrGisfvfIvLkiR71pWe" ref="J83"/>
    <hyperlink r:id="rId162" location="index.js" ref="I84"/>
    <hyperlink r:id="rId163" ref="J84"/>
    <hyperlink r:id="rId164" location="index.js" ref="I85"/>
    <hyperlink r:id="rId165" ref="J85"/>
    <hyperlink r:id="rId166" ref="I86"/>
    <hyperlink r:id="rId167" ref="J86"/>
    <hyperlink r:id="rId168" ref="I87"/>
    <hyperlink r:id="rId169" ref="J87"/>
    <hyperlink r:id="rId170" ref="I88"/>
    <hyperlink r:id="rId171" ref="J88"/>
    <hyperlink r:id="rId172" location="index.js" ref="I89"/>
    <hyperlink r:id="rId173" ref="I90"/>
    <hyperlink r:id="rId174" ref="J90"/>
    <hyperlink r:id="rId175" location="index.js" ref="I91"/>
    <hyperlink r:id="rId176" ref="J91"/>
    <hyperlink r:id="rId177" ref="I92"/>
    <hyperlink r:id="rId178" ref="J92"/>
    <hyperlink r:id="rId179" location="index.js" ref="I93"/>
    <hyperlink r:id="rId180" ref="J93"/>
    <hyperlink r:id="rId181" ref="I94"/>
    <hyperlink r:id="rId182" ref="J94"/>
    <hyperlink r:id="rId183" ref="I95"/>
    <hyperlink r:id="rId184" ref="J95"/>
    <hyperlink r:id="rId185" location="index.js" ref="I96"/>
    <hyperlink r:id="rId186" ref="J96"/>
    <hyperlink r:id="rId187" location="index.js" ref="I97"/>
    <hyperlink r:id="rId188" ref="J97"/>
    <hyperlink r:id="rId189" ref="I98"/>
    <hyperlink r:id="rId190" location="index.js" ref="I99"/>
    <hyperlink r:id="rId191" location="index.js" ref="I100"/>
    <hyperlink r:id="rId192" ref="J100"/>
    <hyperlink r:id="rId193" location="index.js" ref="I101"/>
    <hyperlink r:id="rId194" ref="J101"/>
    <hyperlink r:id="rId195" location="index.js" ref="I102"/>
    <hyperlink r:id="rId196" ref="K102"/>
    <hyperlink r:id="rId197" ref="I103"/>
    <hyperlink r:id="rId198" ref="I104"/>
    <hyperlink r:id="rId199" location="index.js" ref="I105"/>
    <hyperlink r:id="rId200" ref="J105"/>
    <hyperlink r:id="rId201" location="index.js" ref="I106"/>
    <hyperlink r:id="rId202" location="index.js" ref="I107"/>
    <hyperlink r:id="rId203" location="index.js" ref="I108"/>
    <hyperlink r:id="rId204" location="index.js" ref="I109"/>
    <hyperlink r:id="rId205" ref="I110"/>
    <hyperlink r:id="rId206" ref="I111"/>
    <hyperlink r:id="rId207" ref="I112"/>
    <hyperlink r:id="rId208" ref="I113"/>
    <hyperlink r:id="rId209" ref="I114"/>
    <hyperlink r:id="rId210" ref="I115"/>
    <hyperlink r:id="rId211" location="index.js" ref="I116"/>
    <hyperlink r:id="rId212" ref="I117"/>
    <hyperlink r:id="rId213" location="index.js" ref="I118"/>
    <hyperlink r:id="rId214" ref="I119"/>
    <hyperlink r:id="rId215" location="index.js" ref="I120"/>
    <hyperlink r:id="rId216" location="index.js" ref="I121"/>
    <hyperlink r:id="rId217" ref="I122"/>
    <hyperlink r:id="rId218" ref="I123"/>
    <hyperlink r:id="rId219" location="index.js" ref="I124"/>
    <hyperlink r:id="rId220" ref="I125"/>
    <hyperlink r:id="rId221" ref="I126"/>
    <hyperlink r:id="rId222" ref="I127"/>
    <hyperlink r:id="rId223" ref="I128"/>
    <hyperlink r:id="rId224" ref="I129"/>
    <hyperlink r:id="rId225" ref="I130"/>
    <hyperlink r:id="rId226" ref="I131"/>
    <hyperlink r:id="rId227" ref="I132"/>
    <hyperlink r:id="rId228" ref="I133"/>
    <hyperlink r:id="rId229" location="index.js" ref="I134"/>
    <hyperlink r:id="rId230" location="index.js" ref="I135"/>
    <hyperlink r:id="rId231" location="index.js" ref="I136"/>
    <hyperlink r:id="rId232" location="index.js" ref="I137"/>
    <hyperlink r:id="rId233" location="index.js" ref="I138"/>
    <hyperlink r:id="rId234" ref="I139"/>
    <hyperlink r:id="rId235" ref="I140"/>
    <hyperlink r:id="rId236" ref="I141"/>
    <hyperlink r:id="rId237" location="index.js" ref="I142"/>
    <hyperlink r:id="rId238" ref="I143"/>
    <hyperlink r:id="rId239" ref="I144"/>
    <hyperlink r:id="rId240" ref="I145"/>
    <hyperlink r:id="rId241" ref="J145"/>
    <hyperlink r:id="rId242" ref="I146"/>
    <hyperlink r:id="rId243" location="index.js" ref="I147"/>
    <hyperlink r:id="rId244" ref="I148"/>
    <hyperlink r:id="rId245" ref="I149"/>
    <hyperlink r:id="rId246" ref="I150"/>
    <hyperlink r:id="rId247" ref="I151"/>
    <hyperlink r:id="rId248" location="index.js" ref="I152"/>
    <hyperlink r:id="rId249" location="index.js" ref="I153"/>
    <hyperlink r:id="rId250" ref="I154"/>
    <hyperlink r:id="rId251" location="index.js" ref="I155"/>
    <hyperlink r:id="rId252" ref="I156"/>
    <hyperlink r:id="rId253" ref="I157"/>
    <hyperlink r:id="rId254" ref="I158"/>
    <hyperlink r:id="rId255" ref="I159"/>
    <hyperlink r:id="rId256" ref="I160"/>
    <hyperlink r:id="rId257" ref="I161"/>
    <hyperlink r:id="rId258" ref="I162"/>
    <hyperlink r:id="rId259" ref="I163"/>
    <hyperlink r:id="rId260" ref="I164"/>
    <hyperlink r:id="rId261" location="index.js" ref="I165"/>
    <hyperlink r:id="rId262" location="index.js" ref="I166"/>
    <hyperlink r:id="rId263" location="index.js" ref="I167"/>
    <hyperlink r:id="rId264" ref="I168"/>
    <hyperlink r:id="rId265" ref="I169"/>
    <hyperlink r:id="rId266" ref="J169"/>
    <hyperlink r:id="rId267" ref="K169"/>
    <hyperlink r:id="rId268" location="index.js" ref="I170"/>
    <hyperlink r:id="rId269" ref="J170"/>
    <hyperlink r:id="rId270" ref="K170"/>
    <hyperlink r:id="rId271" ref="I171"/>
    <hyperlink r:id="rId272" ref="J171"/>
    <hyperlink r:id="rId273" ref="K171"/>
    <hyperlink r:id="rId274" ref="I172"/>
    <hyperlink r:id="rId275" ref="J172"/>
    <hyperlink r:id="rId276" ref="K172"/>
    <hyperlink r:id="rId277" location="index.js" ref="I173"/>
    <hyperlink r:id="rId278" ref="J173"/>
    <hyperlink r:id="rId279" ref="I174"/>
    <hyperlink r:id="rId280" ref="J174"/>
    <hyperlink r:id="rId281" ref="K174"/>
    <hyperlink r:id="rId282" location="index.js" ref="I175"/>
    <hyperlink r:id="rId283" ref="J175"/>
    <hyperlink r:id="rId284" ref="I176"/>
    <hyperlink r:id="rId285" ref="K176"/>
    <hyperlink r:id="rId286" ref="I177"/>
    <hyperlink r:id="rId287" ref="J177"/>
    <hyperlink r:id="rId288" location="index.js" ref="I178"/>
    <hyperlink r:id="rId289" ref="K178"/>
    <hyperlink r:id="rId290" ref="I179"/>
    <hyperlink r:id="rId291" ref="K179"/>
    <hyperlink r:id="rId292" location="index.js" ref="I180"/>
    <hyperlink r:id="rId293" ref="J180"/>
    <hyperlink r:id="rId294" ref="K180"/>
    <hyperlink r:id="rId295" ref="I181"/>
    <hyperlink r:id="rId296" ref="K181"/>
    <hyperlink r:id="rId297" location="index.js" ref="I182"/>
    <hyperlink r:id="rId298" ref="J182"/>
    <hyperlink r:id="rId299" ref="K182"/>
    <hyperlink r:id="rId300" location="index.js" ref="I183"/>
    <hyperlink r:id="rId301" location="index.js" ref="I184"/>
    <hyperlink r:id="rId302" ref="I185"/>
    <hyperlink r:id="rId303" ref="I186"/>
    <hyperlink r:id="rId304" ref="I187"/>
    <hyperlink r:id="rId305" ref="I188"/>
    <hyperlink r:id="rId306" ref="J188"/>
    <hyperlink r:id="rId307" location="index.js" ref="I189"/>
    <hyperlink r:id="rId308" ref="I190"/>
    <hyperlink r:id="rId309" location="index.js" ref="I191"/>
    <hyperlink r:id="rId310" location="index.js" ref="I192"/>
    <hyperlink r:id="rId311" location="index.js" ref="I193"/>
    <hyperlink r:id="rId312" ref="I194"/>
    <hyperlink r:id="rId313" location="index.js" ref="I195"/>
    <hyperlink r:id="rId314" location="index.js" ref="I196"/>
    <hyperlink r:id="rId315" ref="I197"/>
    <hyperlink r:id="rId316" ref="I198"/>
    <hyperlink r:id="rId317" location="index.js" ref="I199"/>
    <hyperlink r:id="rId318" location="index.js" ref="I200"/>
    <hyperlink r:id="rId319" location="index.html" ref="I201"/>
    <hyperlink r:id="rId320" location="index.js" ref="I202"/>
    <hyperlink r:id="rId321" location="index.js" ref="I203"/>
    <hyperlink r:id="rId322" ref="I204"/>
    <hyperlink r:id="rId323" location="index.js" ref="I205"/>
    <hyperlink r:id="rId324" ref="I206"/>
    <hyperlink r:id="rId325" ref="I207"/>
    <hyperlink r:id="rId326" ref="I209"/>
    <hyperlink r:id="rId327" ref="I210"/>
    <hyperlink r:id="rId328" ref="I211"/>
    <hyperlink r:id="rId329" ref="I212"/>
    <hyperlink r:id="rId330" location="index.js" ref="I213"/>
    <hyperlink r:id="rId331" ref="J213"/>
    <hyperlink r:id="rId332" ref="I214"/>
    <hyperlink r:id="rId333" ref="I215"/>
    <hyperlink r:id="rId334" ref="I216"/>
    <hyperlink r:id="rId335" ref="I217"/>
    <hyperlink r:id="rId336" ref="I218"/>
    <hyperlink r:id="rId337" ref="I219"/>
    <hyperlink r:id="rId338" ref="I220"/>
    <hyperlink r:id="rId339" location="index.js" ref="I221"/>
    <hyperlink r:id="rId340" location="index.js" ref="I222"/>
    <hyperlink r:id="rId341" location="index.js" ref="I223"/>
    <hyperlink r:id="rId342" location="index.js" ref="I224"/>
    <hyperlink r:id="rId343" location="index.js" ref="J225"/>
    <hyperlink r:id="rId344" ref="I226"/>
    <hyperlink r:id="rId345" ref="J226"/>
    <hyperlink r:id="rId346" ref="K226"/>
    <hyperlink r:id="rId347" ref="I227"/>
    <hyperlink r:id="rId348" ref="J227"/>
    <hyperlink r:id="rId349" ref="I228"/>
    <hyperlink r:id="rId350" ref="J228"/>
    <hyperlink r:id="rId351" location="index.js" ref="I229"/>
    <hyperlink r:id="rId352" ref="J229"/>
    <hyperlink r:id="rId353" ref="I230"/>
    <hyperlink r:id="rId354" ref="J230"/>
    <hyperlink r:id="rId355" ref="I231"/>
    <hyperlink r:id="rId356" ref="K231"/>
    <hyperlink r:id="rId357" location="index.js" ref="I232"/>
    <hyperlink r:id="rId358" ref="J232"/>
    <hyperlink r:id="rId359" ref="I233"/>
    <hyperlink r:id="rId360" ref="I234"/>
    <hyperlink r:id="rId361" ref="J234"/>
    <hyperlink r:id="rId362" ref="I235"/>
    <hyperlink r:id="rId363" ref="J235"/>
    <hyperlink r:id="rId364" ref="I236"/>
    <hyperlink r:id="rId365" ref="K236"/>
    <hyperlink r:id="rId366" location="index.js" ref="I237"/>
    <hyperlink r:id="rId367" ref="J237"/>
    <hyperlink r:id="rId368" ref="K237"/>
    <hyperlink r:id="rId369" ref="I238"/>
    <hyperlink r:id="rId370" ref="J238"/>
    <hyperlink r:id="rId371" ref="K238"/>
    <hyperlink r:id="rId372" ref="J239"/>
    <hyperlink r:id="rId373" location="index.js" ref="I240"/>
    <hyperlink r:id="rId374" ref="K240"/>
    <hyperlink r:id="rId375" ref="I241"/>
    <hyperlink r:id="rId376" ref="J241"/>
    <hyperlink r:id="rId377" location="index.js" ref="I242"/>
    <hyperlink r:id="rId378" location="index.js" ref="I243"/>
    <hyperlink r:id="rId379" location="index.js" ref="I244"/>
    <hyperlink r:id="rId380" location="index.js" ref="J244"/>
    <hyperlink r:id="rId381" ref="J245"/>
    <hyperlink r:id="rId382" ref="I246"/>
    <hyperlink r:id="rId383" ref="J246"/>
    <hyperlink r:id="rId384" ref="K246"/>
    <hyperlink r:id="rId385" ref="I247"/>
    <hyperlink r:id="rId386" ref="K247"/>
    <hyperlink r:id="rId387" ref="I248"/>
    <hyperlink r:id="rId388" ref="J248"/>
    <hyperlink r:id="rId389" ref="I249"/>
    <hyperlink r:id="rId390" location="index.js" ref="I250"/>
    <hyperlink r:id="rId391" ref="J250"/>
    <hyperlink r:id="rId392" ref="I251"/>
    <hyperlink r:id="rId393" ref="J251"/>
    <hyperlink r:id="rId394" ref="K251"/>
    <hyperlink r:id="rId395" location="index.js" ref="I252"/>
    <hyperlink r:id="rId396" ref="J252"/>
    <hyperlink r:id="rId397" location="index.js" ref="I253"/>
    <hyperlink r:id="rId398" location="index.js" ref="I254"/>
    <hyperlink r:id="rId399" ref="J254"/>
    <hyperlink r:id="rId400" ref="I255"/>
    <hyperlink r:id="rId401" ref="I256"/>
    <hyperlink r:id="rId402" ref="K256"/>
    <hyperlink r:id="rId403" location="index.js" ref="I258"/>
    <hyperlink r:id="rId404" ref="J258"/>
    <hyperlink r:id="rId405" ref="K258"/>
    <hyperlink r:id="rId406" ref="I259"/>
    <hyperlink r:id="rId407" ref="J259"/>
    <hyperlink r:id="rId408" ref="K259"/>
    <hyperlink r:id="rId409" ref="I260"/>
    <hyperlink r:id="rId410" ref="J260"/>
    <hyperlink r:id="rId411" ref="K260"/>
    <hyperlink r:id="rId412" ref="I261"/>
    <hyperlink r:id="rId413" ref="K261"/>
    <hyperlink r:id="rId414" ref="I262"/>
    <hyperlink r:id="rId415" ref="K262"/>
    <hyperlink r:id="rId416" location="index.js" ref="I263"/>
    <hyperlink r:id="rId417" ref="K263"/>
    <hyperlink r:id="rId418" location="index.js" ref="I264"/>
    <hyperlink r:id="rId419" ref="K264"/>
    <hyperlink r:id="rId420" ref="J265"/>
    <hyperlink r:id="rId421" ref="K265"/>
    <hyperlink r:id="rId422" location="index.js" ref="I266"/>
    <hyperlink r:id="rId423" ref="K266"/>
    <hyperlink r:id="rId424" ref="K267"/>
    <hyperlink r:id="rId425" location="index.js" ref="I268"/>
    <hyperlink r:id="rId426" location="index.js" ref="I269"/>
    <hyperlink r:id="rId427" location="G1nzLpWTd_48ELZmGeM-7fakMOMyAy5JhP" ref="J269"/>
    <hyperlink r:id="rId428" ref="K269"/>
    <hyperlink r:id="rId429" ref="I270"/>
    <hyperlink r:id="rId430" ref="J270"/>
    <hyperlink r:id="rId431" ref="K270"/>
    <hyperlink r:id="rId432" location="index.js" ref="I271"/>
    <hyperlink r:id="rId433" ref="K271"/>
    <hyperlink r:id="rId434" ref="I272"/>
    <hyperlink r:id="rId435" ref="J272"/>
    <hyperlink r:id="rId436" ref="K272"/>
    <hyperlink r:id="rId437" ref="I273"/>
    <hyperlink r:id="rId438" ref="J273"/>
    <hyperlink r:id="rId439" ref="K273"/>
    <hyperlink r:id="rId440" ref="I274"/>
    <hyperlink r:id="rId441" ref="I275"/>
    <hyperlink r:id="rId442" ref="I276"/>
    <hyperlink r:id="rId443" ref="J277"/>
    <hyperlink r:id="rId444" ref="I278"/>
    <hyperlink r:id="rId445" ref="I279"/>
    <hyperlink r:id="rId446" ref="I280"/>
    <hyperlink r:id="rId447" ref="I281"/>
    <hyperlink r:id="rId448" ref="I282"/>
    <hyperlink r:id="rId449" location="index.js" ref="I283"/>
    <hyperlink r:id="rId450" ref="J283"/>
    <hyperlink r:id="rId451" ref="I284"/>
    <hyperlink r:id="rId452" ref="J284"/>
    <hyperlink r:id="rId453" ref="I285"/>
    <hyperlink r:id="rId454" ref="J285"/>
    <hyperlink r:id="rId455" location="script.js" ref="I286"/>
    <hyperlink r:id="rId456" location="Hf-chilmi%2Fexpress-backend%2Fmaster%2Fflowchart%2FarkFood%20flowchard.png" ref="J286"/>
    <hyperlink r:id="rId457" ref="I287"/>
    <hyperlink r:id="rId458" ref="J287"/>
    <hyperlink r:id="rId459" ref="I288"/>
    <hyperlink r:id="rId460" ref="J288"/>
    <hyperlink r:id="rId461" ref="I289"/>
    <hyperlink r:id="rId462" ref="J289"/>
    <hyperlink r:id="rId463" ref="I290"/>
    <hyperlink r:id="rId464" ref="J290"/>
    <hyperlink r:id="rId465" ref="I291"/>
    <hyperlink r:id="rId466" ref="J291"/>
    <hyperlink r:id="rId467" location="index.js" ref="I292"/>
    <hyperlink r:id="rId468" ref="J292"/>
    <hyperlink r:id="rId469" ref="I293"/>
    <hyperlink r:id="rId470" location="index.js" ref="I294"/>
    <hyperlink r:id="rId471" ref="I295"/>
    <hyperlink r:id="rId472" ref="I296"/>
    <hyperlink r:id="rId473" ref="I297"/>
    <hyperlink r:id="rId474" location="index.js" ref="I298"/>
    <hyperlink r:id="rId475" ref="I299"/>
    <hyperlink r:id="rId476" location="index.js" ref="I300"/>
    <hyperlink r:id="rId477" location="index.js" ref="I301"/>
    <hyperlink r:id="rId478" location="index.js" ref="I302"/>
    <hyperlink r:id="rId479" location="index.js" ref="I303"/>
    <hyperlink r:id="rId480" ref="I304"/>
    <hyperlink r:id="rId481" location="index.js" ref="I305"/>
    <hyperlink r:id="rId482" ref="J305"/>
    <hyperlink r:id="rId483" ref="K305"/>
    <hyperlink r:id="rId484" ref="I306"/>
    <hyperlink r:id="rId485" ref="J306"/>
    <hyperlink r:id="rId486" location="index.js" ref="I307"/>
    <hyperlink r:id="rId487" ref="J307"/>
    <hyperlink r:id="rId488" ref="K307"/>
    <hyperlink r:id="rId489" ref="I308"/>
    <hyperlink r:id="rId490" ref="J308"/>
    <hyperlink r:id="rId491" ref="K308"/>
    <hyperlink r:id="rId492" location="index.js" ref="I309"/>
    <hyperlink r:id="rId493" ref="I310"/>
    <hyperlink r:id="rId494" location="index.js" ref="I311"/>
    <hyperlink r:id="rId495" ref="J311"/>
    <hyperlink r:id="rId496" ref="K311"/>
    <hyperlink r:id="rId497" location="index.js" ref="I312"/>
    <hyperlink r:id="rId498" ref="J312"/>
    <hyperlink r:id="rId499" ref="K312"/>
    <hyperlink r:id="rId500" ref="I313"/>
    <hyperlink r:id="rId501" ref="K313"/>
    <hyperlink r:id="rId502" ref="I314"/>
    <hyperlink r:id="rId503" ref="J314"/>
    <hyperlink r:id="rId504" location="index.js" ref="I315"/>
    <hyperlink r:id="rId505" ref="J315"/>
    <hyperlink r:id="rId506" ref="K315"/>
    <hyperlink r:id="rId507" ref="I316"/>
    <hyperlink r:id="rId508" ref="J316"/>
    <hyperlink r:id="rId509" ref="I317"/>
    <hyperlink r:id="rId510" ref="I318"/>
    <hyperlink r:id="rId511" ref="I319"/>
    <hyperlink r:id="rId512" ref="J319"/>
    <hyperlink r:id="rId513" ref="K319"/>
    <hyperlink r:id="rId514" ref="I320"/>
    <hyperlink r:id="rId515" ref="K320"/>
    <hyperlink r:id="rId516" ref="I321"/>
    <hyperlink r:id="rId517" ref="J321"/>
    <hyperlink r:id="rId518" ref="K321"/>
    <hyperlink r:id="rId519" ref="I322"/>
    <hyperlink r:id="rId520" location="index.js" ref="I323"/>
    <hyperlink r:id="rId521" ref="J323"/>
    <hyperlink r:id="rId522" ref="K323"/>
    <hyperlink r:id="rId523" location="index.js" ref="I324"/>
    <hyperlink r:id="rId524" ref="J324"/>
    <hyperlink r:id="rId525" ref="I325"/>
    <hyperlink r:id="rId526" ref="I326"/>
    <hyperlink r:id="rId527" ref="J326"/>
    <hyperlink r:id="rId528" ref="K326"/>
    <hyperlink r:id="rId529" location="index.js" ref="I327"/>
    <hyperlink r:id="rId530" ref="J327"/>
    <hyperlink r:id="rId531" ref="I328"/>
    <hyperlink r:id="rId532" location="index.js" ref="I329"/>
    <hyperlink r:id="rId533" ref="J329"/>
    <hyperlink r:id="rId534" ref="I330"/>
    <hyperlink r:id="rId535" ref="J330"/>
    <hyperlink r:id="rId536" ref="I331"/>
    <hyperlink r:id="rId537" ref="I332"/>
    <hyperlink r:id="rId538" ref="K332"/>
    <hyperlink r:id="rId539" location="index.js" ref="I333"/>
    <hyperlink r:id="rId540" ref="J333"/>
    <hyperlink r:id="rId541" ref="K333"/>
    <hyperlink r:id="rId542" ref="I334"/>
    <hyperlink r:id="rId543" ref="K334"/>
    <hyperlink r:id="rId544" location="index.js" ref="I335"/>
    <hyperlink r:id="rId545" ref="J335"/>
    <hyperlink r:id="rId546" ref="I336"/>
    <hyperlink r:id="rId547" location="index.js" ref="I337"/>
    <hyperlink r:id="rId548" ref="J337"/>
    <hyperlink r:id="rId549" location="index2.js" ref="I338"/>
    <hyperlink r:id="rId550" ref="I339"/>
    <hyperlink r:id="rId551" ref="J339"/>
    <hyperlink r:id="rId552" ref="I340"/>
    <hyperlink r:id="rId553" ref="I341"/>
    <hyperlink r:id="rId554" ref="I342"/>
    <hyperlink r:id="rId555" ref="I343"/>
    <hyperlink r:id="rId556" ref="I344"/>
    <hyperlink r:id="rId557" ref="I345"/>
    <hyperlink r:id="rId558" ref="I346"/>
    <hyperlink r:id="rId559" ref="I347"/>
    <hyperlink r:id="rId560" ref="I348"/>
    <hyperlink r:id="rId561" ref="I349"/>
    <hyperlink r:id="rId562" ref="I350"/>
    <hyperlink r:id="rId563" ref="J350"/>
    <hyperlink r:id="rId564" location="main.kt" ref="I351"/>
    <hyperlink r:id="rId565" ref="J351"/>
    <hyperlink r:id="rId566" ref="K351"/>
    <hyperlink r:id="rId567" ref="I352"/>
    <hyperlink r:id="rId568" ref="K352"/>
    <hyperlink r:id="rId569" ref="I353"/>
    <hyperlink r:id="rId570" ref="J353"/>
    <hyperlink r:id="rId571" ref="K353"/>
    <hyperlink r:id="rId572" ref="I354"/>
    <hyperlink r:id="rId573" ref="I355"/>
    <hyperlink r:id="rId574" ref="K355"/>
    <hyperlink r:id="rId575" location="main.kt" ref="I356"/>
    <hyperlink r:id="rId576" ref="K356"/>
    <hyperlink r:id="rId577" ref="I357"/>
    <hyperlink r:id="rId578" ref="I358"/>
    <hyperlink r:id="rId579" ref="J358"/>
    <hyperlink r:id="rId580" ref="K358"/>
    <hyperlink r:id="rId581" ref="J359"/>
    <hyperlink r:id="rId582" ref="I360"/>
    <hyperlink r:id="rId583" ref="I361"/>
    <hyperlink r:id="rId584" location="index.js" ref="I362"/>
    <hyperlink r:id="rId585" ref="J362"/>
    <hyperlink r:id="rId586" ref="I363"/>
    <hyperlink r:id="rId587" ref="I364"/>
    <hyperlink r:id="rId588" location="index.js" ref="I365"/>
    <hyperlink r:id="rId589" ref="I366"/>
    <hyperlink r:id="rId590" location="index.js" ref="I367"/>
    <hyperlink r:id="rId591" location="index.js" ref="I368"/>
    <hyperlink r:id="rId592" ref="J368"/>
    <hyperlink r:id="rId593" location="index.js" ref="I369"/>
    <hyperlink r:id="rId594" ref="I370"/>
    <hyperlink r:id="rId595" ref="I371"/>
    <hyperlink r:id="rId596" location="index.js" ref="I372"/>
    <hyperlink r:id="rId597" ref="I373"/>
    <hyperlink r:id="rId598" ref="I374"/>
    <hyperlink r:id="rId599" location="index.js" ref="I375"/>
    <hyperlink r:id="rId600" ref="J375"/>
    <hyperlink r:id="rId601" ref="K375"/>
    <hyperlink r:id="rId602" ref="I376"/>
    <hyperlink r:id="rId603" ref="J376"/>
    <hyperlink r:id="rId604" location="index.js" ref="I377"/>
    <hyperlink r:id="rId605" ref="J377"/>
    <hyperlink r:id="rId606" location="index.js" ref="I378"/>
    <hyperlink r:id="rId607" ref="J378"/>
    <hyperlink r:id="rId608" ref="I379"/>
    <hyperlink r:id="rId609" ref="J379"/>
    <hyperlink r:id="rId610" ref="K379"/>
    <hyperlink r:id="rId611" ref="I380"/>
    <hyperlink r:id="rId612" ref="J380"/>
    <hyperlink r:id="rId613" ref="I381"/>
    <hyperlink r:id="rId614" ref="J381"/>
    <hyperlink r:id="rId615" location="index.js" ref="I382"/>
    <hyperlink r:id="rId616" ref="J382"/>
    <hyperlink r:id="rId617" location="index.js" ref="I383"/>
    <hyperlink r:id="rId618" ref="J383"/>
    <hyperlink r:id="rId619" ref="K383"/>
    <hyperlink r:id="rId620" ref="I384"/>
    <hyperlink r:id="rId621" ref="J384"/>
    <hyperlink r:id="rId622" ref="K384"/>
    <hyperlink r:id="rId623" location="index.js" ref="I385"/>
    <hyperlink r:id="rId624" location="index.js" ref="I386"/>
    <hyperlink r:id="rId625" ref="J386"/>
    <hyperlink r:id="rId626" ref="I387"/>
    <hyperlink r:id="rId627" ref="I388"/>
    <hyperlink r:id="rId628" ref="J388"/>
    <hyperlink r:id="rId629" ref="K388"/>
    <hyperlink r:id="rId630" location="index.js" ref="I389"/>
    <hyperlink r:id="rId631" ref="J389"/>
    <hyperlink r:id="rId632" location="index.js" ref="I390"/>
    <hyperlink r:id="rId633" ref="I391"/>
    <hyperlink r:id="rId634" ref="J391"/>
    <hyperlink r:id="rId635" ref="I392"/>
    <hyperlink r:id="rId636" ref="J392"/>
    <hyperlink r:id="rId637" ref="I393"/>
    <hyperlink r:id="rId638" ref="J393"/>
    <hyperlink r:id="rId639" ref="K393"/>
    <hyperlink r:id="rId640" location="index.js" ref="I394"/>
    <hyperlink r:id="rId641" ref="J394"/>
    <hyperlink r:id="rId642" ref="I395"/>
    <hyperlink r:id="rId643" ref="I396"/>
    <hyperlink r:id="rId644" ref="J396"/>
    <hyperlink r:id="rId645" location="ARKWH2/quis%202.js" ref="I397"/>
    <hyperlink r:id="rId646" ref="J397"/>
    <hyperlink r:id="rId647" ref="I398"/>
    <hyperlink r:id="rId648" ref="J398"/>
    <hyperlink r:id="rId649" location="index.js" ref="I399"/>
    <hyperlink r:id="rId650" ref="J399"/>
    <hyperlink r:id="rId651" location="index.js" ref="I400"/>
    <hyperlink r:id="rId652" ref="J400"/>
    <hyperlink r:id="rId653" location="index.js" ref="I401"/>
    <hyperlink r:id="rId654" location="index.js" ref="I402"/>
    <hyperlink r:id="rId655" ref="J402"/>
    <hyperlink r:id="rId656" ref="I403"/>
    <hyperlink r:id="rId657" ref="J403"/>
    <hyperlink r:id="rId658" ref="I404"/>
    <hyperlink r:id="rId659" ref="J404"/>
    <hyperlink r:id="rId660" ref="K404"/>
    <hyperlink r:id="rId661" ref="I405"/>
    <hyperlink r:id="rId662" ref="I406"/>
    <hyperlink r:id="rId663" ref="J406"/>
    <hyperlink r:id="rId664" ref="K406"/>
    <hyperlink r:id="rId665" location="index.js" ref="I407"/>
    <hyperlink r:id="rId666" ref="K407"/>
    <hyperlink r:id="rId667" ref="I408"/>
    <hyperlink r:id="rId668" ref="K408"/>
    <hyperlink r:id="rId669" ref="I409"/>
    <hyperlink r:id="rId670" ref="J409"/>
    <hyperlink r:id="rId671" ref="K409"/>
    <hyperlink r:id="rId672" location="index.js" ref="I410"/>
    <hyperlink r:id="rId673" ref="J410"/>
    <hyperlink r:id="rId674" ref="K410"/>
    <hyperlink r:id="rId675" location="index.js" ref="I411"/>
    <hyperlink r:id="rId676" ref="J411"/>
    <hyperlink r:id="rId677" ref="K411"/>
    <hyperlink r:id="rId678" ref="I412"/>
    <hyperlink r:id="rId679" ref="J412"/>
    <hyperlink r:id="rId680" ref="K412"/>
    <hyperlink r:id="rId681" location="index.js" ref="I413"/>
    <hyperlink r:id="rId682" location="index.js" ref="I414"/>
    <hyperlink r:id="rId683" ref="K414"/>
    <hyperlink r:id="rId684" location="index.js" ref="I415"/>
    <hyperlink r:id="rId685" ref="K415"/>
    <hyperlink r:id="rId686" ref="I416"/>
    <hyperlink r:id="rId687" ref="J416"/>
    <hyperlink r:id="rId688" ref="K416"/>
    <hyperlink r:id="rId689" ref="I417"/>
    <hyperlink r:id="rId690" ref="K417"/>
    <hyperlink r:id="rId691" ref="I418"/>
    <hyperlink r:id="rId692" ref="K418"/>
    <hyperlink r:id="rId693" ref="I419"/>
    <hyperlink r:id="rId694" ref="I420"/>
    <hyperlink r:id="rId695" ref="I421"/>
    <hyperlink r:id="rId696" ref="J421"/>
    <hyperlink r:id="rId697" location="index.js" ref="I422"/>
    <hyperlink r:id="rId698" ref="J422"/>
    <hyperlink r:id="rId699" location="index.js" ref="I423"/>
    <hyperlink r:id="rId700" ref="J423"/>
    <hyperlink r:id="rId701" location="index.js" ref="I424"/>
    <hyperlink r:id="rId702" ref="J424"/>
    <hyperlink r:id="rId703" ref="I425"/>
    <hyperlink r:id="rId704" ref="J425"/>
    <hyperlink r:id="rId705" location="index.js" ref="I426"/>
    <hyperlink r:id="rId706" ref="J426"/>
    <hyperlink r:id="rId707" ref="I427"/>
    <hyperlink r:id="rId708" ref="J427"/>
    <hyperlink r:id="rId709" ref="I428"/>
    <hyperlink r:id="rId710" ref="I429"/>
    <hyperlink r:id="rId711" ref="J429"/>
    <hyperlink r:id="rId712" ref="I430"/>
    <hyperlink r:id="rId713" ref="I431"/>
    <hyperlink r:id="rId714" ref="J431"/>
    <hyperlink r:id="rId715" ref="I432"/>
    <hyperlink r:id="rId716" location="index.js" ref="I433"/>
    <hyperlink r:id="rId717" ref="I434"/>
    <hyperlink r:id="rId718" ref="I435"/>
    <hyperlink r:id="rId719" ref="I436"/>
    <hyperlink r:id="rId720" location="index.js" ref="I437"/>
    <hyperlink r:id="rId721" location="index.js" ref="I438"/>
    <hyperlink r:id="rId722" location="index.js" ref="I439"/>
    <hyperlink r:id="rId723" location="index.js" ref="I440"/>
    <hyperlink r:id="rId724" location="index.js" ref="I441"/>
    <hyperlink r:id="rId725" ref="J442"/>
    <hyperlink r:id="rId726" ref="I443"/>
    <hyperlink r:id="rId727" ref="I444"/>
    <hyperlink r:id="rId728" ref="I445"/>
    <hyperlink r:id="rId729" ref="I446"/>
    <hyperlink r:id="rId730" location="index.js" ref="I447"/>
    <hyperlink r:id="rId731" ref="I448"/>
    <hyperlink r:id="rId732" location="index.js" ref="I449"/>
    <hyperlink r:id="rId733" location="index.js" ref="I450"/>
    <hyperlink r:id="rId734" location="index.js" ref="I451"/>
    <hyperlink r:id="rId735" location="index.js" ref="I452"/>
    <hyperlink r:id="rId736" location="index.js" ref="I453"/>
    <hyperlink r:id="rId737" ref="I454"/>
    <hyperlink r:id="rId738" ref="I455"/>
    <hyperlink r:id="rId739" ref="I456"/>
    <hyperlink r:id="rId740" location="index.js" ref="I457"/>
    <hyperlink r:id="rId741" ref="I458"/>
    <hyperlink r:id="rId742" location="index.js" ref="I459"/>
    <hyperlink r:id="rId743" ref="I460"/>
    <hyperlink r:id="rId744" location="index.js" ref="I461"/>
    <hyperlink r:id="rId745" ref="I462"/>
    <hyperlink r:id="rId746" location="index.js" ref="I463"/>
    <hyperlink r:id="rId747" location="index.js" ref="J463"/>
    <hyperlink r:id="rId748" ref="I464"/>
    <hyperlink r:id="rId749" ref="I465"/>
    <hyperlink r:id="rId750" ref="I466"/>
    <hyperlink r:id="rId751" ref="I467"/>
    <hyperlink r:id="rId752" ref="I468"/>
    <hyperlink r:id="rId753" ref="I469"/>
    <hyperlink r:id="rId754" ref="I470"/>
    <hyperlink r:id="rId755" location="index.js" ref="I471"/>
    <hyperlink r:id="rId756" location="index.js" ref="I472"/>
    <hyperlink r:id="rId757" location="index.js" ref="I473"/>
    <hyperlink r:id="rId758" ref="I475"/>
    <hyperlink r:id="rId759" location="index.js" ref="I476"/>
    <hyperlink r:id="rId760" ref="I477"/>
    <hyperlink r:id="rId761" location="index.js" ref="I478"/>
    <hyperlink r:id="rId762" ref="I479"/>
    <hyperlink r:id="rId763" ref="I480"/>
    <hyperlink r:id="rId764" ref="I482"/>
    <hyperlink r:id="rId765" location="index.js" ref="I483"/>
    <hyperlink r:id="rId766" ref="I484"/>
    <hyperlink r:id="rId767" location="index.js" ref="I485"/>
    <hyperlink r:id="rId768" location="index.js" ref="I486"/>
    <hyperlink r:id="rId769" ref="I487"/>
    <hyperlink r:id="rId770" ref="I488"/>
    <hyperlink r:id="rId771" ref="I489"/>
    <hyperlink r:id="rId772" ref="I490"/>
    <hyperlink r:id="rId773" ref="I491"/>
    <hyperlink r:id="rId774" ref="I494"/>
    <hyperlink r:id="rId775" ref="I495"/>
    <hyperlink r:id="rId776" ref="I496"/>
    <hyperlink r:id="rId777" location="index.js" ref="I497"/>
    <hyperlink r:id="rId778" ref="J498"/>
    <hyperlink r:id="rId779" ref="I499"/>
    <hyperlink r:id="rId780" location="1.js" ref="I500"/>
    <hyperlink r:id="rId781" ref="I501"/>
    <hyperlink r:id="rId782" location="index.js" ref="J502"/>
    <hyperlink r:id="rId783" location="index.js" ref="I503"/>
    <hyperlink r:id="rId784" ref="I504"/>
    <hyperlink r:id="rId785" ref="I505"/>
    <hyperlink r:id="rId786" ref="I507"/>
    <hyperlink r:id="rId787" ref="I508"/>
    <hyperlink r:id="rId788" ref="J510"/>
    <hyperlink r:id="rId789" ref="K510"/>
    <hyperlink r:id="rId790" ref="J511"/>
    <hyperlink r:id="rId791" ref="I512"/>
    <hyperlink r:id="rId792" ref="J512"/>
    <hyperlink r:id="rId793" ref="I513"/>
    <hyperlink r:id="rId794" ref="J513"/>
    <hyperlink r:id="rId795" ref="J514"/>
    <hyperlink r:id="rId796" location="main.kt" ref="I515"/>
    <hyperlink r:id="rId797" ref="K515"/>
    <hyperlink r:id="rId798" ref="I516"/>
    <hyperlink r:id="rId799" ref="J516"/>
    <hyperlink r:id="rId800" ref="K516"/>
    <hyperlink r:id="rId801" location="main.kt" ref="I517"/>
    <hyperlink r:id="rId802" ref="J517"/>
    <hyperlink r:id="rId803" ref="K517"/>
    <hyperlink r:id="rId804" ref="I518"/>
    <hyperlink r:id="rId805" location="index.js" ref="I519"/>
    <hyperlink r:id="rId806" ref="K519"/>
    <hyperlink r:id="rId807" location="index.js" ref="I520"/>
    <hyperlink r:id="rId808" ref="J520"/>
    <hyperlink r:id="rId809" ref="K520"/>
    <hyperlink r:id="rId810" ref="I521"/>
    <hyperlink r:id="rId811" ref="I522"/>
    <hyperlink r:id="rId812" ref="K522"/>
    <hyperlink r:id="rId813" location="index.js" ref="I523"/>
    <hyperlink r:id="rId814" ref="K523"/>
    <hyperlink r:id="rId815" ref="I524"/>
    <hyperlink r:id="rId816" ref="K524"/>
    <hyperlink r:id="rId817" ref="I525"/>
    <hyperlink r:id="rId818" ref="K525"/>
    <hyperlink r:id="rId819" ref="I526"/>
    <hyperlink r:id="rId820" ref="K526"/>
    <hyperlink r:id="rId821" location="index.js" ref="I527"/>
    <hyperlink r:id="rId822" ref="K527"/>
    <hyperlink r:id="rId823" ref="I528"/>
    <hyperlink r:id="rId824" ref="K528"/>
    <hyperlink r:id="rId825" location="index.js" ref="I529"/>
    <hyperlink r:id="rId826" ref="K529"/>
    <hyperlink r:id="rId827" ref="I530"/>
    <hyperlink r:id="rId828" ref="K530"/>
    <hyperlink r:id="rId829" location="index.js" ref="I531"/>
    <hyperlink r:id="rId830" ref="K531"/>
    <hyperlink r:id="rId831" location="index.js" ref="I532"/>
    <hyperlink r:id="rId832" ref="K532"/>
    <hyperlink r:id="rId833" location="index.js" ref="I533"/>
    <hyperlink r:id="rId834" ref="J533"/>
    <hyperlink r:id="rId835" ref="I534"/>
    <hyperlink r:id="rId836" ref="J534"/>
    <hyperlink r:id="rId837" location="index.js" ref="I535"/>
    <hyperlink r:id="rId838" ref="K535"/>
    <hyperlink r:id="rId839" location="index.js" ref="I536"/>
    <hyperlink r:id="rId840" ref="K536"/>
    <hyperlink r:id="rId841" ref="I537"/>
    <hyperlink r:id="rId842" ref="K537"/>
    <hyperlink r:id="rId843" ref="I538"/>
    <hyperlink r:id="rId844" ref="K538"/>
    <hyperlink r:id="rId845" location="index.js" ref="I539"/>
    <hyperlink r:id="rId846" ref="K539"/>
    <hyperlink r:id="rId847" ref="I540"/>
    <hyperlink r:id="rId848" ref="J540"/>
    <hyperlink r:id="rId849" ref="I541"/>
    <hyperlink r:id="rId850" ref="J541"/>
    <hyperlink r:id="rId851" location="index.js" ref="I542"/>
    <hyperlink r:id="rId852" ref="I543"/>
    <hyperlink r:id="rId853" ref="J543"/>
    <hyperlink r:id="rId854" ref="I544"/>
    <hyperlink r:id="rId855" ref="J544"/>
    <hyperlink r:id="rId856" ref="K544"/>
    <hyperlink r:id="rId857" location="index.js" ref="I545"/>
    <hyperlink r:id="rId858" ref="K545"/>
    <hyperlink r:id="rId859" location="index.js" ref="I546"/>
    <hyperlink r:id="rId860" ref="K546"/>
    <hyperlink r:id="rId861" location="index.js" ref="I547"/>
    <hyperlink r:id="rId862" ref="J547"/>
    <hyperlink r:id="rId863" location="index.js" ref="I548"/>
    <hyperlink r:id="rId864" ref="J548"/>
    <hyperlink r:id="rId865" ref="I549"/>
    <hyperlink r:id="rId866" ref="J549"/>
    <hyperlink r:id="rId867" ref="K549"/>
    <hyperlink r:id="rId868" location="index.js" ref="I550"/>
    <hyperlink r:id="rId869" ref="J550"/>
    <hyperlink r:id="rId870" location="index.js" ref="I551"/>
    <hyperlink r:id="rId871" ref="J551"/>
    <hyperlink r:id="rId872" location="index.js" ref="I552"/>
    <hyperlink r:id="rId873" ref="I553"/>
    <hyperlink r:id="rId874" ref="J553"/>
    <hyperlink r:id="rId875" location="index.js" ref="I554"/>
    <hyperlink r:id="rId876" ref="J554"/>
    <hyperlink r:id="rId877" location="index.js" ref="I555"/>
    <hyperlink r:id="rId878" ref="J555"/>
    <hyperlink r:id="rId879" location="index.js" ref="I556"/>
    <hyperlink r:id="rId880" ref="J556"/>
    <hyperlink r:id="rId881" location="index.js" ref="I557"/>
    <hyperlink r:id="rId882" ref="J557"/>
    <hyperlink r:id="rId883" ref="K557"/>
    <hyperlink r:id="rId884" location="index.js" ref="I558"/>
    <hyperlink r:id="rId885" ref="J558"/>
    <hyperlink r:id="rId886" ref="I559"/>
    <hyperlink r:id="rId887" ref="J559"/>
    <hyperlink r:id="rId888" ref="I560"/>
    <hyperlink r:id="rId889" ref="K560"/>
    <hyperlink r:id="rId890" ref="I561"/>
    <hyperlink r:id="rId891" ref="I562"/>
    <hyperlink r:id="rId892" ref="J562"/>
    <hyperlink r:id="rId893" location="index.js" ref="I563"/>
    <hyperlink r:id="rId894" location="G16hDq9Eypd9C6Ips-kInE01QI1GOiwCC4" ref="J563"/>
    <hyperlink r:id="rId895" ref="I564"/>
    <hyperlink r:id="rId896" ref="J564"/>
    <hyperlink r:id="rId897" ref="K564"/>
    <hyperlink r:id="rId898" location="script.js" ref="I565"/>
    <hyperlink r:id="rId899" ref="K565"/>
    <hyperlink r:id="rId900" ref="I566"/>
    <hyperlink r:id="rId901" ref="K566"/>
    <hyperlink r:id="rId902" ref="I567"/>
    <hyperlink r:id="rId903" ref="K567"/>
    <hyperlink r:id="rId904" ref="I568"/>
    <hyperlink r:id="rId905" ref="K568"/>
    <hyperlink r:id="rId906" location="index.js" ref="I569"/>
    <hyperlink r:id="rId907" ref="K569"/>
    <hyperlink r:id="rId908" ref="I570"/>
    <hyperlink r:id="rId909" ref="K570"/>
    <hyperlink r:id="rId910" ref="I571"/>
    <hyperlink r:id="rId911" ref="K571"/>
    <hyperlink r:id="rId912" location="index.js" ref="I572"/>
    <hyperlink r:id="rId913" ref="K572"/>
    <hyperlink r:id="rId914" ref="I573"/>
    <hyperlink r:id="rId915" ref="K573"/>
    <hyperlink r:id="rId916" ref="I574"/>
    <hyperlink r:id="rId917" ref="K574"/>
    <hyperlink r:id="rId918" ref="I575"/>
    <hyperlink r:id="rId919" ref="J575"/>
    <hyperlink r:id="rId920" ref="K575"/>
    <hyperlink r:id="rId921" location="index.js" ref="I576"/>
    <hyperlink r:id="rId922" location="index.js" ref="J576"/>
    <hyperlink r:id="rId923" ref="K576"/>
    <hyperlink r:id="rId924" location="index.js" ref="I577"/>
    <hyperlink r:id="rId925" location="index.js" ref="J577"/>
    <hyperlink r:id="rId926" ref="K577"/>
    <hyperlink r:id="rId927" ref="I578"/>
    <hyperlink r:id="rId928" ref="K578"/>
    <hyperlink r:id="rId929" ref="I579"/>
    <hyperlink r:id="rId930" ref="I580"/>
    <hyperlink r:id="rId931" ref="I581"/>
    <hyperlink r:id="rId932" ref="I582"/>
    <hyperlink r:id="rId933" ref="I583"/>
    <hyperlink r:id="rId934" ref="I584"/>
    <hyperlink r:id="rId935" ref="I585"/>
    <hyperlink r:id="rId936" ref="I586"/>
    <hyperlink r:id="rId937" ref="J586"/>
    <hyperlink r:id="rId938" ref="I587"/>
    <hyperlink r:id="rId939" ref="J587"/>
    <hyperlink r:id="rId940" location="index.js" ref="I588"/>
    <hyperlink r:id="rId941" ref="J588"/>
    <hyperlink r:id="rId942" ref="I589"/>
    <hyperlink r:id="rId943" ref="J589"/>
    <hyperlink r:id="rId944" ref="K589"/>
    <hyperlink r:id="rId945" location="index.js" ref="I590"/>
    <hyperlink r:id="rId946" ref="J590"/>
    <hyperlink r:id="rId947" ref="K590"/>
    <hyperlink r:id="rId948" ref="I591"/>
    <hyperlink r:id="rId949" ref="K591"/>
    <hyperlink r:id="rId950" location="index.js" ref="I592"/>
    <hyperlink r:id="rId951" ref="J592"/>
    <hyperlink r:id="rId952" ref="K592"/>
    <hyperlink r:id="rId953" ref="I593"/>
    <hyperlink r:id="rId954" ref="K593"/>
    <hyperlink r:id="rId955" location="index.js" ref="I594"/>
    <hyperlink r:id="rId956" ref="K594"/>
    <hyperlink r:id="rId957" location="index.js" ref="I595"/>
    <hyperlink r:id="rId958" ref="K595"/>
    <hyperlink r:id="rId959" ref="I596"/>
    <hyperlink r:id="rId960" ref="I597"/>
    <hyperlink r:id="rId961" location="index.js" ref="I598"/>
    <hyperlink r:id="rId962" ref="K598"/>
  </hyperlinks>
  <drawing r:id="rId963"/>
</worksheet>
</file>