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max/Google Диск/Документы/ИТМО/2 курс/Основы электротехники/"/>
    </mc:Choice>
  </mc:AlternateContent>
  <bookViews>
    <workbookView xWindow="3440" yWindow="980" windowWidth="28800" windowHeight="17600" tabRatio="500" activeTab="2"/>
  </bookViews>
  <sheets>
    <sheet name="1" sheetId="1" r:id="rId1"/>
    <sheet name="2" sheetId="2" r:id="rId2"/>
    <sheet name="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3" l="1"/>
  <c r="M30" i="3"/>
  <c r="N30" i="3"/>
  <c r="O30" i="3"/>
  <c r="P30" i="3"/>
  <c r="Q30" i="3"/>
  <c r="R30" i="3"/>
  <c r="B30" i="3"/>
  <c r="C30" i="3"/>
  <c r="D30" i="3"/>
  <c r="E30" i="3"/>
  <c r="F30" i="3"/>
  <c r="G30" i="3"/>
  <c r="H30" i="3"/>
  <c r="I30" i="3"/>
  <c r="J30" i="3"/>
  <c r="K30" i="3"/>
  <c r="A30" i="3"/>
  <c r="A25" i="3"/>
  <c r="A26" i="3"/>
  <c r="A27" i="3"/>
  <c r="A28" i="3"/>
  <c r="A29" i="3"/>
  <c r="A24" i="3"/>
  <c r="M25" i="3"/>
  <c r="I19" i="3"/>
  <c r="N25" i="3"/>
  <c r="K19" i="3"/>
  <c r="O25" i="3"/>
  <c r="Q25" i="3"/>
  <c r="E19" i="3"/>
  <c r="P25" i="3"/>
  <c r="B25" i="3"/>
  <c r="M26" i="3"/>
  <c r="N26" i="3"/>
  <c r="O26" i="3"/>
  <c r="Q26" i="3"/>
  <c r="P26" i="3"/>
  <c r="B26" i="3"/>
  <c r="M27" i="3"/>
  <c r="N27" i="3"/>
  <c r="O27" i="3"/>
  <c r="Q27" i="3"/>
  <c r="P27" i="3"/>
  <c r="B27" i="3"/>
  <c r="M28" i="3"/>
  <c r="N28" i="3"/>
  <c r="O28" i="3"/>
  <c r="Q28" i="3"/>
  <c r="P28" i="3"/>
  <c r="B28" i="3"/>
  <c r="M29" i="3"/>
  <c r="N29" i="3"/>
  <c r="O29" i="3"/>
  <c r="Q29" i="3"/>
  <c r="P29" i="3"/>
  <c r="B29" i="3"/>
  <c r="M24" i="3"/>
  <c r="N24" i="3"/>
  <c r="O24" i="3"/>
  <c r="Q24" i="3"/>
  <c r="P24" i="3"/>
  <c r="B24" i="3"/>
  <c r="C21" i="3"/>
  <c r="R25" i="3"/>
  <c r="C19" i="3"/>
  <c r="C25" i="3"/>
  <c r="F25" i="3"/>
  <c r="R26" i="3"/>
  <c r="C26" i="3"/>
  <c r="F26" i="3"/>
  <c r="R27" i="3"/>
  <c r="C27" i="3"/>
  <c r="F27" i="3"/>
  <c r="R28" i="3"/>
  <c r="C28" i="3"/>
  <c r="F28" i="3"/>
  <c r="R29" i="3"/>
  <c r="C29" i="3"/>
  <c r="F29" i="3"/>
  <c r="R24" i="3"/>
  <c r="C24" i="3"/>
  <c r="F24" i="3"/>
  <c r="E25" i="3"/>
  <c r="E26" i="3"/>
  <c r="E27" i="3"/>
  <c r="E28" i="3"/>
  <c r="E29" i="3"/>
  <c r="E24" i="3"/>
  <c r="D25" i="3"/>
  <c r="D26" i="3"/>
  <c r="D27" i="3"/>
  <c r="D28" i="3"/>
  <c r="D29" i="3"/>
  <c r="D24" i="3"/>
  <c r="G19" i="3"/>
  <c r="G25" i="3"/>
  <c r="H25" i="3"/>
  <c r="I25" i="3"/>
  <c r="J25" i="3"/>
  <c r="K25" i="3"/>
  <c r="G26" i="3"/>
  <c r="H26" i="3"/>
  <c r="I26" i="3"/>
  <c r="J26" i="3"/>
  <c r="K26" i="3"/>
  <c r="G27" i="3"/>
  <c r="H27" i="3"/>
  <c r="I27" i="3"/>
  <c r="J27" i="3"/>
  <c r="K27" i="3"/>
  <c r="G28" i="3"/>
  <c r="H28" i="3"/>
  <c r="I28" i="3"/>
  <c r="J28" i="3"/>
  <c r="K28" i="3"/>
  <c r="G29" i="3"/>
  <c r="H29" i="3"/>
  <c r="I29" i="3"/>
  <c r="J29" i="3"/>
  <c r="K29" i="3"/>
  <c r="H24" i="3"/>
  <c r="I24" i="3"/>
  <c r="J24" i="3"/>
  <c r="K24" i="3"/>
  <c r="G24" i="3"/>
  <c r="A17" i="2"/>
  <c r="C17" i="2"/>
  <c r="I18" i="2"/>
  <c r="I17" i="2"/>
  <c r="I19" i="2"/>
  <c r="H18" i="2"/>
  <c r="H17" i="2"/>
  <c r="H19" i="2"/>
  <c r="F18" i="2"/>
  <c r="F17" i="2"/>
  <c r="F19" i="2"/>
  <c r="E18" i="2"/>
  <c r="E17" i="2"/>
  <c r="E19" i="2"/>
  <c r="A14" i="2"/>
  <c r="B14" i="2"/>
  <c r="I15" i="2"/>
  <c r="I14" i="2"/>
  <c r="I16" i="2"/>
  <c r="G14" i="2"/>
  <c r="G15" i="2"/>
  <c r="G16" i="2"/>
  <c r="E15" i="2"/>
  <c r="E14" i="2"/>
  <c r="E16" i="2"/>
  <c r="Q5" i="1"/>
  <c r="Q6" i="1"/>
  <c r="Q7" i="1"/>
  <c r="Q8" i="1"/>
  <c r="Q9" i="1"/>
  <c r="Q10" i="1"/>
  <c r="Q11" i="1"/>
  <c r="Q4" i="1"/>
  <c r="P8" i="1"/>
  <c r="P5" i="1"/>
  <c r="P6" i="1"/>
  <c r="P7" i="1"/>
  <c r="P9" i="1"/>
  <c r="P10" i="1"/>
  <c r="P11" i="1"/>
  <c r="P4" i="1"/>
  <c r="O11" i="1"/>
  <c r="O8" i="1"/>
  <c r="O5" i="1"/>
  <c r="O6" i="1"/>
  <c r="O7" i="1"/>
  <c r="O9" i="1"/>
  <c r="O10" i="1"/>
  <c r="O4" i="1"/>
  <c r="L11" i="1"/>
  <c r="L5" i="1"/>
  <c r="L6" i="1"/>
  <c r="L7" i="1"/>
  <c r="L8" i="1"/>
  <c r="L9" i="1"/>
  <c r="L10" i="1"/>
  <c r="L4" i="1"/>
  <c r="M11" i="1"/>
  <c r="M5" i="1"/>
  <c r="M6" i="1"/>
  <c r="M7" i="1"/>
  <c r="M8" i="1"/>
  <c r="M9" i="1"/>
  <c r="M10" i="1"/>
  <c r="M4" i="1"/>
  <c r="J4" i="1"/>
  <c r="D8" i="1"/>
  <c r="D9" i="1"/>
  <c r="G8" i="1"/>
  <c r="D10" i="1"/>
  <c r="G9" i="1"/>
  <c r="D11" i="1"/>
  <c r="G10" i="1"/>
  <c r="D12" i="1"/>
  <c r="G11" i="1"/>
  <c r="J3" i="1"/>
  <c r="F8" i="1"/>
  <c r="F9" i="1"/>
  <c r="F10" i="1"/>
  <c r="F11" i="1"/>
  <c r="F12" i="1"/>
  <c r="F7" i="1"/>
  <c r="J5" i="1"/>
  <c r="E8" i="1"/>
  <c r="E9" i="1"/>
  <c r="E10" i="1"/>
  <c r="E11" i="1"/>
  <c r="E12" i="1"/>
  <c r="E7" i="1"/>
  <c r="D7" i="1"/>
</calcChain>
</file>

<file path=xl/sharedStrings.xml><?xml version="1.0" encoding="utf-8"?>
<sst xmlns="http://schemas.openxmlformats.org/spreadsheetml/2006/main" count="139" uniqueCount="90">
  <si>
    <t xml:space="preserve">Исследование характеристик источника электрической энергии постоянного тока </t>
  </si>
  <si>
    <t>Таблица 1.1</t>
  </si>
  <si>
    <t>k</t>
  </si>
  <si>
    <t>Измерения</t>
  </si>
  <si>
    <t>R, Ом</t>
  </si>
  <si>
    <t>U, В</t>
  </si>
  <si>
    <t>Расчёт</t>
  </si>
  <si>
    <t>I, мА</t>
  </si>
  <si>
    <t>P, мВт</t>
  </si>
  <si>
    <t>n</t>
  </si>
  <si>
    <t>R</t>
  </si>
  <si>
    <t>E</t>
  </si>
  <si>
    <t>I</t>
  </si>
  <si>
    <t>∞</t>
  </si>
  <si>
    <t>Абсцисса, мм</t>
  </si>
  <si>
    <t>Ордината, мм</t>
  </si>
  <si>
    <t>+</t>
  </si>
  <si>
    <t>x</t>
  </si>
  <si>
    <t>График 1</t>
  </si>
  <si>
    <t>График 2</t>
  </si>
  <si>
    <t xml:space="preserve">Исследование переходных процессов в линейных электрических цепях с источниками постоянного тока </t>
  </si>
  <si>
    <r>
      <t>i</t>
    </r>
    <r>
      <rPr>
        <sz val="12"/>
        <color theme="1"/>
        <rFont val="TimesNewRomanPSMT"/>
      </rPr>
      <t>(0</t>
    </r>
    <r>
      <rPr>
        <sz val="8"/>
        <color theme="1"/>
        <rFont val="TimesNewRomanPSMT"/>
      </rPr>
      <t>+</t>
    </r>
    <r>
      <rPr>
        <sz val="12"/>
        <color theme="1"/>
        <rFont val="TimesNewRomanPSMT"/>
      </rPr>
      <t xml:space="preserve">) </t>
    </r>
  </si>
  <si>
    <r>
      <t>i</t>
    </r>
    <r>
      <rPr>
        <sz val="12"/>
        <color theme="1"/>
        <rFont val="TimesNewRomanPSMT"/>
      </rPr>
      <t xml:space="preserve">(∞) </t>
    </r>
  </si>
  <si>
    <r>
      <t>u</t>
    </r>
    <r>
      <rPr>
        <i/>
        <sz val="8"/>
        <color theme="1"/>
        <rFont val="TimesNewRomanPS"/>
      </rPr>
      <t>c</t>
    </r>
    <r>
      <rPr>
        <sz val="12"/>
        <color theme="1"/>
        <rFont val="TimesNewRomanPSMT"/>
      </rPr>
      <t xml:space="preserve">(∞) </t>
    </r>
  </si>
  <si>
    <t xml:space="preserve">τ </t>
  </si>
  <si>
    <t xml:space="preserve">Ом </t>
  </si>
  <si>
    <t xml:space="preserve">мкФ </t>
  </si>
  <si>
    <t xml:space="preserve">В </t>
  </si>
  <si>
    <t xml:space="preserve">мкс </t>
  </si>
  <si>
    <t>Таблица 1.1 Исследование переходного процесса в RC-цепи</t>
  </si>
  <si>
    <t>C</t>
  </si>
  <si>
    <t>мА</t>
  </si>
  <si>
    <t>Таблица 1.2 Исследование переходного процесса в RL-цепи</t>
  </si>
  <si>
    <r>
      <t>i</t>
    </r>
    <r>
      <rPr>
        <sz val="14"/>
        <color theme="1"/>
        <rFont val="TimesNewRomanPSMT"/>
      </rPr>
      <t>(0</t>
    </r>
    <r>
      <rPr>
        <sz val="9"/>
        <color theme="1"/>
        <rFont val="TimesNewRomanPSMT"/>
      </rPr>
      <t>+</t>
    </r>
    <r>
      <rPr>
        <sz val="14"/>
        <color theme="1"/>
        <rFont val="TimesNewRomanPSMT"/>
      </rPr>
      <t xml:space="preserve">) </t>
    </r>
  </si>
  <si>
    <r>
      <t xml:space="preserve">e </t>
    </r>
    <r>
      <rPr>
        <sz val="14"/>
        <color theme="1"/>
        <rFont val="TimesNewRomanPSMT"/>
      </rPr>
      <t xml:space="preserve">[%] </t>
    </r>
  </si>
  <si>
    <t>Таблица 2.5</t>
  </si>
  <si>
    <t>L</t>
  </si>
  <si>
    <t>Тип данных</t>
  </si>
  <si>
    <t xml:space="preserve">i(∞) </t>
  </si>
  <si>
    <t>В</t>
  </si>
  <si>
    <t>мкс</t>
  </si>
  <si>
    <t>Ом</t>
  </si>
  <si>
    <t>мкФ</t>
  </si>
  <si>
    <t>мГн</t>
  </si>
  <si>
    <t>эксп</t>
  </si>
  <si>
    <t>рас</t>
  </si>
  <si>
    <t>U_m</t>
  </si>
  <si>
    <r>
      <t>u</t>
    </r>
    <r>
      <rPr>
        <i/>
        <sz val="9"/>
        <color theme="1"/>
        <rFont val="TimesNewRomanPS"/>
      </rPr>
      <t>L</t>
    </r>
    <r>
      <rPr>
        <sz val="14"/>
        <color theme="1"/>
        <rFont val="TimesNewRomanPSMT"/>
      </rPr>
      <t>(0</t>
    </r>
    <r>
      <rPr>
        <sz val="9"/>
        <color theme="1"/>
        <rFont val="TimesNewRomanPSMT"/>
      </rPr>
      <t>+</t>
    </r>
    <r>
      <rPr>
        <sz val="14"/>
        <color theme="1"/>
        <rFont val="TimesNewRomanPSMT"/>
      </rPr>
      <t xml:space="preserve">) </t>
    </r>
  </si>
  <si>
    <t xml:space="preserve">t </t>
  </si>
  <si>
    <t xml:space="preserve">Исследование явлений резонанса в линейных электрических цепях </t>
  </si>
  <si>
    <t xml:space="preserve">Параметры цепи и питающего напряжения </t>
  </si>
  <si>
    <r>
      <t>ψ</t>
    </r>
    <r>
      <rPr>
        <i/>
        <sz val="8"/>
        <color theme="1"/>
        <rFont val="TimesNewRomanPS"/>
      </rPr>
      <t xml:space="preserve">u </t>
    </r>
  </si>
  <si>
    <t xml:space="preserve">R </t>
  </si>
  <si>
    <r>
      <t>L</t>
    </r>
    <r>
      <rPr>
        <sz val="8"/>
        <color theme="1"/>
        <rFont val="TimesNewRomanPSMT"/>
      </rPr>
      <t xml:space="preserve">к </t>
    </r>
  </si>
  <si>
    <r>
      <t>R</t>
    </r>
    <r>
      <rPr>
        <sz val="8"/>
        <color theme="1"/>
        <rFont val="TimesNewRomanPSMT"/>
      </rPr>
      <t xml:space="preserve">к </t>
    </r>
  </si>
  <si>
    <t xml:space="preserve">С </t>
  </si>
  <si>
    <t xml:space="preserve">U </t>
  </si>
  <si>
    <t>U</t>
  </si>
  <si>
    <t>градус</t>
  </si>
  <si>
    <r>
      <t xml:space="preserve">Последовательная </t>
    </r>
    <r>
      <rPr>
        <i/>
        <sz val="12"/>
        <color theme="1"/>
        <rFont val="TimesNewRomanPS"/>
      </rPr>
      <t>RLC</t>
    </r>
    <r>
      <rPr>
        <sz val="12"/>
        <color theme="1"/>
        <rFont val="TimesNewRomanPSMT"/>
      </rPr>
      <t xml:space="preserve">-цепь </t>
    </r>
  </si>
  <si>
    <r>
      <t>f</t>
    </r>
    <r>
      <rPr>
        <sz val="12"/>
        <color theme="1"/>
        <rFont val="TimesNewRomanPSMT"/>
      </rPr>
      <t xml:space="preserve">, Гц </t>
    </r>
  </si>
  <si>
    <r>
      <t>j</t>
    </r>
    <r>
      <rPr>
        <sz val="12"/>
        <color theme="1"/>
        <rFont val="TimesNewRomanPSMT"/>
      </rPr>
      <t xml:space="preserve">, градус </t>
    </r>
  </si>
  <si>
    <r>
      <t>I</t>
    </r>
    <r>
      <rPr>
        <sz val="12"/>
        <color theme="1"/>
        <rFont val="TimesNewRomanPSMT"/>
      </rPr>
      <t xml:space="preserve">, A </t>
    </r>
  </si>
  <si>
    <r>
      <t>U</t>
    </r>
    <r>
      <rPr>
        <i/>
        <sz val="8"/>
        <color theme="1"/>
        <rFont val="TimesNewRomanPS"/>
      </rPr>
      <t>R</t>
    </r>
    <r>
      <rPr>
        <sz val="12"/>
        <color theme="1"/>
        <rFont val="TimesNewRomanPSMT"/>
      </rPr>
      <t xml:space="preserve">, B </t>
    </r>
  </si>
  <si>
    <r>
      <t>U</t>
    </r>
    <r>
      <rPr>
        <sz val="8"/>
        <color theme="1"/>
        <rFont val="TimesNewRomanPSMT"/>
      </rPr>
      <t>к</t>
    </r>
    <r>
      <rPr>
        <sz val="12"/>
        <color theme="1"/>
        <rFont val="TimesNewRomanPSMT"/>
      </rPr>
      <t xml:space="preserve">, В </t>
    </r>
  </si>
  <si>
    <r>
      <t>U</t>
    </r>
    <r>
      <rPr>
        <i/>
        <sz val="8"/>
        <color theme="1"/>
        <rFont val="TimesNewRomanPS"/>
      </rPr>
      <t>c</t>
    </r>
    <r>
      <rPr>
        <sz val="12"/>
        <color theme="1"/>
        <rFont val="TimesNewRomanPSMT"/>
      </rPr>
      <t xml:space="preserve">, B </t>
    </r>
  </si>
  <si>
    <t>f</t>
  </si>
  <si>
    <t>Эксперимент</t>
  </si>
  <si>
    <t xml:space="preserve">j </t>
  </si>
  <si>
    <t xml:space="preserve">I </t>
  </si>
  <si>
    <r>
      <t>U</t>
    </r>
    <r>
      <rPr>
        <i/>
        <sz val="9"/>
        <color theme="1"/>
        <rFont val="TimesNewRomanPS"/>
      </rPr>
      <t>R</t>
    </r>
    <r>
      <rPr>
        <sz val="9"/>
        <color theme="1"/>
        <rFont val="TimesNewRomanPSMT"/>
      </rPr>
      <t xml:space="preserve">1 </t>
    </r>
  </si>
  <si>
    <r>
      <t>U</t>
    </r>
    <r>
      <rPr>
        <sz val="9"/>
        <color theme="1"/>
        <rFont val="TimesNewRomanPSMT"/>
      </rPr>
      <t xml:space="preserve">к </t>
    </r>
  </si>
  <si>
    <r>
      <t>U</t>
    </r>
    <r>
      <rPr>
        <i/>
        <sz val="9"/>
        <color theme="1"/>
        <rFont val="TimesNewRomanPS"/>
      </rPr>
      <t xml:space="preserve">С </t>
    </r>
  </si>
  <si>
    <t>Гц</t>
  </si>
  <si>
    <t>град</t>
  </si>
  <si>
    <t>A</t>
  </si>
  <si>
    <t>B</t>
  </si>
  <si>
    <r>
      <t>f</t>
    </r>
    <r>
      <rPr>
        <sz val="9"/>
        <color theme="1"/>
        <rFont val="TimesNewRomanPSMT"/>
      </rPr>
      <t xml:space="preserve">0р </t>
    </r>
  </si>
  <si>
    <r>
      <t>Q</t>
    </r>
    <r>
      <rPr>
        <sz val="9"/>
        <color theme="1"/>
        <rFont val="TimesNewRomanPSMT"/>
      </rPr>
      <t xml:space="preserve">р </t>
    </r>
  </si>
  <si>
    <r>
      <t>f</t>
    </r>
    <r>
      <rPr>
        <sz val="9"/>
        <color theme="1"/>
        <rFont val="TimesNewRomanPSMT"/>
      </rPr>
      <t xml:space="preserve">0э </t>
    </r>
  </si>
  <si>
    <r>
      <t>Q</t>
    </r>
    <r>
      <rPr>
        <sz val="9"/>
        <color theme="1"/>
        <rFont val="TimesNewRomanPSMT"/>
      </rPr>
      <t xml:space="preserve">э </t>
    </r>
  </si>
  <si>
    <r>
      <t>R</t>
    </r>
    <r>
      <rPr>
        <sz val="9"/>
        <color theme="1"/>
        <rFont val="TimesNewRomanPSMT"/>
      </rPr>
      <t xml:space="preserve">1 </t>
    </r>
  </si>
  <si>
    <r>
      <t>R</t>
    </r>
    <r>
      <rPr>
        <sz val="9"/>
        <color theme="1"/>
        <rFont val="TimesNewRomanPSMT"/>
      </rPr>
      <t xml:space="preserve">к </t>
    </r>
  </si>
  <si>
    <t xml:space="preserve">L </t>
  </si>
  <si>
    <t xml:space="preserve">C </t>
  </si>
  <si>
    <t>w</t>
  </si>
  <si>
    <t>X_L</t>
  </si>
  <si>
    <t>X_C</t>
  </si>
  <si>
    <t>X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</si>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</sst>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,##0.000"/>
    <numFmt numFmtId="166" formatCode="0.0"/>
  </numFmts>
  <fonts count="17" x14ac:knownFonts="1">
    <font>
      <sz val="12"/>
      <color theme="1"/>
      <name val="Calibri"/>
      <family val="2"/>
      <scheme val="minor"/>
    </font>
    <font>
      <sz val="14"/>
      <color theme="1"/>
      <name val="TimesNewRomanPS"/>
    </font>
    <font>
      <sz val="12"/>
      <color theme="1"/>
      <name val="TimesNewRomanPS"/>
    </font>
    <font>
      <i/>
      <sz val="12"/>
      <color theme="1"/>
      <name val="TimesNewRomanPS"/>
    </font>
    <font>
      <sz val="12"/>
      <color theme="1"/>
      <name val="TimesNewRomanPSMT"/>
    </font>
    <font>
      <sz val="8"/>
      <color theme="1"/>
      <name val="TimesNewRomanPSMT"/>
    </font>
    <font>
      <i/>
      <sz val="8"/>
      <color theme="1"/>
      <name val="TimesNewRomanP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4"/>
      <color theme="1"/>
      <name val="TimesNewRomanPS"/>
    </font>
    <font>
      <sz val="14"/>
      <color theme="1"/>
      <name val="TimesNewRomanPSMT"/>
    </font>
    <font>
      <sz val="9"/>
      <color theme="1"/>
      <name val="TimesNewRomanPSMT"/>
    </font>
    <font>
      <sz val="14"/>
      <color theme="1"/>
      <name val="SymbolMT"/>
    </font>
    <font>
      <sz val="12"/>
      <color rgb="FF000000"/>
      <name val="Calibri"/>
      <family val="2"/>
      <scheme val="minor"/>
    </font>
    <font>
      <i/>
      <sz val="9"/>
      <color theme="1"/>
      <name val="TimesNewRomanPS"/>
    </font>
    <font>
      <sz val="12"/>
      <color theme="1"/>
      <name val="SymbolMT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3" fillId="0" borderId="3" xfId="0" applyNumberFormat="1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1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Fill="1" applyBorder="1" applyAlignment="1">
      <alignment horizontal="center" vertical="center"/>
    </xf>
    <xf numFmtId="2" fontId="0" fillId="0" borderId="1" xfId="0" applyNumberFormat="1" applyBorder="1"/>
  </cellXfs>
  <cellStyles count="2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431800</xdr:colOff>
      <xdr:row>18</xdr:row>
      <xdr:rowOff>184150</xdr:rowOff>
    </xdr:from>
    <xdr:ext cx="65" cy="172227"/>
    <xdr:sp macro="" textlink="">
      <xdr:nvSpPr>
        <xdr:cNvPr id="2" name="TextBox 1"/>
        <xdr:cNvSpPr txBox="1"/>
      </xdr:nvSpPr>
      <xdr:spPr>
        <a:xfrm>
          <a:off x="8686800" y="3867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8</xdr:col>
      <xdr:colOff>12700</xdr:colOff>
      <xdr:row>3</xdr:row>
      <xdr:rowOff>12700</xdr:rowOff>
    </xdr:to>
    <xdr:pic>
      <xdr:nvPicPr>
        <xdr:cNvPr id="14" name="Рисунок 13" descr="age28image147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0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25400</xdr:colOff>
      <xdr:row>3</xdr:row>
      <xdr:rowOff>0</xdr:rowOff>
    </xdr:from>
    <xdr:to>
      <xdr:col>8</xdr:col>
      <xdr:colOff>38100</xdr:colOff>
      <xdr:row>3</xdr:row>
      <xdr:rowOff>12700</xdr:rowOff>
    </xdr:to>
    <xdr:pic>
      <xdr:nvPicPr>
        <xdr:cNvPr id="15" name="Рисунок 14" descr="age28image1510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60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Q4" sqref="Q4"/>
    </sheetView>
  </sheetViews>
  <sheetFormatPr baseColWidth="10" defaultRowHeight="16" x14ac:dyDescent="0.2"/>
  <sheetData>
    <row r="1" spans="1:17" ht="18" x14ac:dyDescent="0.2">
      <c r="A1" s="27" t="s">
        <v>0</v>
      </c>
      <c r="B1" s="27"/>
      <c r="C1" s="27"/>
      <c r="D1" s="27"/>
      <c r="E1" s="27"/>
      <c r="F1" s="27"/>
      <c r="G1" s="27"/>
      <c r="H1" s="27"/>
      <c r="I1" s="27"/>
      <c r="L1" t="s">
        <v>18</v>
      </c>
      <c r="O1" t="s">
        <v>19</v>
      </c>
    </row>
    <row r="2" spans="1:17" x14ac:dyDescent="0.2">
      <c r="L2" t="s">
        <v>14</v>
      </c>
      <c r="M2" t="s">
        <v>15</v>
      </c>
      <c r="O2" t="s">
        <v>14</v>
      </c>
      <c r="P2" t="s">
        <v>15</v>
      </c>
    </row>
    <row r="3" spans="1:17" x14ac:dyDescent="0.2">
      <c r="A3" t="s">
        <v>1</v>
      </c>
      <c r="I3" t="s">
        <v>10</v>
      </c>
      <c r="J3" s="7">
        <f>SQRT(G8*G8+G9*G9+G10*G10+G11*G11)/2</f>
        <v>571.73561064457317</v>
      </c>
      <c r="L3">
        <v>5</v>
      </c>
      <c r="M3">
        <v>10</v>
      </c>
      <c r="O3">
        <v>5</v>
      </c>
      <c r="P3">
        <v>2</v>
      </c>
      <c r="Q3">
        <v>0.5</v>
      </c>
    </row>
    <row r="4" spans="1:17" x14ac:dyDescent="0.2">
      <c r="A4" s="28" t="s">
        <v>2</v>
      </c>
      <c r="B4" s="28" t="s">
        <v>3</v>
      </c>
      <c r="C4" s="28"/>
      <c r="D4" s="28" t="s">
        <v>6</v>
      </c>
      <c r="E4" s="28"/>
      <c r="F4" s="28"/>
      <c r="G4" s="28"/>
      <c r="I4" t="s">
        <v>11</v>
      </c>
      <c r="J4" s="7">
        <f>C6</f>
        <v>10.02</v>
      </c>
      <c r="L4" s="8">
        <f>$L$3*D6</f>
        <v>0</v>
      </c>
      <c r="M4" s="8">
        <f>$M$3*C6</f>
        <v>100.19999999999999</v>
      </c>
      <c r="N4" t="s">
        <v>16</v>
      </c>
      <c r="O4" s="8">
        <f t="shared" ref="O4:O10" si="0">$O$3*D6</f>
        <v>0</v>
      </c>
      <c r="P4" s="8">
        <f t="shared" ref="P4:P11" si="1">$P$3*E6</f>
        <v>0</v>
      </c>
      <c r="Q4">
        <f>$Q$3*F6*100</f>
        <v>50</v>
      </c>
    </row>
    <row r="5" spans="1:17" x14ac:dyDescent="0.2">
      <c r="A5" s="28"/>
      <c r="B5" s="1" t="s">
        <v>4</v>
      </c>
      <c r="C5" s="1" t="s">
        <v>5</v>
      </c>
      <c r="D5" s="1" t="s">
        <v>7</v>
      </c>
      <c r="E5" s="1" t="s">
        <v>8</v>
      </c>
      <c r="F5" s="1" t="s">
        <v>9</v>
      </c>
      <c r="G5" s="1" t="s">
        <v>4</v>
      </c>
      <c r="I5" s="4" t="s">
        <v>12</v>
      </c>
      <c r="J5" s="7">
        <f>1000*J4/J3</f>
        <v>17.52558317769201</v>
      </c>
      <c r="L5" s="8">
        <f t="shared" ref="L5:L10" si="2">$L$3*D7</f>
        <v>43.275862068965516</v>
      </c>
      <c r="M5" s="8">
        <f t="shared" ref="M5:M11" si="3">$M$3*C7</f>
        <v>50.199999999999996</v>
      </c>
      <c r="N5" t="s">
        <v>16</v>
      </c>
      <c r="O5" s="8">
        <f t="shared" si="0"/>
        <v>43.275862068965516</v>
      </c>
      <c r="P5" s="8">
        <f t="shared" si="1"/>
        <v>86.897931034482752</v>
      </c>
      <c r="Q5">
        <f t="shared" ref="Q5:Q11" si="4">$Q$3*F7*100</f>
        <v>25.179389898146887</v>
      </c>
    </row>
    <row r="6" spans="1:17" x14ac:dyDescent="0.2">
      <c r="A6" s="29">
        <v>0</v>
      </c>
      <c r="B6" s="1" t="s">
        <v>13</v>
      </c>
      <c r="C6" s="1">
        <v>10.02</v>
      </c>
      <c r="D6" s="1">
        <v>0</v>
      </c>
      <c r="E6" s="1">
        <v>0</v>
      </c>
      <c r="F6" s="1">
        <v>1</v>
      </c>
      <c r="G6" s="3"/>
      <c r="L6" s="8">
        <f t="shared" si="2"/>
        <v>8.9700000000000006</v>
      </c>
      <c r="M6" s="8">
        <f t="shared" si="3"/>
        <v>89.7</v>
      </c>
      <c r="N6" t="s">
        <v>16</v>
      </c>
      <c r="O6" s="8">
        <f t="shared" si="0"/>
        <v>8.9700000000000006</v>
      </c>
      <c r="P6" s="8">
        <f t="shared" si="1"/>
        <v>32.184360000000005</v>
      </c>
      <c r="Q6">
        <f t="shared" si="4"/>
        <v>44.869322141270523</v>
      </c>
    </row>
    <row r="7" spans="1:17" x14ac:dyDescent="0.2">
      <c r="A7" s="30"/>
      <c r="B7" s="1">
        <v>580</v>
      </c>
      <c r="C7" s="1">
        <v>5.0199999999999996</v>
      </c>
      <c r="D7" s="5">
        <f>1000*C7/B7</f>
        <v>8.6551724137931032</v>
      </c>
      <c r="E7" s="5">
        <f>1000*C7*C7/B7</f>
        <v>43.448965517241376</v>
      </c>
      <c r="F7" s="5">
        <f>B7/($J$3+B7)</f>
        <v>0.50358779796293773</v>
      </c>
      <c r="G7" s="6"/>
      <c r="L7" s="8">
        <f t="shared" si="2"/>
        <v>19.399999999999999</v>
      </c>
      <c r="M7" s="8">
        <f t="shared" si="3"/>
        <v>77.599999999999994</v>
      </c>
      <c r="N7" t="s">
        <v>16</v>
      </c>
      <c r="O7" s="8">
        <f t="shared" si="0"/>
        <v>19.399999999999999</v>
      </c>
      <c r="P7" s="8">
        <f t="shared" si="1"/>
        <v>60.217599999999997</v>
      </c>
      <c r="Q7">
        <f t="shared" si="4"/>
        <v>38.884245948959062</v>
      </c>
    </row>
    <row r="8" spans="1:17" x14ac:dyDescent="0.2">
      <c r="A8" s="1">
        <v>1</v>
      </c>
      <c r="B8" s="1">
        <v>5000</v>
      </c>
      <c r="C8" s="1">
        <v>8.9700000000000006</v>
      </c>
      <c r="D8" s="5">
        <f t="shared" ref="D8:D12" si="5">1000*C8/B8</f>
        <v>1.794</v>
      </c>
      <c r="E8" s="5">
        <f t="shared" ref="E8:E12" si="6">1000*C8*C8/B8</f>
        <v>16.092180000000003</v>
      </c>
      <c r="F8" s="5">
        <f t="shared" ref="F8:F12" si="7">B8/($J$3+B8)</f>
        <v>0.89738644282541047</v>
      </c>
      <c r="G8" s="5">
        <f>1000*(C8-C9)/(D9-D8)</f>
        <v>580.05752636625164</v>
      </c>
      <c r="L8" s="8">
        <f t="shared" si="2"/>
        <v>31.7</v>
      </c>
      <c r="M8" s="8">
        <f t="shared" si="3"/>
        <v>63.4</v>
      </c>
      <c r="N8" t="s">
        <v>16</v>
      </c>
      <c r="O8" s="8">
        <f t="shared" si="0"/>
        <v>31.7</v>
      </c>
      <c r="P8" s="8">
        <f t="shared" si="1"/>
        <v>80.391199999999998</v>
      </c>
      <c r="Q8">
        <f t="shared" si="4"/>
        <v>31.811966122912278</v>
      </c>
    </row>
    <row r="9" spans="1:17" x14ac:dyDescent="0.2">
      <c r="A9" s="1">
        <v>2</v>
      </c>
      <c r="B9" s="1">
        <v>2000</v>
      </c>
      <c r="C9" s="1">
        <v>7.76</v>
      </c>
      <c r="D9" s="5">
        <f t="shared" si="5"/>
        <v>3.88</v>
      </c>
      <c r="E9" s="5">
        <f t="shared" si="6"/>
        <v>30.108799999999999</v>
      </c>
      <c r="F9" s="5">
        <f t="shared" si="7"/>
        <v>0.77768491897918124</v>
      </c>
      <c r="G9" s="5">
        <f t="shared" ref="G9:G11" si="8">1000*(C9-C10)/(D10-D9)</f>
        <v>577.23577235772359</v>
      </c>
      <c r="L9" s="8">
        <f t="shared" si="2"/>
        <v>46.5</v>
      </c>
      <c r="M9" s="8">
        <f t="shared" si="3"/>
        <v>46.5</v>
      </c>
      <c r="N9" t="s">
        <v>16</v>
      </c>
      <c r="O9" s="8">
        <f t="shared" si="0"/>
        <v>46.5</v>
      </c>
      <c r="P9" s="8">
        <f t="shared" si="1"/>
        <v>86.49</v>
      </c>
      <c r="Q9">
        <f t="shared" si="4"/>
        <v>23.326648617156863</v>
      </c>
    </row>
    <row r="10" spans="1:17" x14ac:dyDescent="0.2">
      <c r="A10" s="1">
        <v>3</v>
      </c>
      <c r="B10" s="1">
        <v>1000</v>
      </c>
      <c r="C10" s="1">
        <v>6.34</v>
      </c>
      <c r="D10" s="5">
        <f t="shared" si="5"/>
        <v>6.34</v>
      </c>
      <c r="E10" s="5">
        <f t="shared" si="6"/>
        <v>40.195599999999999</v>
      </c>
      <c r="F10" s="5">
        <f t="shared" si="7"/>
        <v>0.63623932245824555</v>
      </c>
      <c r="G10" s="5">
        <f t="shared" si="8"/>
        <v>570.9459459459456</v>
      </c>
      <c r="L10" s="8">
        <f t="shared" si="2"/>
        <v>57.333333333333336</v>
      </c>
      <c r="M10" s="8">
        <f t="shared" si="3"/>
        <v>34.4</v>
      </c>
      <c r="N10" t="s">
        <v>17</v>
      </c>
      <c r="O10" s="8">
        <f t="shared" si="0"/>
        <v>57.333333333333336</v>
      </c>
      <c r="P10" s="8">
        <f t="shared" si="1"/>
        <v>78.890666666666675</v>
      </c>
      <c r="Q10">
        <f t="shared" si="4"/>
        <v>17.207052019945355</v>
      </c>
    </row>
    <row r="11" spans="1:17" x14ac:dyDescent="0.2">
      <c r="A11" s="1">
        <v>4</v>
      </c>
      <c r="B11" s="1">
        <v>500</v>
      </c>
      <c r="C11" s="1">
        <v>4.6500000000000004</v>
      </c>
      <c r="D11" s="5">
        <f t="shared" si="5"/>
        <v>9.3000000000000007</v>
      </c>
      <c r="E11" s="5">
        <f t="shared" si="6"/>
        <v>43.244999999999997</v>
      </c>
      <c r="F11" s="5">
        <f t="shared" si="7"/>
        <v>0.46653297234313729</v>
      </c>
      <c r="G11" s="5">
        <f t="shared" si="8"/>
        <v>558.46153846153879</v>
      </c>
      <c r="L11" s="8">
        <f>J5*L3</f>
        <v>87.627915888460052</v>
      </c>
      <c r="M11" s="8">
        <f t="shared" si="3"/>
        <v>0</v>
      </c>
      <c r="O11" s="8">
        <f>O3*J5</f>
        <v>87.627915888460052</v>
      </c>
      <c r="P11" s="8">
        <f t="shared" si="1"/>
        <v>0</v>
      </c>
      <c r="Q11">
        <f t="shared" si="4"/>
        <v>0</v>
      </c>
    </row>
    <row r="12" spans="1:17" x14ac:dyDescent="0.2">
      <c r="A12" s="2">
        <v>5</v>
      </c>
      <c r="B12" s="1">
        <v>300</v>
      </c>
      <c r="C12" s="1">
        <v>3.44</v>
      </c>
      <c r="D12" s="5">
        <f t="shared" si="5"/>
        <v>11.466666666666667</v>
      </c>
      <c r="E12" s="5">
        <f t="shared" si="6"/>
        <v>39.445333333333338</v>
      </c>
      <c r="F12" s="5">
        <f t="shared" si="7"/>
        <v>0.34414104039890708</v>
      </c>
      <c r="G12" s="6"/>
    </row>
  </sheetData>
  <sortState ref="O4:P11">
    <sortCondition ref="O4"/>
  </sortState>
  <mergeCells count="5">
    <mergeCell ref="A1:I1"/>
    <mergeCell ref="A4:A5"/>
    <mergeCell ref="B4:C4"/>
    <mergeCell ref="D4:G4"/>
    <mergeCell ref="A6:A7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I18" sqref="I18"/>
    </sheetView>
  </sheetViews>
  <sheetFormatPr baseColWidth="10" defaultRowHeight="16" x14ac:dyDescent="0.2"/>
  <sheetData>
    <row r="1" spans="1:13" x14ac:dyDescent="0.2">
      <c r="A1" s="11" t="s">
        <v>20</v>
      </c>
    </row>
    <row r="3" spans="1:13" x14ac:dyDescent="0.2">
      <c r="A3" t="s">
        <v>29</v>
      </c>
      <c r="H3" t="s">
        <v>32</v>
      </c>
    </row>
    <row r="4" spans="1:13" x14ac:dyDescent="0.2">
      <c r="A4" s="13" t="s">
        <v>10</v>
      </c>
      <c r="B4" s="13" t="s">
        <v>30</v>
      </c>
      <c r="C4" s="13" t="s">
        <v>21</v>
      </c>
      <c r="D4" s="13" t="s">
        <v>22</v>
      </c>
      <c r="E4" s="13" t="s">
        <v>23</v>
      </c>
      <c r="F4" s="14" t="s">
        <v>24</v>
      </c>
      <c r="G4" s="17"/>
      <c r="H4" s="13" t="s">
        <v>10</v>
      </c>
      <c r="I4" s="13" t="s">
        <v>30</v>
      </c>
      <c r="J4" s="13" t="s">
        <v>21</v>
      </c>
      <c r="K4" s="13" t="s">
        <v>22</v>
      </c>
      <c r="L4" s="13" t="s">
        <v>23</v>
      </c>
      <c r="M4" s="14" t="s">
        <v>24</v>
      </c>
    </row>
    <row r="5" spans="1:13" x14ac:dyDescent="0.2">
      <c r="A5" s="14" t="s">
        <v>25</v>
      </c>
      <c r="B5" s="14" t="s">
        <v>26</v>
      </c>
      <c r="C5" s="31" t="s">
        <v>31</v>
      </c>
      <c r="D5" s="31"/>
      <c r="E5" s="14" t="s">
        <v>27</v>
      </c>
      <c r="F5" s="14" t="s">
        <v>28</v>
      </c>
      <c r="G5" s="17"/>
      <c r="H5" s="14" t="s">
        <v>25</v>
      </c>
      <c r="I5" s="14" t="s">
        <v>26</v>
      </c>
      <c r="J5" s="31" t="s">
        <v>31</v>
      </c>
      <c r="K5" s="31"/>
      <c r="L5" s="14" t="s">
        <v>27</v>
      </c>
      <c r="M5" s="14" t="s">
        <v>28</v>
      </c>
    </row>
    <row r="6" spans="1:13" x14ac:dyDescent="0.2">
      <c r="A6" s="9">
        <v>750</v>
      </c>
      <c r="B6" s="9">
        <v>0.3</v>
      </c>
      <c r="C6" s="9">
        <v>26.7</v>
      </c>
      <c r="D6" s="9">
        <v>0</v>
      </c>
      <c r="E6" s="9">
        <v>10</v>
      </c>
      <c r="F6" s="9">
        <v>230.8</v>
      </c>
      <c r="G6" s="18"/>
      <c r="H6" s="9">
        <v>750</v>
      </c>
      <c r="I6" s="9">
        <v>78</v>
      </c>
      <c r="J6" s="9">
        <v>-13.06</v>
      </c>
      <c r="K6" s="9">
        <v>13.3</v>
      </c>
      <c r="L6" s="9">
        <v>20</v>
      </c>
      <c r="M6" s="9">
        <v>110.54</v>
      </c>
    </row>
    <row r="8" spans="1:13" x14ac:dyDescent="0.2">
      <c r="A8" t="s">
        <v>46</v>
      </c>
      <c r="B8">
        <v>10</v>
      </c>
    </row>
    <row r="11" spans="1:13" x14ac:dyDescent="0.2">
      <c r="A11" t="s">
        <v>35</v>
      </c>
    </row>
    <row r="12" spans="1:13" ht="18" x14ac:dyDescent="0.2">
      <c r="A12" s="9" t="s">
        <v>10</v>
      </c>
      <c r="B12" s="9" t="s">
        <v>30</v>
      </c>
      <c r="C12" s="9" t="s">
        <v>36</v>
      </c>
      <c r="D12" s="28" t="s">
        <v>37</v>
      </c>
      <c r="E12" s="12" t="s">
        <v>33</v>
      </c>
      <c r="F12" s="12" t="s">
        <v>38</v>
      </c>
      <c r="G12" s="16" t="s">
        <v>23</v>
      </c>
      <c r="H12" s="12" t="s">
        <v>47</v>
      </c>
      <c r="I12" s="15" t="s">
        <v>48</v>
      </c>
    </row>
    <row r="13" spans="1:13" x14ac:dyDescent="0.2">
      <c r="A13" s="9" t="s">
        <v>41</v>
      </c>
      <c r="B13" s="9" t="s">
        <v>42</v>
      </c>
      <c r="C13" s="9" t="s">
        <v>43</v>
      </c>
      <c r="D13" s="28"/>
      <c r="E13" s="28" t="s">
        <v>31</v>
      </c>
      <c r="F13" s="28"/>
      <c r="G13" s="35" t="s">
        <v>39</v>
      </c>
      <c r="H13" s="36"/>
      <c r="I13" s="20" t="s">
        <v>40</v>
      </c>
    </row>
    <row r="14" spans="1:13" x14ac:dyDescent="0.2">
      <c r="A14" s="28">
        <f>A6</f>
        <v>750</v>
      </c>
      <c r="B14" s="28">
        <f>B6</f>
        <v>0.3</v>
      </c>
      <c r="C14" s="28"/>
      <c r="D14" s="9" t="s">
        <v>44</v>
      </c>
      <c r="E14" s="21">
        <f>C6</f>
        <v>26.7</v>
      </c>
      <c r="F14" s="21">
        <v>0</v>
      </c>
      <c r="G14" s="21">
        <f>E6</f>
        <v>10</v>
      </c>
      <c r="H14" s="32"/>
      <c r="I14" s="22">
        <f>F6</f>
        <v>230.8</v>
      </c>
    </row>
    <row r="15" spans="1:13" x14ac:dyDescent="0.2">
      <c r="A15" s="28"/>
      <c r="B15" s="28"/>
      <c r="C15" s="28"/>
      <c r="D15" s="9" t="s">
        <v>45</v>
      </c>
      <c r="E15" s="23">
        <f>2*B8/A6*1000</f>
        <v>26.666666666666668</v>
      </c>
      <c r="F15" s="21">
        <v>0</v>
      </c>
      <c r="G15" s="21">
        <f>B8</f>
        <v>10</v>
      </c>
      <c r="H15" s="33"/>
      <c r="I15" s="22">
        <f>A14*B14</f>
        <v>225</v>
      </c>
    </row>
    <row r="16" spans="1:13" ht="18" x14ac:dyDescent="0.2">
      <c r="A16" s="28"/>
      <c r="B16" s="28"/>
      <c r="C16" s="28"/>
      <c r="D16" s="15" t="s">
        <v>34</v>
      </c>
      <c r="E16" s="21">
        <f>ABS(100*(E15-E14)/E15)</f>
        <v>0.12499999999999289</v>
      </c>
      <c r="F16" s="21">
        <v>0</v>
      </c>
      <c r="G16" s="21">
        <f t="shared" ref="G16" si="0">ABS(100*(G15-G14)/G15)</f>
        <v>0</v>
      </c>
      <c r="H16" s="34"/>
      <c r="I16" s="22">
        <f>ABS(100*(I15-I14)/I15)</f>
        <v>2.5777777777777828</v>
      </c>
    </row>
    <row r="17" spans="1:9" x14ac:dyDescent="0.2">
      <c r="A17" s="28">
        <f>H6</f>
        <v>750</v>
      </c>
      <c r="B17" s="28"/>
      <c r="C17" s="28">
        <f>I6</f>
        <v>78</v>
      </c>
      <c r="D17" s="9" t="s">
        <v>44</v>
      </c>
      <c r="E17" s="21">
        <f>J6</f>
        <v>-13.06</v>
      </c>
      <c r="F17" s="21">
        <f>K6</f>
        <v>13.3</v>
      </c>
      <c r="G17" s="32"/>
      <c r="H17" s="21">
        <f>L6</f>
        <v>20</v>
      </c>
      <c r="I17" s="22">
        <f>M6</f>
        <v>110.54</v>
      </c>
    </row>
    <row r="18" spans="1:9" x14ac:dyDescent="0.2">
      <c r="A18" s="28"/>
      <c r="B18" s="28"/>
      <c r="C18" s="28"/>
      <c r="D18" s="9" t="s">
        <v>45</v>
      </c>
      <c r="E18" s="21">
        <f>-B8/H6*1000</f>
        <v>-13.333333333333334</v>
      </c>
      <c r="F18" s="21">
        <f>B8/A17*1000</f>
        <v>13.333333333333334</v>
      </c>
      <c r="G18" s="33"/>
      <c r="H18" s="21">
        <f>2*B8</f>
        <v>20</v>
      </c>
      <c r="I18" s="22">
        <f>C17/A17*1000</f>
        <v>104</v>
      </c>
    </row>
    <row r="19" spans="1:9" ht="18" x14ac:dyDescent="0.2">
      <c r="A19" s="28"/>
      <c r="B19" s="28"/>
      <c r="C19" s="28"/>
      <c r="D19" s="15" t="s">
        <v>34</v>
      </c>
      <c r="E19" s="21">
        <f>ABS(100*(E18-E17)/E18)</f>
        <v>2.0500000000000007</v>
      </c>
      <c r="F19" s="21">
        <f>ABS(100*(F18-F17)/F18)</f>
        <v>0.24999999999999911</v>
      </c>
      <c r="G19" s="34"/>
      <c r="H19" s="21">
        <f>ABS(100*(H18-H17)/H18)</f>
        <v>0</v>
      </c>
      <c r="I19" s="21">
        <f>ABS(100*(I18-I17)/I18)</f>
        <v>6.2884615384615454</v>
      </c>
    </row>
  </sheetData>
  <mergeCells count="13">
    <mergeCell ref="A14:A16"/>
    <mergeCell ref="B14:B16"/>
    <mergeCell ref="C14:C16"/>
    <mergeCell ref="A17:A19"/>
    <mergeCell ref="B17:B19"/>
    <mergeCell ref="C17:C19"/>
    <mergeCell ref="C5:D5"/>
    <mergeCell ref="J5:K5"/>
    <mergeCell ref="H14:H16"/>
    <mergeCell ref="G17:G19"/>
    <mergeCell ref="G13:H13"/>
    <mergeCell ref="D12:D13"/>
    <mergeCell ref="E13:F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workbookViewId="0">
      <selection activeCell="D24" sqref="D24"/>
    </sheetView>
  </sheetViews>
  <sheetFormatPr baseColWidth="10" defaultRowHeight="16" x14ac:dyDescent="0.2"/>
  <sheetData>
    <row r="1" spans="1:6" ht="18" x14ac:dyDescent="0.2">
      <c r="A1" s="24" t="s">
        <v>49</v>
      </c>
    </row>
    <row r="3" spans="1:6" x14ac:dyDescent="0.2">
      <c r="A3" s="25" t="s">
        <v>50</v>
      </c>
    </row>
    <row r="4" spans="1:6" x14ac:dyDescent="0.2">
      <c r="A4" s="10" t="s">
        <v>57</v>
      </c>
      <c r="B4" s="14" t="s">
        <v>51</v>
      </c>
      <c r="C4" s="16" t="s">
        <v>52</v>
      </c>
      <c r="D4" s="16" t="s">
        <v>53</v>
      </c>
      <c r="E4" s="16" t="s">
        <v>54</v>
      </c>
      <c r="F4" s="16" t="s">
        <v>55</v>
      </c>
    </row>
    <row r="5" spans="1:6" x14ac:dyDescent="0.2">
      <c r="A5" s="10" t="s">
        <v>39</v>
      </c>
      <c r="B5" s="10" t="s">
        <v>58</v>
      </c>
      <c r="C5" s="10" t="s">
        <v>41</v>
      </c>
      <c r="D5" s="10" t="s">
        <v>43</v>
      </c>
      <c r="E5" s="10" t="s">
        <v>41</v>
      </c>
      <c r="F5" s="10" t="s">
        <v>42</v>
      </c>
    </row>
    <row r="6" spans="1:6" x14ac:dyDescent="0.2">
      <c r="A6" s="10">
        <v>10</v>
      </c>
      <c r="B6" s="10">
        <v>-45</v>
      </c>
      <c r="C6" s="10">
        <v>10</v>
      </c>
      <c r="D6" s="10">
        <v>60</v>
      </c>
      <c r="E6" s="10">
        <v>30</v>
      </c>
      <c r="F6" s="10">
        <v>1.4</v>
      </c>
    </row>
    <row r="9" spans="1:6" x14ac:dyDescent="0.2">
      <c r="A9" s="25" t="s">
        <v>59</v>
      </c>
    </row>
    <row r="10" spans="1:6" x14ac:dyDescent="0.2">
      <c r="A10" s="16" t="s">
        <v>60</v>
      </c>
      <c r="B10" s="26" t="s">
        <v>61</v>
      </c>
      <c r="C10" s="16" t="s">
        <v>62</v>
      </c>
      <c r="D10" s="16" t="s">
        <v>63</v>
      </c>
      <c r="E10" s="16" t="s">
        <v>64</v>
      </c>
      <c r="F10" s="16" t="s">
        <v>65</v>
      </c>
    </row>
    <row r="11" spans="1:6" x14ac:dyDescent="0.2">
      <c r="A11" s="10">
        <v>300</v>
      </c>
      <c r="B11" s="10">
        <v>-81</v>
      </c>
      <c r="C11" s="10">
        <v>0.04</v>
      </c>
      <c r="D11" s="10">
        <v>0.5</v>
      </c>
      <c r="E11" s="10">
        <v>5</v>
      </c>
      <c r="F11" s="10">
        <v>15</v>
      </c>
    </row>
    <row r="12" spans="1:6" x14ac:dyDescent="0.2">
      <c r="A12" s="10">
        <v>400</v>
      </c>
      <c r="B12" s="10">
        <v>-72</v>
      </c>
      <c r="C12" s="10">
        <v>7.0000000000000007E-2</v>
      </c>
      <c r="D12" s="10">
        <v>1</v>
      </c>
      <c r="E12" s="10">
        <v>10</v>
      </c>
      <c r="F12" s="10">
        <v>20</v>
      </c>
    </row>
    <row r="13" spans="1:6" x14ac:dyDescent="0.2">
      <c r="A13" s="10">
        <v>500</v>
      </c>
      <c r="B13" s="10">
        <v>-45</v>
      </c>
      <c r="C13" s="10">
        <v>0.18</v>
      </c>
      <c r="D13" s="10">
        <v>2</v>
      </c>
      <c r="E13" s="10">
        <v>34</v>
      </c>
      <c r="F13" s="10">
        <v>40</v>
      </c>
    </row>
    <row r="14" spans="1:6" x14ac:dyDescent="0.2">
      <c r="A14" s="10">
        <v>550</v>
      </c>
      <c r="B14" s="10">
        <v>0</v>
      </c>
      <c r="C14" s="10">
        <v>0.25</v>
      </c>
      <c r="D14" s="10">
        <v>2.4</v>
      </c>
      <c r="E14" s="10">
        <v>52</v>
      </c>
      <c r="F14" s="10">
        <v>52</v>
      </c>
    </row>
    <row r="15" spans="1:6" x14ac:dyDescent="0.2">
      <c r="A15" s="10">
        <v>600</v>
      </c>
      <c r="B15" s="10">
        <v>42</v>
      </c>
      <c r="C15" s="10">
        <v>0.18</v>
      </c>
      <c r="D15" s="10">
        <v>2</v>
      </c>
      <c r="E15" s="10">
        <v>42</v>
      </c>
      <c r="F15" s="10">
        <v>34</v>
      </c>
    </row>
    <row r="16" spans="1:6" x14ac:dyDescent="0.2">
      <c r="A16" s="10">
        <v>700</v>
      </c>
      <c r="B16" s="10">
        <v>69</v>
      </c>
      <c r="C16" s="10">
        <v>0.09</v>
      </c>
      <c r="D16" s="10">
        <v>1</v>
      </c>
      <c r="E16" s="10">
        <v>24</v>
      </c>
      <c r="F16" s="10">
        <v>14</v>
      </c>
    </row>
    <row r="17" spans="1:23" x14ac:dyDescent="0.2">
      <c r="A17" s="10">
        <v>800</v>
      </c>
      <c r="B17" s="10">
        <v>75</v>
      </c>
      <c r="C17" s="10">
        <v>0.06</v>
      </c>
      <c r="D17" s="10">
        <v>24</v>
      </c>
      <c r="E17" s="10">
        <v>18</v>
      </c>
      <c r="F17" s="10">
        <v>8</v>
      </c>
    </row>
    <row r="19" spans="1:23" ht="18" x14ac:dyDescent="0.2">
      <c r="A19" s="28" t="s">
        <v>66</v>
      </c>
      <c r="B19" s="12" t="s">
        <v>56</v>
      </c>
      <c r="C19" s="10">
        <f>A6</f>
        <v>10</v>
      </c>
      <c r="D19" s="12" t="s">
        <v>81</v>
      </c>
      <c r="E19" s="10">
        <f>C6</f>
        <v>10</v>
      </c>
      <c r="F19" s="12" t="s">
        <v>82</v>
      </c>
      <c r="G19" s="10">
        <f>E6</f>
        <v>30</v>
      </c>
      <c r="H19" s="12" t="s">
        <v>83</v>
      </c>
      <c r="I19" s="10">
        <f>D6*10^(-3)</f>
        <v>0.06</v>
      </c>
      <c r="J19" s="12" t="s">
        <v>84</v>
      </c>
      <c r="K19" s="10">
        <f>F6*10^(-6)</f>
        <v>1.3999999999999999E-6</v>
      </c>
    </row>
    <row r="20" spans="1:23" x14ac:dyDescent="0.2">
      <c r="A20" s="28"/>
      <c r="B20" s="28" t="s">
        <v>6</v>
      </c>
      <c r="C20" s="28"/>
      <c r="D20" s="28"/>
      <c r="E20" s="28"/>
      <c r="F20" s="28"/>
      <c r="G20" s="28" t="s">
        <v>67</v>
      </c>
      <c r="H20" s="28"/>
      <c r="I20" s="28"/>
      <c r="J20" s="28"/>
      <c r="K20" s="28"/>
    </row>
    <row r="21" spans="1:23" ht="18" x14ac:dyDescent="0.2">
      <c r="A21" s="28"/>
      <c r="B21" s="12" t="s">
        <v>77</v>
      </c>
      <c r="C21" s="21">
        <f>1/(2*3.14*SQRT(I19*K19))</f>
        <v>549.41525425346674</v>
      </c>
      <c r="D21" s="12" t="s">
        <v>78</v>
      </c>
      <c r="E21" s="21">
        <f>1/(E19+G19)*SQRT(I19/K19)</f>
        <v>5.1754916950676568</v>
      </c>
      <c r="F21" s="10"/>
      <c r="G21" s="12" t="s">
        <v>79</v>
      </c>
      <c r="H21" s="21"/>
      <c r="I21" s="12" t="s">
        <v>80</v>
      </c>
      <c r="J21" s="21"/>
      <c r="K21" s="10"/>
    </row>
    <row r="22" spans="1:23" ht="18" x14ac:dyDescent="0.2">
      <c r="A22" s="28"/>
      <c r="B22" s="15" t="s">
        <v>68</v>
      </c>
      <c r="C22" s="12" t="s">
        <v>69</v>
      </c>
      <c r="D22" s="12" t="s">
        <v>70</v>
      </c>
      <c r="E22" s="12" t="s">
        <v>71</v>
      </c>
      <c r="F22" s="12" t="s">
        <v>72</v>
      </c>
      <c r="G22" s="15" t="s">
        <v>68</v>
      </c>
      <c r="H22" s="12" t="s">
        <v>69</v>
      </c>
      <c r="I22" s="12" t="s">
        <v>70</v>
      </c>
      <c r="J22" s="12" t="s">
        <v>71</v>
      </c>
      <c r="K22" s="12" t="s">
        <v>72</v>
      </c>
      <c r="M22" s="38" t="s">
        <v>85</v>
      </c>
      <c r="N22" s="38" t="s">
        <v>86</v>
      </c>
      <c r="O22" s="38" t="s">
        <v>87</v>
      </c>
      <c r="P22" s="38" t="s">
        <v>10</v>
      </c>
      <c r="Q22" s="38" t="s">
        <v>88</v>
      </c>
      <c r="R22" s="38" t="s">
        <v>89</v>
      </c>
      <c r="S22" s="37"/>
      <c r="T22" s="37"/>
      <c r="U22" s="12"/>
      <c r="V22" s="12"/>
      <c r="W22" s="12" t="s">
        <v>72</v>
      </c>
    </row>
    <row r="23" spans="1:23" x14ac:dyDescent="0.2">
      <c r="A23" s="10" t="s">
        <v>73</v>
      </c>
      <c r="B23" s="10" t="s">
        <v>74</v>
      </c>
      <c r="C23" s="10" t="s">
        <v>75</v>
      </c>
      <c r="D23" s="28" t="s">
        <v>76</v>
      </c>
      <c r="E23" s="28"/>
      <c r="F23" s="28"/>
      <c r="G23" s="10" t="s">
        <v>74</v>
      </c>
      <c r="H23" s="10" t="s">
        <v>75</v>
      </c>
      <c r="I23" s="28" t="s">
        <v>76</v>
      </c>
      <c r="J23" s="28"/>
      <c r="K23" s="28"/>
      <c r="M23" s="39" t="s">
        <v>73</v>
      </c>
      <c r="N23" s="39" t="s">
        <v>41</v>
      </c>
      <c r="O23" s="39" t="s">
        <v>41</v>
      </c>
      <c r="P23" s="39" t="s">
        <v>41</v>
      </c>
      <c r="Q23" s="39" t="s">
        <v>41</v>
      </c>
      <c r="R23" s="39" t="s">
        <v>41</v>
      </c>
    </row>
    <row r="24" spans="1:23" x14ac:dyDescent="0.2">
      <c r="A24" s="10">
        <f>A11</f>
        <v>300</v>
      </c>
      <c r="B24" s="21">
        <f>DEGREES(ATAN(Q24/P24))</f>
        <v>-81.451100066089168</v>
      </c>
      <c r="C24" s="21">
        <f>$C$19/R24</f>
        <v>3.7163361867750558E-2</v>
      </c>
      <c r="D24" s="21">
        <f>C24*$E$19</f>
        <v>0.37163361867750555</v>
      </c>
      <c r="E24" s="21">
        <f>C24*SQRT($G$19^2+N24^2)</f>
        <v>4.3463726012572508</v>
      </c>
      <c r="F24" s="21">
        <f>C24*O24</f>
        <v>14.089839955926053</v>
      </c>
      <c r="G24" s="21">
        <f>B11</f>
        <v>-81</v>
      </c>
      <c r="H24" s="21">
        <f t="shared" ref="H24:K24" si="0">C11</f>
        <v>0.04</v>
      </c>
      <c r="I24" s="21">
        <f t="shared" si="0"/>
        <v>0.5</v>
      </c>
      <c r="J24" s="21">
        <f t="shared" si="0"/>
        <v>5</v>
      </c>
      <c r="K24" s="21">
        <f t="shared" si="0"/>
        <v>15</v>
      </c>
      <c r="M24" s="40">
        <f>2*3.14*A24</f>
        <v>1884</v>
      </c>
      <c r="N24" s="41">
        <f>M24*$I$19</f>
        <v>113.03999999999999</v>
      </c>
      <c r="O24" s="41">
        <f>1/(M24*$K$19)</f>
        <v>379.13254473764027</v>
      </c>
      <c r="P24" s="41">
        <f>$E$19+$G$19</f>
        <v>40</v>
      </c>
      <c r="Q24" s="41">
        <f>N24-O24</f>
        <v>-266.09254473764031</v>
      </c>
      <c r="R24" s="41">
        <f>SQRT(P24^2+Q24^2)</f>
        <v>269.08222231309355</v>
      </c>
    </row>
    <row r="25" spans="1:23" x14ac:dyDescent="0.2">
      <c r="A25" s="19">
        <f t="shared" ref="A25:A30" si="1">A12</f>
        <v>400</v>
      </c>
      <c r="B25" s="21">
        <f t="shared" ref="B25:B29" si="2">DEGREES(ATAN(Q25/P25))</f>
        <v>-73.335701712536306</v>
      </c>
      <c r="C25" s="21">
        <f t="shared" ref="C25:C29" si="3">$C$19/R25</f>
        <v>7.1690908249299662E-2</v>
      </c>
      <c r="D25" s="21">
        <f t="shared" ref="D25:D30" si="4">C25*$E$19</f>
        <v>0.71690908249299667</v>
      </c>
      <c r="E25" s="21">
        <f t="shared" ref="E25:E29" si="5">C25*SQRT($G$19^2+N25^2)</f>
        <v>11.017219931867803</v>
      </c>
      <c r="F25" s="21">
        <f t="shared" ref="F25:F29" si="6">C25*O25</f>
        <v>20.38526735933225</v>
      </c>
      <c r="G25" s="21">
        <f t="shared" ref="G25:G29" si="7">B12</f>
        <v>-72</v>
      </c>
      <c r="H25" s="21">
        <f t="shared" ref="H25:H29" si="8">C12</f>
        <v>7.0000000000000007E-2</v>
      </c>
      <c r="I25" s="21">
        <f t="shared" ref="I25:I29" si="9">D12</f>
        <v>1</v>
      </c>
      <c r="J25" s="21">
        <f t="shared" ref="J25:J29" si="10">E12</f>
        <v>10</v>
      </c>
      <c r="K25" s="21">
        <f t="shared" ref="K25:K29" si="11">F12</f>
        <v>20</v>
      </c>
      <c r="M25" s="40">
        <f t="shared" ref="M25:M29" si="12">2*3.14*A25</f>
        <v>2512</v>
      </c>
      <c r="N25" s="41">
        <f t="shared" ref="N25:N30" si="13">M25*$I$19</f>
        <v>150.72</v>
      </c>
      <c r="O25" s="41">
        <f t="shared" ref="O25:O29" si="14">1/(M25*$K$19)</f>
        <v>284.34940855323021</v>
      </c>
      <c r="P25" s="41">
        <f t="shared" ref="P25:P30" si="15">$E$19+$G$19</f>
        <v>40</v>
      </c>
      <c r="Q25" s="41">
        <f t="shared" ref="Q25:Q29" si="16">N25-O25</f>
        <v>-133.62940855323021</v>
      </c>
      <c r="R25" s="41">
        <f t="shared" ref="R25:R29" si="17">SQRT(P25^2+Q25^2)</f>
        <v>139.4877013585288</v>
      </c>
    </row>
    <row r="26" spans="1:23" x14ac:dyDescent="0.2">
      <c r="A26" s="19">
        <f t="shared" si="1"/>
        <v>500</v>
      </c>
      <c r="B26" s="21">
        <f t="shared" si="2"/>
        <v>-44.333116325212735</v>
      </c>
      <c r="C26" s="21">
        <f t="shared" si="3"/>
        <v>0.17882223447242962</v>
      </c>
      <c r="D26" s="21">
        <f t="shared" si="4"/>
        <v>1.7882223447242962</v>
      </c>
      <c r="E26" s="21">
        <f t="shared" si="5"/>
        <v>34.114558404123478</v>
      </c>
      <c r="F26" s="21">
        <f t="shared" si="6"/>
        <v>40.678397286721939</v>
      </c>
      <c r="G26" s="21">
        <f t="shared" si="7"/>
        <v>-45</v>
      </c>
      <c r="H26" s="21">
        <f t="shared" si="8"/>
        <v>0.18</v>
      </c>
      <c r="I26" s="21">
        <f t="shared" si="9"/>
        <v>2</v>
      </c>
      <c r="J26" s="21">
        <f t="shared" si="10"/>
        <v>34</v>
      </c>
      <c r="K26" s="21">
        <f t="shared" si="11"/>
        <v>40</v>
      </c>
      <c r="M26" s="40">
        <f t="shared" si="12"/>
        <v>3140</v>
      </c>
      <c r="N26" s="41">
        <f t="shared" si="13"/>
        <v>188.4</v>
      </c>
      <c r="O26" s="41">
        <f t="shared" si="14"/>
        <v>227.47952684258419</v>
      </c>
      <c r="P26" s="41">
        <f t="shared" si="15"/>
        <v>40</v>
      </c>
      <c r="Q26" s="41">
        <f t="shared" si="16"/>
        <v>-39.079526842584187</v>
      </c>
      <c r="R26" s="41">
        <f t="shared" si="17"/>
        <v>55.921457583294966</v>
      </c>
    </row>
    <row r="27" spans="1:23" x14ac:dyDescent="0.2">
      <c r="A27" s="19">
        <f t="shared" si="1"/>
        <v>550</v>
      </c>
      <c r="B27" s="21">
        <f t="shared" si="2"/>
        <v>0.6308442162585387</v>
      </c>
      <c r="C27" s="21">
        <f t="shared" si="3"/>
        <v>0.24998484679103641</v>
      </c>
      <c r="D27" s="21">
        <f t="shared" si="4"/>
        <v>2.4998484679103643</v>
      </c>
      <c r="E27" s="21">
        <f t="shared" si="5"/>
        <v>52.346861299901782</v>
      </c>
      <c r="F27" s="21">
        <f t="shared" si="6"/>
        <v>51.696758787128061</v>
      </c>
      <c r="G27" s="21">
        <f t="shared" si="7"/>
        <v>0</v>
      </c>
      <c r="H27" s="21">
        <f t="shared" si="8"/>
        <v>0.25</v>
      </c>
      <c r="I27" s="21">
        <f t="shared" si="9"/>
        <v>2.4</v>
      </c>
      <c r="J27" s="21">
        <f t="shared" si="10"/>
        <v>52</v>
      </c>
      <c r="K27" s="21">
        <f t="shared" si="11"/>
        <v>52</v>
      </c>
      <c r="M27" s="40">
        <f t="shared" si="12"/>
        <v>3454</v>
      </c>
      <c r="N27" s="41">
        <f t="shared" si="13"/>
        <v>207.23999999999998</v>
      </c>
      <c r="O27" s="41">
        <f t="shared" si="14"/>
        <v>206.79956985689472</v>
      </c>
      <c r="P27" s="41">
        <f t="shared" si="15"/>
        <v>40</v>
      </c>
      <c r="Q27" s="41">
        <f t="shared" si="16"/>
        <v>0.44043014310526019</v>
      </c>
      <c r="R27" s="41">
        <f t="shared" si="17"/>
        <v>40.002424660399718</v>
      </c>
    </row>
    <row r="28" spans="1:23" x14ac:dyDescent="0.2">
      <c r="A28" s="19">
        <f t="shared" si="1"/>
        <v>600</v>
      </c>
      <c r="B28" s="21">
        <f t="shared" si="2"/>
        <v>42.391178815703945</v>
      </c>
      <c r="C28" s="21">
        <f t="shared" si="3"/>
        <v>0.1846397866498086</v>
      </c>
      <c r="D28" s="21">
        <f t="shared" si="4"/>
        <v>1.846397866498086</v>
      </c>
      <c r="E28" s="21">
        <f t="shared" si="5"/>
        <v>42.109274719784239</v>
      </c>
      <c r="F28" s="21">
        <f t="shared" si="6"/>
        <v>35.001476086178457</v>
      </c>
      <c r="G28" s="21">
        <f t="shared" si="7"/>
        <v>42</v>
      </c>
      <c r="H28" s="21">
        <f t="shared" si="8"/>
        <v>0.18</v>
      </c>
      <c r="I28" s="21">
        <f t="shared" si="9"/>
        <v>2</v>
      </c>
      <c r="J28" s="21">
        <f t="shared" si="10"/>
        <v>42</v>
      </c>
      <c r="K28" s="21">
        <f t="shared" si="11"/>
        <v>34</v>
      </c>
      <c r="M28" s="40">
        <f t="shared" si="12"/>
        <v>3768</v>
      </c>
      <c r="N28" s="41">
        <f t="shared" si="13"/>
        <v>226.07999999999998</v>
      </c>
      <c r="O28" s="41">
        <f t="shared" si="14"/>
        <v>189.56627236882014</v>
      </c>
      <c r="P28" s="41">
        <f t="shared" si="15"/>
        <v>40</v>
      </c>
      <c r="Q28" s="41">
        <f t="shared" si="16"/>
        <v>36.513727631179847</v>
      </c>
      <c r="R28" s="41">
        <f t="shared" si="17"/>
        <v>54.159507988200801</v>
      </c>
    </row>
    <row r="29" spans="1:23" x14ac:dyDescent="0.2">
      <c r="A29" s="19">
        <f t="shared" si="1"/>
        <v>700</v>
      </c>
      <c r="B29" s="21">
        <f t="shared" si="2"/>
        <v>68.447681391646711</v>
      </c>
      <c r="C29" s="21">
        <f t="shared" si="3"/>
        <v>9.1837666960560366E-2</v>
      </c>
      <c r="D29" s="21">
        <f t="shared" si="4"/>
        <v>0.91837666960560371</v>
      </c>
      <c r="E29" s="21">
        <f t="shared" si="5"/>
        <v>24.379283462228081</v>
      </c>
      <c r="F29" s="21">
        <f t="shared" si="6"/>
        <v>14.922277876082212</v>
      </c>
      <c r="G29" s="21">
        <f t="shared" si="7"/>
        <v>69</v>
      </c>
      <c r="H29" s="21">
        <f t="shared" si="8"/>
        <v>0.09</v>
      </c>
      <c r="I29" s="21">
        <f t="shared" si="9"/>
        <v>1</v>
      </c>
      <c r="J29" s="21">
        <f t="shared" si="10"/>
        <v>24</v>
      </c>
      <c r="K29" s="21">
        <f t="shared" si="11"/>
        <v>14</v>
      </c>
      <c r="M29" s="40">
        <f t="shared" si="12"/>
        <v>4396</v>
      </c>
      <c r="N29" s="41">
        <f t="shared" si="13"/>
        <v>263.76</v>
      </c>
      <c r="O29" s="41">
        <f t="shared" si="14"/>
        <v>162.48537631613155</v>
      </c>
      <c r="P29" s="41">
        <f t="shared" si="15"/>
        <v>40</v>
      </c>
      <c r="Q29" s="41">
        <f t="shared" si="16"/>
        <v>101.27462368386844</v>
      </c>
      <c r="R29" s="41">
        <f t="shared" si="17"/>
        <v>108.88778353107004</v>
      </c>
    </row>
    <row r="30" spans="1:23" x14ac:dyDescent="0.2">
      <c r="A30" s="19">
        <f t="shared" si="1"/>
        <v>800</v>
      </c>
      <c r="B30" s="21">
        <f t="shared" ref="B30" si="18">DEGREES(ATAN(Q30/P30))</f>
        <v>75.901582774692272</v>
      </c>
      <c r="C30" s="21">
        <f t="shared" ref="C30" si="19">$C$19/R30</f>
        <v>6.0897054834449016E-2</v>
      </c>
      <c r="D30" s="21">
        <f t="shared" si="4"/>
        <v>0.60897054834449016</v>
      </c>
      <c r="E30" s="21">
        <f t="shared" ref="E30" si="20">C30*SQRT($G$19^2+N30^2)</f>
        <v>18.447493428421307</v>
      </c>
      <c r="F30" s="21">
        <f t="shared" ref="F30" si="21">C30*O30</f>
        <v>8.6580207624046022</v>
      </c>
      <c r="G30" s="21">
        <f t="shared" ref="G30" si="22">B17</f>
        <v>75</v>
      </c>
      <c r="H30" s="21">
        <f t="shared" ref="H30" si="23">C17</f>
        <v>0.06</v>
      </c>
      <c r="I30" s="21">
        <f t="shared" ref="I30" si="24">D17</f>
        <v>24</v>
      </c>
      <c r="J30" s="21">
        <f t="shared" ref="J30" si="25">E17</f>
        <v>18</v>
      </c>
      <c r="K30" s="21">
        <f t="shared" ref="K30" si="26">F17</f>
        <v>8</v>
      </c>
      <c r="M30" s="40">
        <f t="shared" ref="M30" si="27">2*3.14*A30</f>
        <v>5024</v>
      </c>
      <c r="N30" s="41">
        <f t="shared" si="13"/>
        <v>301.44</v>
      </c>
      <c r="O30" s="41">
        <f t="shared" ref="O30" si="28">1/(M30*$K$19)</f>
        <v>142.1747042766151</v>
      </c>
      <c r="P30" s="41">
        <f t="shared" si="15"/>
        <v>40</v>
      </c>
      <c r="Q30" s="41">
        <f t="shared" ref="Q30" si="29">N30-O30</f>
        <v>159.2652957233849</v>
      </c>
      <c r="R30" s="41">
        <f t="shared" ref="R30" si="30">SQRT(P30^2+Q30^2)</f>
        <v>164.21155386225794</v>
      </c>
    </row>
  </sheetData>
  <mergeCells count="5">
    <mergeCell ref="A19:A22"/>
    <mergeCell ref="B20:F20"/>
    <mergeCell ref="G20:K20"/>
    <mergeCell ref="D23:F23"/>
    <mergeCell ref="I23:K23"/>
  </mergeCells>
  <phoneticPr fontId="16" type="noConversion"/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2017-10-18T12:27:27Z</dcterms:created>
  <dcterms:modified xsi:type="dcterms:W3CDTF">2017-12-24T16:47:28Z</dcterms:modified>
</cp:coreProperties>
</file>