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 1" sheetId="1" r:id="rId3"/>
    <sheet state="visible" name="Round 2" sheetId="2" r:id="rId4"/>
    <sheet state="visible" name="Round 3" sheetId="3" r:id="rId5"/>
    <sheet state="visible" name="Round 4" sheetId="4" r:id="rId6"/>
    <sheet state="visible" name="Round 5" sheetId="5" r:id="rId7"/>
    <sheet state="visible" name="Round 6" sheetId="6" r:id="rId8"/>
    <sheet state="visible" name="Round 7" sheetId="7" r:id="rId9"/>
    <sheet state="visible" name="Round 8" sheetId="8" r:id="rId10"/>
    <sheet state="visible" name="Round 9" sheetId="9" r:id="rId11"/>
    <sheet state="visible" name="Round 10" sheetId="10" r:id="rId12"/>
    <sheet state="visible" name="Round 11" sheetId="11" r:id="rId13"/>
    <sheet state="visible" name="Round 12" sheetId="12" r:id="rId14"/>
    <sheet state="visible" name="Round 13" sheetId="13" r:id="rId15"/>
    <sheet state="visible" name="Round 14" sheetId="14" r:id="rId16"/>
    <sheet state="visible" name="Round 15" sheetId="15" r:id="rId17"/>
    <sheet state="visible" name="Round 16" sheetId="16" r:id="rId18"/>
    <sheet state="visible" name="FinalsEmergency" sheetId="17" r:id="rId19"/>
    <sheet state="visible" name="Finals 2Emergency" sheetId="18" r:id="rId20"/>
  </sheets>
  <definedNames/>
  <calcPr/>
</workbook>
</file>

<file path=xl/sharedStrings.xml><?xml version="1.0" encoding="utf-8"?>
<sst xmlns="http://schemas.openxmlformats.org/spreadsheetml/2006/main" count="936" uniqueCount="51">
  <si>
    <t>Room 1</t>
  </si>
  <si>
    <t>Not Using</t>
  </si>
  <si>
    <t>TUH</t>
  </si>
  <si>
    <t>Total</t>
  </si>
  <si>
    <t>https://docs.google.com/spreadsheets/d/1JXwZ4AjXctyKvWy9qFKCX518NRYJYhSX9Jii0HPBCUs/edit</t>
  </si>
  <si>
    <t>Room 2</t>
  </si>
  <si>
    <t>https://docs.google.com/spreadsheets/d/1GBDUn_ZojNLX5OJCVBEhvJbdm0c55Z7lPcE4L6WH89o/edit</t>
  </si>
  <si>
    <t>Room 3</t>
  </si>
  <si>
    <t>https://docs.google.com/spreadsheets/d/19Dum1qlL_dEwf1AEniLf02Eg9XaNXi1GMkI5M4_Ei6w/edit</t>
  </si>
  <si>
    <t>J110</t>
  </si>
  <si>
    <t>https://docs.google.com/spreadsheets/d/18KjuM_F6goZYnozVb7folIb5Hw_mfKQrNdVWKGx6j4s/edit</t>
  </si>
  <si>
    <t>J113</t>
  </si>
  <si>
    <t>Room 5</t>
  </si>
  <si>
    <t>https://docs.google.com/spreadsheets/d/1_YEY20HiFjspjicPICCMlL_lQXsksdB6d3m5vzHwuOI/edit</t>
  </si>
  <si>
    <t>J112</t>
  </si>
  <si>
    <t>Room 6</t>
  </si>
  <si>
    <t>https://docs.google.com/spreadsheets/d/1SYS5Ef48991ZUgqcGqj51eX2YgqKCzfrEZ_pUY01Lwo/edit</t>
  </si>
  <si>
    <t>Room 7</t>
  </si>
  <si>
    <t>J114</t>
  </si>
  <si>
    <t>https://docs.google.com/spreadsheets/d/1UJlRLlhI2Hg_SAQqQOg0JGdwHhiagF7EVAtCX8UOYFc/edit</t>
  </si>
  <si>
    <t>Room 8</t>
  </si>
  <si>
    <t>J115</t>
  </si>
  <si>
    <t>https://docs.google.com/spreadsheets/d/1jA96n0qbauznSt6-hkr51AslpxJqfrWgkafVtMV8_xU/edit</t>
  </si>
  <si>
    <t>Room 9</t>
  </si>
  <si>
    <t>J116</t>
  </si>
  <si>
    <t>https://docs.google.com/spreadsheets/d/1xw1EOjVhrK1PNJfOYiUsuJNrlpV53SmfJxYsFFolQ3s/edit</t>
  </si>
  <si>
    <t>Room 10</t>
  </si>
  <si>
    <t>https://docs.google.com/spreadsheets/d/15wOrdFuJAb1a4MoX5CG4apiBD2jUJ7mBu58Uk-8Mo7s/edit</t>
  </si>
  <si>
    <t>Room 11</t>
  </si>
  <si>
    <t>https://docs.google.com/spreadsheets/d/1GfJqS1rsy-VutTmPVnm9E2VdinIG-GnQO5b3bhaiX1s/edit</t>
  </si>
  <si>
    <t>G111</t>
  </si>
  <si>
    <t>https://docs.google.com/spreadsheets/d/17CLUEFflDBSa8dyH5vsXfHme4RV8IhzD-mxe9_c9I5k/edit</t>
  </si>
  <si>
    <t>G112</t>
  </si>
  <si>
    <t>https://docs.google.com/spreadsheets/d/1Knt8XDGFY_MP2OzeadT1pDENTLOdk9Ab_Rd9IdW0kzc/edit</t>
  </si>
  <si>
    <t>G113</t>
  </si>
  <si>
    <t>https://docs.google.com/spreadsheets/d/16i4gsLDaJasgGgtJt27HweoboYNaal3qpX3MtxIR2f0/edit</t>
  </si>
  <si>
    <t>G114</t>
  </si>
  <si>
    <t>https://docs.google.com/spreadsheets/d/1KRyI2c190uhOTF270Hsdzh1rgG565QIaE9TymteaGNY/edit</t>
  </si>
  <si>
    <t>G115</t>
  </si>
  <si>
    <t>https://docs.google.com/spreadsheets/d/1zr0uYCpJ5izByVOUCsr6JXezthGEdLXnwOrjIKGx5XI/edit</t>
  </si>
  <si>
    <t>G116</t>
  </si>
  <si>
    <t>https://docs.google.com/spreadsheets/d/1TVrjNI5RE1VozIr906BhaTKMFP0VPx8aUGpyt_loukE/edit</t>
  </si>
  <si>
    <t>Room 18</t>
  </si>
  <si>
    <t>https://docs.google.com/spreadsheets/d/1xRz0po-ejgp-QRvMkY44z3u2CePgTccasdyrrVALbmE/edit</t>
  </si>
  <si>
    <t>Room 4</t>
  </si>
  <si>
    <t>Room 12</t>
  </si>
  <si>
    <t>Room 13</t>
  </si>
  <si>
    <t>Room 14</t>
  </si>
  <si>
    <t>Room 15</t>
  </si>
  <si>
    <t>Room 16</t>
  </si>
  <si>
    <t>Room 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</si>
</sst>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10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11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12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13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3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4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5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6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7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8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9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 t="s">
        <v>1</v>
      </c>
      <c r="B1" t="str">
        <f>IFERROR(__xludf.DUMMYFUNCTION("{IMPORTRANGE(""1JXwZ4AjXctyKvWy9qFKCX518NRYJYhSX9Jii0HPBCUs"",""Round 1!C1:H3""),IMPORTRANGE(""1JXwZ4AjXctyKvWy9qFKCX518NRYJYhSX9Jii0HPBCUs"",""Round 1!M1:R3"")}"),"Team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2" t="str">
        <f>IFERROR(__xludf.DUMMYFUNCTION("CONCAT(""A BP: "",IMPORTRANGE(""1JXwZ4AjXctyKvWy9qFKCX518NRYJYhSX9Jii0HPBCUs"",""Round 1!I32""))"),"A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2" t="str">
        <f>IFERROR(__xludf.DUMMYFUNCTION("CONCAT(""B BP: "",IMPORTRANGE(""1JXwZ4AjXctyKvWy9qFKCX518NRYJYhSX9Jii0HPBCUs"",""Round 1!S32""))"),"B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1" t="s">
        <v>2</v>
      </c>
      <c r="B4">
        <f>IFERROR(__xludf.DUMMYFUNCTION("{IMPORTRANGE(""1JXwZ4AjXctyKvWy9qFKCX518NRYJYhSX9Jii0HPBCUs"",""Round 1!C32:H36""),IMPORTRANGE(""1JXwZ4AjXctyKvWy9qFKCX518NRYJYhSX9Jii0HPBCUs"",""Round 1!M32:R36"")}"),20.0)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1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1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1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1" t="s">
        <v>3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2" t="str">
        <f>IFERROR(__xludf.DUMMYFUNCTION("IMPORTRANGE(""1JXwZ4AjXctyKvWy9qFKCX518NRYJYhSX9Jii0HPBCUs"",""Round 1!W1"")"),"Question: 1")</f>
        <v>Question: 1</v>
      </c>
      <c r="B9" s="3" t="s">
        <v>4</v>
      </c>
    </row>
    <row r="10">
      <c r="A10" s="1"/>
    </row>
    <row r="11">
      <c r="A11" s="1" t="s">
        <v>1</v>
      </c>
      <c r="B11" t="str">
        <f>IFERROR(__xludf.DUMMYFUNCTION("{IMPORTRANGE(""1GBDUn_ZojNLX5OJCVBEhvJbdm0c55Z7lPcE4L6WH89o"",""Round 1!C1:H3""),IMPORTRANGE(""1GBDUn_ZojNLX5OJCVBEhvJbdm0c55Z7lPcE4L6WH89o"",""Round 1!M1:R3"")}"),"Team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2" t="str">
        <f>IFERROR(__xludf.DUMMYFUNCTION("CONCAT(""A BP: "",IMPORTRANGE(""1GBDUn_ZojNLX5OJCVBEhvJbdm0c55Z7lPcE4L6WH89o"",""Round 1!I32""))"),"A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2" t="str">
        <f>IFERROR(__xludf.DUMMYFUNCTION("CONCAT(""B BP: "",IMPORTRANGE(""1GBDUn_ZojNLX5OJCVBEhvJbdm0c55Z7lPcE4L6WH89o"",""Round 1!S32""))"),"B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1" t="s">
        <v>2</v>
      </c>
      <c r="B14">
        <f>IFERROR(__xludf.DUMMYFUNCTION("{IMPORTRANGE(""1GBDUn_ZojNLX5OJCVBEhvJbdm0c55Z7lPcE4L6WH89o"",""Round 1!C32:H36""),IMPORTRANGE(""1GBDUn_ZojNLX5OJCVBEhvJbdm0c55Z7lPcE4L6WH89o"",""Round 1!M32:R36"")}"),20.0)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1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1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1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1" t="s">
        <v>3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2" t="str">
        <f>IFERROR(__xludf.DUMMYFUNCTION("IMPORTRANGE(""1GBDUn_ZojNLX5OJCVBEhvJbdm0c55Z7lPcE4L6WH89o"",""Round 1!W1"")"),"Question: 1")</f>
        <v>Question: 1</v>
      </c>
      <c r="B19" s="3" t="s">
        <v>6</v>
      </c>
    </row>
    <row r="20">
      <c r="A20" s="2"/>
    </row>
    <row r="21">
      <c r="A21" s="1" t="s">
        <v>1</v>
      </c>
      <c r="B21" t="str">
        <f>IFERROR(__xludf.DUMMYFUNCTION("{IMPORTRANGE(""19Dum1qlL_dEwf1AEniLf02Eg9XaNXi1GMkI5M4_Ei6w"",""Round 1!C1:H3""),IMPORTRANGE(""19Dum1qlL_dEwf1AEniLf02Eg9XaNXi1GMkI5M4_Ei6w"",""Round 1!M1:R3"")}"),"Team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2" t="str">
        <f>IFERROR(__xludf.DUMMYFUNCTION("CONCAT(""A BP: "",IMPORTRANGE(""19Dum1qlL_dEwf1AEniLf02Eg9XaNXi1GMkI5M4_Ei6w"",""Round 1!I32""))"),"A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2" t="str">
        <f>IFERROR(__xludf.DUMMYFUNCTION("CONCAT(""B BP: "",IMPORTRANGE(""19Dum1qlL_dEwf1AEniLf02Eg9XaNXi1GMkI5M4_Ei6w"",""Round 1!S32""))"),"B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1" t="s">
        <v>2</v>
      </c>
      <c r="B24">
        <f>IFERROR(__xludf.DUMMYFUNCTION("{IMPORTRANGE(""19Dum1qlL_dEwf1AEniLf02Eg9XaNXi1GMkI5M4_Ei6w"",""Round 1!C32:H36""),IMPORTRANGE(""19Dum1qlL_dEwf1AEniLf02Eg9XaNXi1GMkI5M4_Ei6w"",""Round 1!M32:R36"")}"),20.0)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1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1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1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1" t="s">
        <v>3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2" t="str">
        <f>IFERROR(__xludf.DUMMYFUNCTION("IMPORTRANGE(""19Dum1qlL_dEwf1AEniLf02Eg9XaNXi1GMkI5M4_Ei6w"",""Round 1!W1"")"),"Question: 1")</f>
        <v>Question: 1</v>
      </c>
      <c r="B29" s="3" t="s">
        <v>8</v>
      </c>
    </row>
    <row r="30">
      <c r="A30" s="2"/>
    </row>
    <row r="31">
      <c r="A31" s="1" t="s">
        <v>9</v>
      </c>
      <c r="B31" t="str">
        <f>IFERROR(__xludf.DUMMYFUNCTION("{IMPORTRANGE(""18KjuM_F6goZYnozVb7folIb5Hw_mfKQrNdVWKGx6j4s"",""Round 1!C1:H3""),IMPORTRANGE(""18KjuM_F6goZYnozVb7folIb5Hw_mfKQrNdVWKGx6j4s"",""Round 1!M1:R3"")}"),"Canyon Crest D (JV)")</f>
        <v>Canyon Crest D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IFERROR(__xludf.DUMMYFUNCTION("""COMPUTED_VALUE"""),"Black Mountain A (JV)")</f>
        <v>Black Mountain A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2" t="str">
        <f>IFERROR(__xludf.DUMMYFUNCTION("CONCAT(""A BP: "",IMPORTRANGE(""18KjuM_F6goZYnozVb7folIb5Hw_mfKQrNdVWKGx6j4s"",""Round 1!I32""))"),"A BP: 150")</f>
        <v>A BP: 150</v>
      </c>
      <c r="B32" t="str">
        <f>IFERROR(__xludf.DUMMYFUNCTION("""COMPUTED_VALUE"""),"Score: 250")</f>
        <v>Score: 250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220")</f>
        <v>Score: 220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2" t="str">
        <f>IFERROR(__xludf.DUMMYFUNCTION("CONCAT(""B BP: "",IMPORTRANGE(""18KjuM_F6goZYnozVb7folIb5Hw_mfKQrNdVWKGx6j4s"",""Round 1!S32""))"),"B BP: 150")</f>
        <v>B BP: 150</v>
      </c>
      <c r="B33" t="str">
        <f>IFERROR(__xludf.DUMMYFUNCTION("""COMPUTED_VALUE"""),"Tompson Hsu (12)")</f>
        <v>Tompson Hsu (12)</v>
      </c>
      <c r="C33" t="str">
        <f>IFERROR(__xludf.DUMMYFUNCTION("""COMPUTED_VALUE"""),"Demitrius Hong (12)")</f>
        <v>Demitrius Hong (12)</v>
      </c>
      <c r="D33" t="str">
        <f>IFERROR(__xludf.DUMMYFUNCTION("""COMPUTED_VALUE"""),"Kyle Lu (12)")</f>
        <v>Kyle Lu (12)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IFERROR(__xludf.DUMMYFUNCTION("""COMPUTED_VALUE"""),"Adarsh Venkateswaran (8)")</f>
        <v>Adarsh Venkateswaran (8)</v>
      </c>
      <c r="I33" t="str">
        <f>IFERROR(__xludf.DUMMYFUNCTION("""COMPUTED_VALUE"""),"Tanvi Bhide (7)")</f>
        <v>Tanvi Bhide (7)</v>
      </c>
      <c r="J33" t="str">
        <f>IFERROR(__xludf.DUMMYFUNCTION("""COMPUTED_VALUE"""),"Anvit Watwani (7)")</f>
        <v>Anvit Watwani (7)</v>
      </c>
      <c r="K33" t="str">
        <f>IFERROR(__xludf.DUMMYFUNCTION("""COMPUTED_VALUE"""),"Edwin Chang (8)")</f>
        <v>Edwin Chang (8)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1" t="s">
        <v>2</v>
      </c>
      <c r="B34">
        <f>IFERROR(__xludf.DUMMYFUNCTION("{IMPORTRANGE(""18KjuM_F6goZYnozVb7folIb5Hw_mfKQrNdVWKGx6j4s"",""Round 1!C32:H36""),IMPORTRANGE(""18KjuM_F6goZYnozVb7folIb5Hw_mfKQrNdVWKGx6j4s"",""Round 1!M32:R36"")}"),20.0)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1">
        <v>15.0</v>
      </c>
      <c r="B35">
        <f>IFERROR(__xludf.DUMMYFUNCTION("""COMPUTED_VALUE"""),1.0)</f>
        <v>1</v>
      </c>
      <c r="C35">
        <f>IFERROR(__xludf.DUMMYFUNCTION("""COMPUTED_VALUE"""),0.0)</f>
        <v>0</v>
      </c>
      <c r="D35">
        <f>IFERROR(__xludf.DUMMYFUNCTION("""COMPUTED_VALUE"""),1.0)</f>
        <v>1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IFERROR(__xludf.DUMMYFUNCTION("""COMPUTED_VALUE"""),1.0)</f>
        <v>1</v>
      </c>
      <c r="J35">
        <f>IFERROR(__xludf.DUMMYFUNCTION("""COMPUTED_VALUE"""),0.0)</f>
        <v>0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1">
        <v>10.0</v>
      </c>
      <c r="B36">
        <f>IFERROR(__xludf.DUMMYFUNCTION("""COMPUTED_VALUE"""),5.0)</f>
        <v>5</v>
      </c>
      <c r="C36">
        <f>IFERROR(__xludf.DUMMYFUNCTION("""COMPUTED_VALUE"""),2.0)</f>
        <v>2</v>
      </c>
      <c r="D36">
        <f>IFERROR(__xludf.DUMMYFUNCTION("""COMPUTED_VALUE"""),2.0)</f>
        <v>2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IFERROR(__xludf.DUMMYFUNCTION("""COMPUTED_VALUE"""),2.0)</f>
        <v>2</v>
      </c>
      <c r="I36">
        <f>IFERROR(__xludf.DUMMYFUNCTION("""COMPUTED_VALUE"""),1.0)</f>
        <v>1</v>
      </c>
      <c r="J36">
        <f>IFERROR(__xludf.DUMMYFUNCTION("""COMPUTED_VALUE"""),2.0)</f>
        <v>2</v>
      </c>
      <c r="K36">
        <f>IFERROR(__xludf.DUMMYFUNCTION("""COMPUTED_VALUE"""),1.0)</f>
        <v>1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1">
        <v>-5.0</v>
      </c>
      <c r="B37">
        <f>IFERROR(__xludf.DUMMYFUNCTION("""COMPUTED_VALUE"""),2.0)</f>
        <v>2</v>
      </c>
      <c r="C37">
        <f>IFERROR(__xludf.DUMMYFUNCTION("""COMPUTED_VALUE"""),0.0)</f>
        <v>0</v>
      </c>
      <c r="D37">
        <f>IFERROR(__xludf.DUMMYFUNCTION("""COMPUTED_VALUE"""),2.0)</f>
        <v>2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IFERROR(__xludf.DUMMYFUNCTION("""COMPUTED_VALUE"""),1.0)</f>
        <v>1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1" t="s">
        <v>3</v>
      </c>
      <c r="B38">
        <f>IFERROR(__xludf.DUMMYFUNCTION("""COMPUTED_VALUE"""),55.0)</f>
        <v>55</v>
      </c>
      <c r="C38">
        <f>IFERROR(__xludf.DUMMYFUNCTION("""COMPUTED_VALUE"""),20.0)</f>
        <v>20</v>
      </c>
      <c r="D38">
        <f>IFERROR(__xludf.DUMMYFUNCTION("""COMPUTED_VALUE"""),25.0)</f>
        <v>25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IFERROR(__xludf.DUMMYFUNCTION("""COMPUTED_VALUE"""),15.0)</f>
        <v>15</v>
      </c>
      <c r="I38">
        <f>IFERROR(__xludf.DUMMYFUNCTION("""COMPUTED_VALUE"""),25.0)</f>
        <v>25</v>
      </c>
      <c r="J38">
        <f>IFERROR(__xludf.DUMMYFUNCTION("""COMPUTED_VALUE"""),20.0)</f>
        <v>20</v>
      </c>
      <c r="K38">
        <f>IFERROR(__xludf.DUMMYFUNCTION("""COMPUTED_VALUE"""),10.0)</f>
        <v>10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2" t="str">
        <f>IFERROR(__xludf.DUMMYFUNCTION("IMPORTRANGE(""18KjuM_F6goZYnozVb7folIb5Hw_mfKQrNdVWKGx6j4s"",""Round 1!W1"")"),"Question: 21")</f>
        <v>Question: 21</v>
      </c>
      <c r="B39" s="3" t="s">
        <v>10</v>
      </c>
    </row>
    <row r="40">
      <c r="A40" s="2"/>
    </row>
    <row r="41">
      <c r="A41" s="1" t="s">
        <v>11</v>
      </c>
      <c r="B41" t="str">
        <f>IFERROR(__xludf.DUMMYFUNCTION("{IMPORTRANGE(""1_YEY20HiFjspjicPICCMlL_lQXsksdB6d3m5vzHwuOI"",""Round 1!C1:H3""),IMPORTRANGE(""1_YEY20HiFjspjicPICCMlL_lQXsksdB6d3m5vzHwuOI"",""Round 1!M1:R3"")}"),"Del Norte (JV)")</f>
        <v>Del Norte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IFERROR(__xludf.DUMMYFUNCTION("""COMPUTED_VALUE"""),"Oak Valley A (JV)")</f>
        <v>Oak Valley A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2" t="str">
        <f>IFERROR(__xludf.DUMMYFUNCTION("CONCAT(""A BP: "",IMPORTRANGE(""1_YEY20HiFjspjicPICCMlL_lQXsksdB6d3m5vzHwuOI"",""Round 1!I32""))"),"A BP: 110")</f>
        <v>A BP: 110</v>
      </c>
      <c r="B42" t="str">
        <f>IFERROR(__xludf.DUMMYFUNCTION("""COMPUTED_VALUE"""),"Score: 170")</f>
        <v>Score: 170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435")</f>
        <v>Score: 435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2" t="str">
        <f>IFERROR(__xludf.DUMMYFUNCTION("CONCAT(""B BP: "",IMPORTRANGE(""1_YEY20HiFjspjicPICCMlL_lQXsksdB6d3m5vzHwuOI"",""Round 1!S32""))"),"B BP: 300")</f>
        <v>B BP: 300</v>
      </c>
      <c r="B43" t="str">
        <f>IFERROR(__xludf.DUMMYFUNCTION("""COMPUTED_VALUE"""),"Player 1")</f>
        <v>Player 1</v>
      </c>
      <c r="C43" t="str">
        <f>IFERROR(__xludf.DUMMYFUNCTION("""COMPUTED_VALUE"""),"Player 2")</f>
        <v>Player 2</v>
      </c>
      <c r="D43" t="str">
        <f>IFERROR(__xludf.DUMMYFUNCTION("""COMPUTED_VALUE"""),"Player 3")</f>
        <v>Player 3</v>
      </c>
      <c r="E43" t="str">
        <f>IFERROR(__xludf.DUMMYFUNCTION("""COMPUTED_VALUE"""),"Player 4")</f>
        <v>Player 4</v>
      </c>
      <c r="F43" t="str">
        <f>IFERROR(__xludf.DUMMYFUNCTION("""COMPUTED_VALUE"""),"Kyle Nagasawa (11)")</f>
        <v>Kyle Nagasawa (11)</v>
      </c>
      <c r="G43" t="str">
        <f>IFERROR(__xludf.DUMMYFUNCTION("""COMPUTED_VALUE"""),"Kinish Sathish (9)")</f>
        <v>Kinish Sathish (9)</v>
      </c>
      <c r="H43" t="str">
        <f>IFERROR(__xludf.DUMMYFUNCTION("""COMPUTED_VALUE"""),"Conner Feng (8)")</f>
        <v>Conner Feng (8)</v>
      </c>
      <c r="I43" t="str">
        <f>IFERROR(__xludf.DUMMYFUNCTION("""COMPUTED_VALUE"""),"Raunak Mondal (7)")</f>
        <v>Raunak Mondal (7)</v>
      </c>
      <c r="J43" t="str">
        <f>IFERROR(__xludf.DUMMYFUNCTION("""COMPUTED_VALUE"""),"Player 3")</f>
        <v>Player 3</v>
      </c>
      <c r="K43" t="str">
        <f>IFERROR(__xludf.DUMMYFUNCTION("""COMPUTED_VALUE"""),"Jadon Pandian (7)")</f>
        <v>Jadon Pandian (7)</v>
      </c>
      <c r="L43" t="str">
        <f>IFERROR(__xludf.DUMMYFUNCTION("""COMPUTED_VALUE"""),"Jonas Brown (7)")</f>
        <v>Jonas Brown (7)</v>
      </c>
      <c r="M43" t="str">
        <f>IFERROR(__xludf.DUMMYFUNCTION("""COMPUTED_VALUE"""),"Player 6")</f>
        <v>Player 6</v>
      </c>
    </row>
    <row r="44">
      <c r="A44" s="1" t="s">
        <v>2</v>
      </c>
      <c r="B44">
        <f>IFERROR(__xludf.DUMMYFUNCTION("{IMPORTRANGE(""1_YEY20HiFjspjicPICCMlL_lQXsksdB6d3m5vzHwuOI"",""Round 1!C32:H36""),IMPORTRANGE(""1_YEY20HiFjspjicPICCMlL_lQXsksdB6d3m5vzHwuOI"",""Round 1!M32:R36"")}"),0.0)</f>
        <v>0</v>
      </c>
      <c r="C44">
        <f>IFERROR(__xludf.DUMMYFUNCTION("""COMPUTED_VALUE"""),0.0)</f>
        <v>0</v>
      </c>
      <c r="D44">
        <f>IFERROR(__xludf.DUMMYFUNCTION("""COMPUTED_VALUE"""),0.0)</f>
        <v>0</v>
      </c>
      <c r="E44">
        <f>IFERROR(__xludf.DUMMYFUNCTION("""COMPUTED_VALUE"""),0.0)</f>
        <v>0</v>
      </c>
      <c r="F44">
        <f>IFERROR(__xludf.DUMMYFUNCTION("""COMPUTED_VALUE"""),20.0)</f>
        <v>20</v>
      </c>
      <c r="G44">
        <f>IFERROR(__xludf.DUMMYFUNCTION("""COMPUTED_VALUE"""),20.0)</f>
        <v>20</v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IFERROR(__xludf.DUMMYFUNCTION("""COMPUTED_VALUE"""),0.0)</f>
        <v>0</v>
      </c>
      <c r="K44">
        <f>IFERROR(__xludf.DUMMYFUNCTION("""COMPUTED_VALUE"""),20.0)</f>
        <v>20</v>
      </c>
      <c r="L44">
        <f>IFERROR(__xludf.DUMMYFUNCTION("""COMPUTED_VALUE"""),20.0)</f>
        <v>20</v>
      </c>
      <c r="M44" t="str">
        <f>IFERROR(__xludf.DUMMYFUNCTION("""COMPUTED_VALUE"""),"")</f>
        <v/>
      </c>
    </row>
    <row r="45">
      <c r="A45" s="1">
        <v>15.0</v>
      </c>
      <c r="B45">
        <f>IFERROR(__xludf.DUMMYFUNCTION("""COMPUTED_VALUE"""),0.0)</f>
        <v>0</v>
      </c>
      <c r="C45">
        <f>IFERROR(__xludf.DUMMYFUNCTION("""COMPUTED_VALUE"""),0.0)</f>
        <v>0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IFERROR(__xludf.DUMMYFUNCTION("""COMPUTED_VALUE"""),2.0)</f>
        <v>2</v>
      </c>
      <c r="H45">
        <f>IFERROR(__xludf.DUMMYFUNCTION("""COMPUTED_VALUE"""),2.0)</f>
        <v>2</v>
      </c>
      <c r="I45">
        <f>IFERROR(__xludf.DUMMYFUNCTION("""COMPUTED_VALUE"""),4.0)</f>
        <v>4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1">
        <v>10.0</v>
      </c>
      <c r="B46">
        <f>IFERROR(__xludf.DUMMYFUNCTION("""COMPUTED_VALUE"""),0.0)</f>
        <v>0</v>
      </c>
      <c r="C46">
        <f>IFERROR(__xludf.DUMMYFUNCTION("""COMPUTED_VALUE"""),0.0)</f>
        <v>0</v>
      </c>
      <c r="D46">
        <f>IFERROR(__xludf.DUMMYFUNCTION("""COMPUTED_VALUE"""),0.0)</f>
        <v>0</v>
      </c>
      <c r="E46">
        <f>IFERROR(__xludf.DUMMYFUNCTION("""COMPUTED_VALUE"""),0.0)</f>
        <v>0</v>
      </c>
      <c r="F46">
        <f>IFERROR(__xludf.DUMMYFUNCTION("""COMPUTED_VALUE"""),3.0)</f>
        <v>3</v>
      </c>
      <c r="G46">
        <f>IFERROR(__xludf.DUMMYFUNCTION("""COMPUTED_VALUE"""),2.0)</f>
        <v>2</v>
      </c>
      <c r="H46">
        <f>IFERROR(__xludf.DUMMYFUNCTION("""COMPUTED_VALUE"""),3.0)</f>
        <v>3</v>
      </c>
      <c r="I46">
        <f>IFERROR(__xludf.DUMMYFUNCTION("""COMPUTED_VALUE"""),1.0)</f>
        <v>1</v>
      </c>
      <c r="J46">
        <f>IFERROR(__xludf.DUMMYFUNCTION("""COMPUTED_VALUE"""),0.0)</f>
        <v>0</v>
      </c>
      <c r="K46">
        <f>IFERROR(__xludf.DUMMYFUNCTION("""COMPUTED_VALUE"""),1.0)</f>
        <v>1</v>
      </c>
      <c r="L46">
        <f>IFERROR(__xludf.DUMMYFUNCTION("""COMPUTED_VALUE"""),1.0)</f>
        <v>1</v>
      </c>
      <c r="M46">
        <f>IFERROR(__xludf.DUMMYFUNCTION("""COMPUTED_VALUE"""),0.0)</f>
        <v>0</v>
      </c>
    </row>
    <row r="47">
      <c r="A47" s="1">
        <v>-5.0</v>
      </c>
      <c r="B47">
        <f>IFERROR(__xludf.DUMMYFUNCTION("""COMPUTED_VALUE"""),0.0)</f>
        <v>0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IFERROR(__xludf.DUMMYFUNCTION("""COMPUTED_VALUE"""),1.0)</f>
        <v>1</v>
      </c>
      <c r="G47">
        <f>IFERROR(__xludf.DUMMYFUNCTION("""COMPUTED_VALUE"""),3.0)</f>
        <v>3</v>
      </c>
      <c r="H47">
        <f>IFERROR(__xludf.DUMMYFUNCTION("""COMPUTED_VALUE"""),0.0)</f>
        <v>0</v>
      </c>
      <c r="I47">
        <f>IFERROR(__xludf.DUMMYFUNCTION("""COMPUTED_VALUE"""),2.0)</f>
        <v>2</v>
      </c>
      <c r="J47">
        <f>IFERROR(__xludf.DUMMYFUNCTION("""COMPUTED_VALUE"""),0.0)</f>
        <v>0</v>
      </c>
      <c r="K47">
        <f>IFERROR(__xludf.DUMMYFUNCTION("""COMPUTED_VALUE"""),1.0)</f>
        <v>1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1" t="s">
        <v>3</v>
      </c>
      <c r="B48">
        <f>IFERROR(__xludf.DUMMYFUNCTION("""COMPUTED_VALUE"""),0.0)</f>
        <v>0</v>
      </c>
      <c r="C48">
        <f>IFERROR(__xludf.DUMMYFUNCTION("""COMPUTED_VALUE"""),0.0)</f>
        <v>0</v>
      </c>
      <c r="D48">
        <f>IFERROR(__xludf.DUMMYFUNCTION("""COMPUTED_VALUE"""),0.0)</f>
        <v>0</v>
      </c>
      <c r="E48">
        <f>IFERROR(__xludf.DUMMYFUNCTION("""COMPUTED_VALUE"""),0.0)</f>
        <v>0</v>
      </c>
      <c r="F48">
        <f>IFERROR(__xludf.DUMMYFUNCTION("""COMPUTED_VALUE"""),25.0)</f>
        <v>25</v>
      </c>
      <c r="G48">
        <f>IFERROR(__xludf.DUMMYFUNCTION("""COMPUTED_VALUE"""),35.0)</f>
        <v>35</v>
      </c>
      <c r="H48">
        <f>IFERROR(__xludf.DUMMYFUNCTION("""COMPUTED_VALUE"""),60.0)</f>
        <v>60</v>
      </c>
      <c r="I48">
        <f>IFERROR(__xludf.DUMMYFUNCTION("""COMPUTED_VALUE"""),60.0)</f>
        <v>60</v>
      </c>
      <c r="J48">
        <f>IFERROR(__xludf.DUMMYFUNCTION("""COMPUTED_VALUE"""),0.0)</f>
        <v>0</v>
      </c>
      <c r="K48">
        <f>IFERROR(__xludf.DUMMYFUNCTION("""COMPUTED_VALUE"""),5.0)</f>
        <v>5</v>
      </c>
      <c r="L48">
        <f>IFERROR(__xludf.DUMMYFUNCTION("""COMPUTED_VALUE"""),10.0)</f>
        <v>10</v>
      </c>
      <c r="M48">
        <f>IFERROR(__xludf.DUMMYFUNCTION("""COMPUTED_VALUE"""),0.0)</f>
        <v>0</v>
      </c>
    </row>
    <row r="49">
      <c r="A49" s="2" t="str">
        <f>IFERROR(__xludf.DUMMYFUNCTION("IMPORTRANGE(""1_YEY20HiFjspjicPICCMlL_lQXsksdB6d3m5vzHwuOI"",""Round 1!W1"")"),"Question: 21")</f>
        <v>Question: 21</v>
      </c>
      <c r="B49" s="3" t="s">
        <v>13</v>
      </c>
    </row>
    <row r="50">
      <c r="A50" s="2"/>
    </row>
    <row r="51">
      <c r="A51" s="1" t="s">
        <v>14</v>
      </c>
      <c r="B51" t="str">
        <f>IFERROR(__xludf.DUMMYFUNCTION("{IMPORTRANGE(""1SYS5Ef48991ZUgqcGqj51eX2YgqKCzfrEZ_pUY01Lwo"",""Round 1!C1:H3""),IMPORTRANGE(""1SYS5Ef48991ZUgqcGqj51eX2YgqKCzfrEZ_pUY01Lwo"",""Round 1!M1:R3"")}"),"Oak Valley B (JV)")</f>
        <v>Oak Valley B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IFERROR(__xludf.DUMMYFUNCTION("""COMPUTED_VALUE"""),"Rancho Bernardo (JV)")</f>
        <v>Rancho Bernardo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2" t="str">
        <f>IFERROR(__xludf.DUMMYFUNCTION("CONCAT(""A BP: "",IMPORTRANGE(""1SYS5Ef48991ZUgqcGqj51eX2YgqKCzfrEZ_pUY01Lwo"",""Round 1!I32""))"),"A BP: 110")</f>
        <v>A BP: 110</v>
      </c>
      <c r="B52" t="str">
        <f>IFERROR(__xludf.DUMMYFUNCTION("""COMPUTED_VALUE"""),"Score: 200")</f>
        <v>Score: 200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220")</f>
        <v>Score: 220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2" t="str">
        <f>IFERROR(__xludf.DUMMYFUNCTION("CONCAT(""B BP: "",IMPORTRANGE(""1SYS5Ef48991ZUgqcGqj51eX2YgqKCzfrEZ_pUY01Lwo"",""Round 1!S32""))"),"B BP: 120")</f>
        <v>B BP: 120</v>
      </c>
      <c r="B53" t="str">
        <f>IFERROR(__xludf.DUMMYFUNCTION("""COMPUTED_VALUE"""),"Rohan Gaikwad (8)")</f>
        <v>Rohan Gaikwad (8)</v>
      </c>
      <c r="C53" t="str">
        <f>IFERROR(__xludf.DUMMYFUNCTION("""COMPUTED_VALUE"""),"Amina Aslam-Mir (7)")</f>
        <v>Amina Aslam-Mir (7)</v>
      </c>
      <c r="D53" t="str">
        <f>IFERROR(__xludf.DUMMYFUNCTION("""COMPUTED_VALUE"""),"John Bruvold (8)")</f>
        <v>John Bruvold (8)</v>
      </c>
      <c r="E53" t="str">
        <f>IFERROR(__xludf.DUMMYFUNCTION("""COMPUTED_VALUE"""),"Ethan Huang (7)")</f>
        <v>Ethan Huang (7)</v>
      </c>
      <c r="F53" t="str">
        <f>IFERROR(__xludf.DUMMYFUNCTION("""COMPUTED_VALUE"""),"Aditi Bandaru (7)")</f>
        <v>Aditi Bandaru (7)</v>
      </c>
      <c r="G53" t="str">
        <f>IFERROR(__xludf.DUMMYFUNCTION("""COMPUTED_VALUE"""),"Player 6")</f>
        <v>Player 6</v>
      </c>
      <c r="H53" t="str">
        <f>IFERROR(__xludf.DUMMYFUNCTION("""COMPUTED_VALUE"""),"Sandy Tran (12)")</f>
        <v>Sandy Tran (12)</v>
      </c>
      <c r="I53" t="str">
        <f>IFERROR(__xludf.DUMMYFUNCTION("""COMPUTED_VALUE"""),"Patrick Joyce (11)")</f>
        <v>Patrick Joyce (11)</v>
      </c>
      <c r="J53" t="str">
        <f>IFERROR(__xludf.DUMMYFUNCTION("""COMPUTED_VALUE"""),"Katheryn Garrett (11)")</f>
        <v>Katheryn Garrett (11)</v>
      </c>
      <c r="K53" t="str">
        <f>IFERROR(__xludf.DUMMYFUNCTION("""COMPUTED_VALUE"""),"YungYi Sun (12)")</f>
        <v>YungYi Sun (12)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1" t="s">
        <v>2</v>
      </c>
      <c r="B54">
        <f>IFERROR(__xludf.DUMMYFUNCTION("{IMPORTRANGE(""1SYS5Ef48991ZUgqcGqj51eX2YgqKCzfrEZ_pUY01Lwo"",""Round 1!C32:H36""),IMPORTRANGE(""1SYS5Ef48991ZUgqcGqj51eX2YgqKCzfrEZ_pUY01Lwo"",""Round 1!M32:R36"")}"),20.0)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IFERROR(__xludf.DUMMYFUNCTION("""COMPUTED_VALUE"""),10.0)</f>
        <v>10</v>
      </c>
      <c r="F54">
        <f>IFERROR(__xludf.DUMMYFUNCTION("""COMPUTED_VALUE"""),10.0)</f>
        <v>10</v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1">
        <v>15.0</v>
      </c>
      <c r="B55">
        <f>IFERROR(__xludf.DUMMYFUNCTION("""COMPUTED_VALUE"""),1.0)</f>
        <v>1</v>
      </c>
      <c r="C55">
        <f>IFERROR(__xludf.DUMMYFUNCTION("""COMPUTED_VALUE"""),1.0)</f>
        <v>1</v>
      </c>
      <c r="D55">
        <f>IFERROR(__xludf.DUMMYFUNCTION("""COMPUTED_VALUE"""),1.0)</f>
        <v>1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IFERROR(__xludf.DUMMYFUNCTION("""COMPUTED_VALUE"""),1.0)</f>
        <v>1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IFERROR(__xludf.DUMMYFUNCTION("""COMPUTED_VALUE"""),1.0)</f>
        <v>1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1">
        <v>10.0</v>
      </c>
      <c r="B56">
        <f>IFERROR(__xludf.DUMMYFUNCTION("""COMPUTED_VALUE"""),5.0)</f>
        <v>5</v>
      </c>
      <c r="C56">
        <f>IFERROR(__xludf.DUMMYFUNCTION("""COMPUTED_VALUE"""),1.0)</f>
        <v>1</v>
      </c>
      <c r="D56">
        <f>IFERROR(__xludf.DUMMYFUNCTION("""COMPUTED_VALUE"""),0.0)</f>
        <v>0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IFERROR(__xludf.DUMMYFUNCTION("""COMPUTED_VALUE"""),6.0)</f>
        <v>6</v>
      </c>
      <c r="I56">
        <f>IFERROR(__xludf.DUMMYFUNCTION("""COMPUTED_VALUE"""),1.0)</f>
        <v>1</v>
      </c>
      <c r="J56">
        <f>IFERROR(__xludf.DUMMYFUNCTION("""COMPUTED_VALUE"""),0.0)</f>
        <v>0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1">
        <v>-5.0</v>
      </c>
      <c r="B57">
        <f>IFERROR(__xludf.DUMMYFUNCTION("""COMPUTED_VALUE"""),1.0)</f>
        <v>1</v>
      </c>
      <c r="C57">
        <f>IFERROR(__xludf.DUMMYFUNCTION("""COMPUTED_VALUE"""),2.0)</f>
        <v>2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IFERROR(__xludf.DUMMYFUNCTION("""COMPUTED_VALUE"""),0.0)</f>
        <v>0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1" t="s">
        <v>3</v>
      </c>
      <c r="B58">
        <f>IFERROR(__xludf.DUMMYFUNCTION("""COMPUTED_VALUE"""),60.0)</f>
        <v>60</v>
      </c>
      <c r="C58">
        <f>IFERROR(__xludf.DUMMYFUNCTION("""COMPUTED_VALUE"""),15.0)</f>
        <v>15</v>
      </c>
      <c r="D58">
        <f>IFERROR(__xludf.DUMMYFUNCTION("""COMPUTED_VALUE"""),15.0)</f>
        <v>15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IFERROR(__xludf.DUMMYFUNCTION("""COMPUTED_VALUE"""),75.0)</f>
        <v>75</v>
      </c>
      <c r="I58">
        <f>IFERROR(__xludf.DUMMYFUNCTION("""COMPUTED_VALUE"""),10.0)</f>
        <v>10</v>
      </c>
      <c r="J58">
        <f>IFERROR(__xludf.DUMMYFUNCTION("""COMPUTED_VALUE"""),0.0)</f>
        <v>0</v>
      </c>
      <c r="K58">
        <f>IFERROR(__xludf.DUMMYFUNCTION("""COMPUTED_VALUE"""),15.0)</f>
        <v>15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2" t="str">
        <f>IFERROR(__xludf.DUMMYFUNCTION("IMPORTRANGE(""1SYS5Ef48991ZUgqcGqj51eX2YgqKCzfrEZ_pUY01Lwo"",""Round 1!W1"")"),"Question: 21")</f>
        <v>Question: 21</v>
      </c>
      <c r="B59" s="3" t="s">
        <v>16</v>
      </c>
    </row>
    <row r="60">
      <c r="A60" s="2"/>
    </row>
    <row r="61">
      <c r="A61" s="1" t="s">
        <v>18</v>
      </c>
      <c r="B61" t="str">
        <f>IFERROR(__xludf.DUMMYFUNCTION("{IMPORTRANGE(""1UJlRLlhI2Hg_SAQqQOg0JGdwHhiagF7EVAtCX8UOYFc"",""Round 1!C1:H3""),IMPORTRANGE(""1UJlRLlhI2Hg_SAQqQOg0JGdwHhiagF7EVAtCX8UOYFc"",""Round 1!M1:R3"")}"),"Black Mountain B (JV)")</f>
        <v>Black Mountain B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IFERROR(__xludf.DUMMYFUNCTION("""COMPUTED_VALUE"""),"Westview C (JV)")</f>
        <v>Westview C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2" t="str">
        <f>IFERROR(__xludf.DUMMYFUNCTION("CONCAT(""A BP: "",IMPORTRANGE(""1UJlRLlhI2Hg_SAQqQOg0JGdwHhiagF7EVAtCX8UOYFc"",""Round 1!I32""))"),"A BP: 100")</f>
        <v>A BP: 100</v>
      </c>
      <c r="B62" t="str">
        <f>IFERROR(__xludf.DUMMYFUNCTION("""COMPUTED_VALUE"""),"Score: 170")</f>
        <v>Score: 170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325")</f>
        <v>Score: 325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2" t="str">
        <f>IFERROR(__xludf.DUMMYFUNCTION("CONCAT(""B BP: "",IMPORTRANGE(""1UJlRLlhI2Hg_SAQqQOg0JGdwHhiagF7EVAtCX8UOYFc"",""Round 1!S32""))"),"B BP: 210")</f>
        <v>B BP: 210</v>
      </c>
      <c r="B63" t="str">
        <f>IFERROR(__xludf.DUMMYFUNCTION("""COMPUTED_VALUE"""),"Lauren Yung (8)")</f>
        <v>Lauren Yung (8)</v>
      </c>
      <c r="C63" t="str">
        <f>IFERROR(__xludf.DUMMYFUNCTION("""COMPUTED_VALUE"""),"Pranay Kulkarni (7)")</f>
        <v>Pranay Kulkarni (7)</v>
      </c>
      <c r="D63" t="str">
        <f>IFERROR(__xludf.DUMMYFUNCTION("""COMPUTED_VALUE"""),"Raina Chatterjee (7)")</f>
        <v>Raina Chatterjee (7)</v>
      </c>
      <c r="E63" t="str">
        <f>IFERROR(__xludf.DUMMYFUNCTION("""COMPUTED_VALUE"""),"Anay Sabhnani (7)")</f>
        <v>Anay Sabhnani (7)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IFERROR(__xludf.DUMMYFUNCTION("""COMPUTED_VALUE"""),"Rohan Kumar (11)")</f>
        <v>Rohan Kumar (11)</v>
      </c>
      <c r="I63" t="str">
        <f>IFERROR(__xludf.DUMMYFUNCTION("""COMPUTED_VALUE"""),"Aiken Wang (9)")</f>
        <v>Aiken Wang (9)</v>
      </c>
      <c r="J63" t="str">
        <f>IFERROR(__xludf.DUMMYFUNCTION("""COMPUTED_VALUE"""),"Radhika Sreelal (10)")</f>
        <v>Radhika Sreelal (10)</v>
      </c>
      <c r="K63" t="str">
        <f>IFERROR(__xludf.DUMMYFUNCTION("""COMPUTED_VALUE"""),"Player 4")</f>
        <v>Player 4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1" t="s">
        <v>2</v>
      </c>
      <c r="B64">
        <f>IFERROR(__xludf.DUMMYFUNCTION("{IMPORTRANGE(""1UJlRLlhI2Hg_SAQqQOg0JGdwHhiagF7EVAtCX8UOYFc"",""Round 1!C32:H36""),IMPORTRANGE(""1UJlRLlhI2Hg_SAQqQOg0JGdwHhiagF7EVAtCX8UOYFc"",""Round 1!M32:R36"")}"),20.0)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1">
        <v>15.0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IFERROR(__xludf.DUMMYFUNCTION("""COMPUTED_VALUE"""),1.0)</f>
        <v>1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IFERROR(__xludf.DUMMYFUNCTION("""COMPUTED_VALUE"""),3.0)</f>
        <v>3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1">
        <v>10.0</v>
      </c>
      <c r="B66">
        <f>IFERROR(__xludf.DUMMYFUNCTION("""COMPUTED_VALUE"""),1.0)</f>
        <v>1</v>
      </c>
      <c r="C66">
        <f>IFERROR(__xludf.DUMMYFUNCTION("""COMPUTED_VALUE"""),1.0)</f>
        <v>1</v>
      </c>
      <c r="D66">
        <f>IFERROR(__xludf.DUMMYFUNCTION("""COMPUTED_VALUE"""),0.0)</f>
        <v>0</v>
      </c>
      <c r="E66">
        <f>IFERROR(__xludf.DUMMYFUNCTION("""COMPUTED_VALUE"""),4.0)</f>
        <v>4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IFERROR(__xludf.DUMMYFUNCTION("""COMPUTED_VALUE"""),5.0)</f>
        <v>5</v>
      </c>
      <c r="I66">
        <f>IFERROR(__xludf.DUMMYFUNCTION("""COMPUTED_VALUE"""),1.0)</f>
        <v>1</v>
      </c>
      <c r="J66">
        <f>IFERROR(__xludf.DUMMYFUNCTION("""COMPUTED_VALUE"""),2.0)</f>
        <v>2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1">
        <v>-5.0</v>
      </c>
      <c r="B67">
        <f>IFERROR(__xludf.DUMMYFUNCTION("""COMPUTED_VALUE"""),1.0)</f>
        <v>1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IFERROR(__xludf.DUMMYFUNCTION("""COMPUTED_VALUE"""),2.0)</f>
        <v>2</v>
      </c>
      <c r="I67">
        <f>IFERROR(__xludf.DUMMYFUNCTION("""COMPUTED_VALUE"""),0.0)</f>
        <v>0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1" t="s">
        <v>3</v>
      </c>
      <c r="B68">
        <f>IFERROR(__xludf.DUMMYFUNCTION("""COMPUTED_VALUE"""),5.0)</f>
        <v>5</v>
      </c>
      <c r="C68">
        <f>IFERROR(__xludf.DUMMYFUNCTION("""COMPUTED_VALUE"""),10.0)</f>
        <v>10</v>
      </c>
      <c r="D68">
        <f>IFERROR(__xludf.DUMMYFUNCTION("""COMPUTED_VALUE"""),0.0)</f>
        <v>0</v>
      </c>
      <c r="E68">
        <f>IFERROR(__xludf.DUMMYFUNCTION("""COMPUTED_VALUE"""),55.0)</f>
        <v>55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IFERROR(__xludf.DUMMYFUNCTION("""COMPUTED_VALUE"""),40.0)</f>
        <v>40</v>
      </c>
      <c r="I68">
        <f>IFERROR(__xludf.DUMMYFUNCTION("""COMPUTED_VALUE"""),55.0)</f>
        <v>55</v>
      </c>
      <c r="J68">
        <f>IFERROR(__xludf.DUMMYFUNCTION("""COMPUTED_VALUE"""),20.0)</f>
        <v>20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2" t="str">
        <f>IFERROR(__xludf.DUMMYFUNCTION("IMPORTRANGE(""1UJlRLlhI2Hg_SAQqQOg0JGdwHhiagF7EVAtCX8UOYFc"",""Round 1!W1"")"),"Question: 21")</f>
        <v>Question: 21</v>
      </c>
      <c r="B69" s="3" t="s">
        <v>19</v>
      </c>
    </row>
    <row r="70">
      <c r="A70" s="2"/>
    </row>
    <row r="71">
      <c r="A71" s="1" t="s">
        <v>21</v>
      </c>
      <c r="B71" t="str">
        <f>IFERROR(__xludf.DUMMYFUNCTION("{IMPORTRANGE(""1jA96n0qbauznSt6-hkr51AslpxJqfrWgkafVtMV8_xU"",""Round 1!C1:H3""),IMPORTRANGE(""1jA96n0qbauznSt6-hkr51AslpxJqfrWgkafVtMV8_xU"",""Round 1!M1:R3"")}"),"La Serna B (JV)")</f>
        <v>La Serna B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IFERROR(__xludf.DUMMYFUNCTION("""COMPUTED_VALUE"""),"Oak Valley C (JV)")</f>
        <v>Oak Valley C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2" t="str">
        <f>IFERROR(__xludf.DUMMYFUNCTION("CONCAT(""A BP: "",IMPORTRANGE(""1jA96n0qbauznSt6-hkr51AslpxJqfrWgkafVtMV8_xU"",""Round 1!I32""))"),"A BP: 40")</f>
        <v>A BP: 40</v>
      </c>
      <c r="B72" t="str">
        <f>IFERROR(__xludf.DUMMYFUNCTION("""COMPUTED_VALUE"""),"Score: 65")</f>
        <v>Score: 65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185")</f>
        <v>Score: 185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2" t="str">
        <f>IFERROR(__xludf.DUMMYFUNCTION("CONCAT(""B BP: "",IMPORTRANGE(""1jA96n0qbauznSt6-hkr51AslpxJqfrWgkafVtMV8_xU"",""Round 1!S32""))"),"B BP: 90")</f>
        <v>B BP: 90</v>
      </c>
      <c r="B73" t="str">
        <f>IFERROR(__xludf.DUMMYFUNCTION("""COMPUTED_VALUE"""),"Liz Carrasco (12)")</f>
        <v>Liz Carrasco (12)</v>
      </c>
      <c r="C73" t="str">
        <f>IFERROR(__xludf.DUMMYFUNCTION("""COMPUTED_VALUE"""),"Jerred Casillas (12)")</f>
        <v>Jerred Casillas (12)</v>
      </c>
      <c r="D73" t="str">
        <f>IFERROR(__xludf.DUMMYFUNCTION("""COMPUTED_VALUE"""),"Colin Twisselmann (10)")</f>
        <v>Colin Twisselmann (10)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IFERROR(__xludf.DUMMYFUNCTION("""COMPUTED_VALUE"""),"Sarah Feng (6)")</f>
        <v>Sarah Feng (6)</v>
      </c>
      <c r="I73" t="str">
        <f>IFERROR(__xludf.DUMMYFUNCTION("""COMPUTED_VALUE"""),"Chinmay Ramamurthy (7)")</f>
        <v>Chinmay Ramamurthy (7)</v>
      </c>
      <c r="J73" t="str">
        <f>IFERROR(__xludf.DUMMYFUNCTION("""COMPUTED_VALUE"""),"Saanvi Agarwal (6)")</f>
        <v>Saanvi Agarwal (6)</v>
      </c>
      <c r="K73" t="str">
        <f>IFERROR(__xludf.DUMMYFUNCTION("""COMPUTED_VALUE"""),"Tay Kim (7)")</f>
        <v>Tay Kim (7)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1" t="s">
        <v>2</v>
      </c>
      <c r="B74">
        <f>IFERROR(__xludf.DUMMYFUNCTION("{IMPORTRANGE(""1jA96n0qbauznSt6-hkr51AslpxJqfrWgkafVtMV8_xU"",""Round 1!C32:H36""),IMPORTRANGE(""1jA96n0qbauznSt6-hkr51AslpxJqfrWgkafVtMV8_xU"",""Round 1!M32:R36"")}"),20.0)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1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IFERROR(__xludf.DUMMYFUNCTION("""COMPUTED_VALUE"""),0.0)</f>
        <v>0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1">
        <v>10.0</v>
      </c>
      <c r="B76">
        <f>IFERROR(__xludf.DUMMYFUNCTION("""COMPUTED_VALUE"""),1.0)</f>
        <v>1</v>
      </c>
      <c r="C76">
        <f>IFERROR(__xludf.DUMMYFUNCTION("""COMPUTED_VALUE"""),0.0)</f>
        <v>0</v>
      </c>
      <c r="D76">
        <f>IFERROR(__xludf.DUMMYFUNCTION("""COMPUTED_VALUE"""),2.0)</f>
        <v>2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IFERROR(__xludf.DUMMYFUNCTION("""COMPUTED_VALUE"""),3.0)</f>
        <v>3</v>
      </c>
      <c r="I76">
        <f>IFERROR(__xludf.DUMMYFUNCTION("""COMPUTED_VALUE"""),4.0)</f>
        <v>4</v>
      </c>
      <c r="J76">
        <f>IFERROR(__xludf.DUMMYFUNCTION("""COMPUTED_VALUE"""),2.0)</f>
        <v>2</v>
      </c>
      <c r="K76">
        <f>IFERROR(__xludf.DUMMYFUNCTION("""COMPUTED_VALUE"""),2.0)</f>
        <v>2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1">
        <v>-5.0</v>
      </c>
      <c r="B77">
        <f>IFERROR(__xludf.DUMMYFUNCTION("""COMPUTED_VALUE"""),1.0)</f>
        <v>1</v>
      </c>
      <c r="C77">
        <f>IFERROR(__xludf.DUMMYFUNCTION("""COMPUTED_VALUE"""),0.0)</f>
        <v>0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IFERROR(__xludf.DUMMYFUNCTION("""COMPUTED_VALUE"""),3.0)</f>
        <v>3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1" t="s">
        <v>3</v>
      </c>
      <c r="B78">
        <f>IFERROR(__xludf.DUMMYFUNCTION("""COMPUTED_VALUE"""),5.0)</f>
        <v>5</v>
      </c>
      <c r="C78">
        <f>IFERROR(__xludf.DUMMYFUNCTION("""COMPUTED_VALUE"""),0.0)</f>
        <v>0</v>
      </c>
      <c r="D78">
        <f>IFERROR(__xludf.DUMMYFUNCTION("""COMPUTED_VALUE"""),20.0)</f>
        <v>20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IFERROR(__xludf.DUMMYFUNCTION("""COMPUTED_VALUE"""),30.0)</f>
        <v>30</v>
      </c>
      <c r="I78">
        <f>IFERROR(__xludf.DUMMYFUNCTION("""COMPUTED_VALUE"""),25.0)</f>
        <v>25</v>
      </c>
      <c r="J78">
        <f>IFERROR(__xludf.DUMMYFUNCTION("""COMPUTED_VALUE"""),20.0)</f>
        <v>20</v>
      </c>
      <c r="K78">
        <f>IFERROR(__xludf.DUMMYFUNCTION("""COMPUTED_VALUE"""),20.0)</f>
        <v>20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2" t="str">
        <f>IFERROR(__xludf.DUMMYFUNCTION("IMPORTRANGE(""1jA96n0qbauznSt6-hkr51AslpxJqfrWgkafVtMV8_xU"",""Round 1!W1"")"),"Question: 20")</f>
        <v>Question: 20</v>
      </c>
      <c r="B79" s="3" t="s">
        <v>22</v>
      </c>
    </row>
    <row r="80">
      <c r="A80" s="2"/>
    </row>
    <row r="81">
      <c r="A81" s="1" t="s">
        <v>24</v>
      </c>
      <c r="B81" t="str">
        <f>IFERROR(__xludf.DUMMYFUNCTION("{IMPORTRANGE(""1xw1EOjVhrK1PNJfOYiUsuJNrlpV53SmfJxYsFFolQ3s"",""Round 1!C1:H3""),IMPORTRANGE(""1xw1EOjVhrK1PNJfOYiUsuJNrlpV53SmfJxYsFFolQ3s"",""Round 1!M1:R3"")}"),"Scripps Ranch B (JV)")</f>
        <v>Scripps Ranch B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IFERROR(__xludf.DUMMYFUNCTION("""COMPUTED_VALUE"""),"La Serna A (JV)")</f>
        <v>La Serna A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2" t="str">
        <f>IFERROR(__xludf.DUMMYFUNCTION("CONCAT(""A BP: "",IMPORTRANGE(""1xw1EOjVhrK1PNJfOYiUsuJNrlpV53SmfJxYsFFolQ3s"",""Round 1!I32""))"),"A BP: 160")</f>
        <v>A BP: 160</v>
      </c>
      <c r="B82" t="str">
        <f>IFERROR(__xludf.DUMMYFUNCTION("""COMPUTED_VALUE"""),"Score: 280")</f>
        <v>Score: 280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165")</f>
        <v>Score: 165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2" t="str">
        <f>IFERROR(__xludf.DUMMYFUNCTION("CONCAT(""B BP: "",IMPORTRANGE(""1xw1EOjVhrK1PNJfOYiUsuJNrlpV53SmfJxYsFFolQ3s"",""Round 1!S32""))"),"B BP: 100")</f>
        <v>B BP: 100</v>
      </c>
      <c r="B83" t="str">
        <f>IFERROR(__xludf.DUMMYFUNCTION("""COMPUTED_VALUE"""),"Sam Wu (9)")</f>
        <v>Sam Wu (9)</v>
      </c>
      <c r="C83" t="str">
        <f>IFERROR(__xludf.DUMMYFUNCTION("""COMPUTED_VALUE"""),"Lawrence Lo (9)")</f>
        <v>Lawrence Lo (9)</v>
      </c>
      <c r="D83" t="str">
        <f>IFERROR(__xludf.DUMMYFUNCTION("""COMPUTED_VALUE"""),"Tristan Thai (9)")</f>
        <v>Tristan Thai (9)</v>
      </c>
      <c r="E83" t="str">
        <f>IFERROR(__xludf.DUMMYFUNCTION("""COMPUTED_VALUE"""),"Shabdika Gubba (9)")</f>
        <v>Shabdika Gubba (9)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IFERROR(__xludf.DUMMYFUNCTION("""COMPUTED_VALUE"""),"Cole Aedo (12)")</f>
        <v>Cole Aedo (12)</v>
      </c>
      <c r="I83" t="str">
        <f>IFERROR(__xludf.DUMMYFUNCTION("""COMPUTED_VALUE"""),"Jay Gamez (12)")</f>
        <v>Jay Gamez (12)</v>
      </c>
      <c r="J83" t="str">
        <f>IFERROR(__xludf.DUMMYFUNCTION("""COMPUTED_VALUE"""),"Ian Brennan (12)")</f>
        <v>Ian Brennan (12)</v>
      </c>
      <c r="K83" t="str">
        <f>IFERROR(__xludf.DUMMYFUNCTION("""COMPUTED_VALUE"""),"Player 4")</f>
        <v>Player 4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1" t="s">
        <v>2</v>
      </c>
      <c r="B84">
        <f>IFERROR(__xludf.DUMMYFUNCTION("{IMPORTRANGE(""1xw1EOjVhrK1PNJfOYiUsuJNrlpV53SmfJxYsFFolQ3s"",""Round 1!C32:H36""),IMPORTRANGE(""1xw1EOjVhrK1PNJfOYiUsuJNrlpV53SmfJxYsFFolQ3s"",""Round 1!M32:R36"")}"),20.0)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1">
        <v>15.0</v>
      </c>
      <c r="B85">
        <f>IFERROR(__xludf.DUMMYFUNCTION("""COMPUTED_VALUE"""),0.0)</f>
        <v>0</v>
      </c>
      <c r="C85">
        <f>IFERROR(__xludf.DUMMYFUNCTION("""COMPUTED_VALUE"""),1.0)</f>
        <v>1</v>
      </c>
      <c r="D85">
        <f>IFERROR(__xludf.DUMMYFUNCTION("""COMPUTED_VALUE"""),0.0)</f>
        <v>0</v>
      </c>
      <c r="E85">
        <f>IFERROR(__xludf.DUMMYFUNCTION("""COMPUTED_VALUE"""),1.0)</f>
        <v>1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IFERROR(__xludf.DUMMYFUNCTION("""COMPUTED_VALUE"""),1.0)</f>
        <v>1</v>
      </c>
      <c r="I85">
        <f>IFERROR(__xludf.DUMMYFUNCTION("""COMPUTED_VALUE"""),0.0)</f>
        <v>0</v>
      </c>
      <c r="J85">
        <f>IFERROR(__xludf.DUMMYFUNCTION("""COMPUTED_VALUE"""),1.0)</f>
        <v>1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1">
        <v>10.0</v>
      </c>
      <c r="B86">
        <f>IFERROR(__xludf.DUMMYFUNCTION("""COMPUTED_VALUE"""),1.0)</f>
        <v>1</v>
      </c>
      <c r="C86">
        <f>IFERROR(__xludf.DUMMYFUNCTION("""COMPUTED_VALUE"""),8.0)</f>
        <v>8</v>
      </c>
      <c r="D86">
        <f>IFERROR(__xludf.DUMMYFUNCTION("""COMPUTED_VALUE"""),0.0)</f>
        <v>0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IFERROR(__xludf.DUMMYFUNCTION("""COMPUTED_VALUE"""),1.0)</f>
        <v>1</v>
      </c>
      <c r="I86">
        <f>IFERROR(__xludf.DUMMYFUNCTION("""COMPUTED_VALUE"""),0.0)</f>
        <v>0</v>
      </c>
      <c r="J86">
        <f>IFERROR(__xludf.DUMMYFUNCTION("""COMPUTED_VALUE"""),4.0)</f>
        <v>4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1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IFERROR(__xludf.DUMMYFUNCTION("""COMPUTED_VALUE"""),2.0)</f>
        <v>2</v>
      </c>
      <c r="I87">
        <f>IFERROR(__xludf.DUMMYFUNCTION("""COMPUTED_VALUE"""),0.0)</f>
        <v>0</v>
      </c>
      <c r="J87">
        <f>IFERROR(__xludf.DUMMYFUNCTION("""COMPUTED_VALUE"""),1.0)</f>
        <v>1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1" t="s">
        <v>3</v>
      </c>
      <c r="B88">
        <f>IFERROR(__xludf.DUMMYFUNCTION("""COMPUTED_VALUE"""),10.0)</f>
        <v>10</v>
      </c>
      <c r="C88">
        <f>IFERROR(__xludf.DUMMYFUNCTION("""COMPUTED_VALUE"""),95.0)</f>
        <v>95</v>
      </c>
      <c r="D88">
        <f>IFERROR(__xludf.DUMMYFUNCTION("""COMPUTED_VALUE"""),0.0)</f>
        <v>0</v>
      </c>
      <c r="E88">
        <f>IFERROR(__xludf.DUMMYFUNCTION("""COMPUTED_VALUE"""),15.0)</f>
        <v>15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IFERROR(__xludf.DUMMYFUNCTION("""COMPUTED_VALUE"""),15.0)</f>
        <v>15</v>
      </c>
      <c r="I88">
        <f>IFERROR(__xludf.DUMMYFUNCTION("""COMPUTED_VALUE"""),0.0)</f>
        <v>0</v>
      </c>
      <c r="J88">
        <f>IFERROR(__xludf.DUMMYFUNCTION("""COMPUTED_VALUE"""),50.0)</f>
        <v>50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2" t="str">
        <f>IFERROR(__xludf.DUMMYFUNCTION("IMPORTRANGE(""1xw1EOjVhrK1PNJfOYiUsuJNrlpV53SmfJxYsFFolQ3s"",""Round 1!W1"")"),"Question: 20")</f>
        <v>Question: 20</v>
      </c>
      <c r="B89" s="3" t="s">
        <v>25</v>
      </c>
    </row>
    <row r="90">
      <c r="A90" s="2"/>
    </row>
    <row r="91">
      <c r="A91" s="1" t="s">
        <v>1</v>
      </c>
      <c r="B91" t="str">
        <f>IFERROR(__xludf.DUMMYFUNCTION("{IMPORTRANGE(""15wOrdFuJAb1a4MoX5CG4apiBD2jUJ7mBu58Uk-8Mo7s"",""Round 1!C1:H3""),IMPORTRANGE(""15wOrdFuJAb1a4MoX5CG4apiBD2jUJ7mBu58Uk-8Mo7s"",""Round 1!M1:R3"")}"),"Team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2" t="str">
        <f>IFERROR(__xludf.DUMMYFUNCTION("CONCAT(""A BP: "",IMPORTRANGE(""15wOrdFuJAb1a4MoX5CG4apiBD2jUJ7mBu58Uk-8Mo7s"",""Round 1!I32""))"),"A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2" t="str">
        <f>IFERROR(__xludf.DUMMYFUNCTION("CONCAT(""B BP: "",IMPORTRANGE(""15wOrdFuJAb1a4MoX5CG4apiBD2jUJ7mBu58Uk-8Mo7s"",""Round 1!S32""))"),"B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1" t="s">
        <v>2</v>
      </c>
      <c r="B94">
        <f>IFERROR(__xludf.DUMMYFUNCTION("{IMPORTRANGE(""15wOrdFuJAb1a4MoX5CG4apiBD2jUJ7mBu58Uk-8Mo7s"",""Round 1!C32:H36""),IMPORTRANGE(""15wOrdFuJAb1a4MoX5CG4apiBD2jUJ7mBu58Uk-8Mo7s"",""Round 1!M32:R36"")}"),20.0)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1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1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1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1" t="s">
        <v>3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2" t="str">
        <f>IFERROR(__xludf.DUMMYFUNCTION("IMPORTRANGE(""15wOrdFuJAb1a4MoX5CG4apiBD2jUJ7mBu58Uk-8Mo7s"",""Round 1!W1"")"),"Question: 1")</f>
        <v>Question: 1</v>
      </c>
      <c r="B99" s="3" t="s">
        <v>27</v>
      </c>
    </row>
    <row r="100">
      <c r="A100" s="2"/>
    </row>
    <row r="101">
      <c r="A101" s="1" t="s">
        <v>1</v>
      </c>
      <c r="B101" t="str">
        <f>IFERROR(__xludf.DUMMYFUNCTION("{IMPORTRANGE(""1GfJqS1rsy-VutTmPVnm9E2VdinIG-GnQO5b3bhaiX1s"",""Round 1!C1:H3""),IMPORTRANGE(""1GfJqS1rsy-VutTmPVnm9E2VdinIG-GnQO5b3bhaiX1s"",""Round 1!M1:R3"")}"),"Team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2" t="str">
        <f>IFERROR(__xludf.DUMMYFUNCTION("CONCAT(""A BP: "",IMPORTRANGE(""1GfJqS1rsy-VutTmPVnm9E2VdinIG-GnQO5b3bhaiX1s"",""Round 1!I32""))"),"A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2" t="str">
        <f>IFERROR(__xludf.DUMMYFUNCTION("CONCAT(""B BP: "",IMPORTRANGE(""1GfJqS1rsy-VutTmPVnm9E2VdinIG-GnQO5b3bhaiX1s"",""Round 1!S32""))"),"B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1" t="s">
        <v>2</v>
      </c>
      <c r="B104">
        <f>IFERROR(__xludf.DUMMYFUNCTION("{IMPORTRANGE(""1GfJqS1rsy-VutTmPVnm9E2VdinIG-GnQO5b3bhaiX1s"",""Round 1!C32:H36""),IMPORTRANGE(""1GfJqS1rsy-VutTmPVnm9E2VdinIG-GnQO5b3bhaiX1s"",""Round 1!M32:R36"")}"),20.0)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1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1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1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1" t="s">
        <v>3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2" t="str">
        <f>IFERROR(__xludf.DUMMYFUNCTION("IMPORTRANGE(""1GfJqS1rsy-VutTmPVnm9E2VdinIG-GnQO5b3bhaiX1s"",""Round 1!W1"")"),"Question: 1")</f>
        <v>Question: 1</v>
      </c>
      <c r="B109" s="3" t="s">
        <v>29</v>
      </c>
    </row>
    <row r="110">
      <c r="A110" s="2"/>
    </row>
    <row r="111">
      <c r="A111" s="1" t="s">
        <v>30</v>
      </c>
      <c r="B111" t="str">
        <f>IFERROR(__xludf.DUMMYFUNCTION("{IMPORTRANGE(""17CLUEFflDBSa8dyH5vsXfHme4RV8IhzD-mxe9_c9I5k"",""Round 1!C1:H3""),IMPORTRANGE(""17CLUEFflDBSa8dyH5vsXfHme4RV8IhzD-mxe9_c9I5k"",""Round 1!M1:R3"")}"),"Canyon Crest B (V)")</f>
        <v>Canyon Crest B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IFERROR(__xludf.DUMMYFUNCTION("""COMPUTED_VALUE"""),"Westview A (V)")</f>
        <v>Westview A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2" t="str">
        <f>IFERROR(__xludf.DUMMYFUNCTION("CONCAT(""A BP: "",IMPORTRANGE(""17CLUEFflDBSa8dyH5vsXfHme4RV8IhzD-mxe9_c9I5k"",""Round 1!I32""))"),"A BP: 130")</f>
        <v>A BP: 130</v>
      </c>
      <c r="B112" t="str">
        <f>IFERROR(__xludf.DUMMYFUNCTION("""COMPUTED_VALUE"""),"Score: 215")</f>
        <v>Score: 215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445")</f>
        <v>Score: 445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2" t="str">
        <f>IFERROR(__xludf.DUMMYFUNCTION("CONCAT(""B BP: "",IMPORTRANGE(""17CLUEFflDBSa8dyH5vsXfHme4RV8IhzD-mxe9_c9I5k"",""Round 1!S32""))"),"B BP: 290")</f>
        <v>B BP: 290</v>
      </c>
      <c r="B113" t="str">
        <f>IFERROR(__xludf.DUMMYFUNCTION("""COMPUTED_VALUE"""),"Shreyank Kadadi (12)")</f>
        <v>Shreyank Kadadi (12)</v>
      </c>
      <c r="C113" t="str">
        <f>IFERROR(__xludf.DUMMYFUNCTION("""COMPUTED_VALUE"""),"Jonathan Hsieh (12)")</f>
        <v>Jonathan Hsieh (12)</v>
      </c>
      <c r="D113" t="str">
        <f>IFERROR(__xludf.DUMMYFUNCTION("""COMPUTED_VALUE"""),"Kevin Luo (10)")</f>
        <v>Kevin Luo (10)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IFERROR(__xludf.DUMMYFUNCTION("""COMPUTED_VALUE"""),"Shahar Schwartz (12)")</f>
        <v>Shahar Schwartz (12)</v>
      </c>
      <c r="I113" t="str">
        <f>IFERROR(__xludf.DUMMYFUNCTION("""COMPUTED_VALUE"""),"Junu Song (12)")</f>
        <v>Junu Song (12)</v>
      </c>
      <c r="J113" t="str">
        <f>IFERROR(__xludf.DUMMYFUNCTION("""COMPUTED_VALUE"""),"Daniel Jung (12)")</f>
        <v>Daniel Jung (12)</v>
      </c>
      <c r="K113" t="str">
        <f>IFERROR(__xludf.DUMMYFUNCTION("""COMPUTED_VALUE"""),"Gary Lin (11)")</f>
        <v>Gary Lin (11)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1" t="s">
        <v>2</v>
      </c>
      <c r="B114">
        <f>IFERROR(__xludf.DUMMYFUNCTION("{IMPORTRANGE(""17CLUEFflDBSa8dyH5vsXfHme4RV8IhzD-mxe9_c9I5k"",""Round 1!C32:H36""),IMPORTRANGE(""17CLUEFflDBSa8dyH5vsXfHme4RV8IhzD-mxe9_c9I5k"",""Round 1!M32:R36"")}"),20.0)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1">
        <v>15.0</v>
      </c>
      <c r="B115">
        <f>IFERROR(__xludf.DUMMYFUNCTION("""COMPUTED_VALUE"""),2.0)</f>
        <v>2</v>
      </c>
      <c r="C115">
        <f>IFERROR(__xludf.DUMMYFUNCTION("""COMPUTED_VALUE"""),1.0)</f>
        <v>1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IFERROR(__xludf.DUMMYFUNCTION("""COMPUTED_VALUE"""),8.0)</f>
        <v>8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IFERROR(__xludf.DUMMYFUNCTION("""COMPUTED_VALUE"""),1.0)</f>
        <v>1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1">
        <v>10.0</v>
      </c>
      <c r="B116">
        <f>IFERROR(__xludf.DUMMYFUNCTION("""COMPUTED_VALUE"""),3.0)</f>
        <v>3</v>
      </c>
      <c r="C116">
        <f>IFERROR(__xludf.DUMMYFUNCTION("""COMPUTED_VALUE"""),2.0)</f>
        <v>2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IFERROR(__xludf.DUMMYFUNCTION("""COMPUTED_VALUE"""),2.0)</f>
        <v>2</v>
      </c>
      <c r="I116">
        <f>IFERROR(__xludf.DUMMYFUNCTION("""COMPUTED_VALUE"""),1.0)</f>
        <v>1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1">
        <v>-5.0</v>
      </c>
      <c r="B117">
        <f>IFERROR(__xludf.DUMMYFUNCTION("""COMPUTED_VALUE"""),2.0)</f>
        <v>2</v>
      </c>
      <c r="C117">
        <f>IFERROR(__xludf.DUMMYFUNCTION("""COMPUTED_VALUE"""),0.0)</f>
        <v>0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IFERROR(__xludf.DUMMYFUNCTION("""COMPUTED_VALUE"""),1.0)</f>
        <v>1</v>
      </c>
      <c r="I117">
        <f>IFERROR(__xludf.DUMMYFUNCTION("""COMPUTED_VALUE"""),1.0)</f>
        <v>1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1" t="s">
        <v>3</v>
      </c>
      <c r="B118">
        <f>IFERROR(__xludf.DUMMYFUNCTION("""COMPUTED_VALUE"""),50.0)</f>
        <v>50</v>
      </c>
      <c r="C118">
        <f>IFERROR(__xludf.DUMMYFUNCTION("""COMPUTED_VALUE"""),35.0)</f>
        <v>35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IFERROR(__xludf.DUMMYFUNCTION("""COMPUTED_VALUE"""),135.0)</f>
        <v>135</v>
      </c>
      <c r="I118">
        <f>IFERROR(__xludf.DUMMYFUNCTION("""COMPUTED_VALUE"""),5.0)</f>
        <v>5</v>
      </c>
      <c r="J118">
        <f>IFERROR(__xludf.DUMMYFUNCTION("""COMPUTED_VALUE"""),0.0)</f>
        <v>0</v>
      </c>
      <c r="K118">
        <f>IFERROR(__xludf.DUMMYFUNCTION("""COMPUTED_VALUE"""),15.0)</f>
        <v>15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2" t="str">
        <f>IFERROR(__xludf.DUMMYFUNCTION("IMPORTRANGE(""17CLUEFflDBSa8dyH5vsXfHme4RV8IhzD-mxe9_c9I5k"",""Round 1!W1"")"),"Question: 21")</f>
        <v>Question: 21</v>
      </c>
      <c r="B119" s="3" t="s">
        <v>31</v>
      </c>
    </row>
    <row r="120">
      <c r="A120" s="2"/>
    </row>
    <row r="121">
      <c r="A121" s="1" t="s">
        <v>32</v>
      </c>
      <c r="B121" t="str">
        <f>IFERROR(__xludf.DUMMYFUNCTION("{IMPORTRANGE(""1Knt8XDGFY_MP2OzeadT1pDENTLOdk9Ab_Rd9IdW0kzc"",""Round 1!C1:H3""),IMPORTRANGE(""1Knt8XDGFY_MP2OzeadT1pDENTLOdk9Ab_Rd9IdW0kzc"",""Round 1!M1:R3"")}"),"Arcadia (V)")</f>
        <v>Arcadia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IFERROR(__xludf.DUMMYFUNCTION("""COMPUTED_VALUE"""),"Canyon Crest A (V)")</f>
        <v>Canyon Crest A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2" t="str">
        <f>IFERROR(__xludf.DUMMYFUNCTION("CONCAT(""A BP: "",IMPORTRANGE(""1Knt8XDGFY_MP2OzeadT1pDENTLOdk9Ab_Rd9IdW0kzc"",""Round 1!I32""))"),"A BP: 210")</f>
        <v>A BP: 210</v>
      </c>
      <c r="B122" t="str">
        <f>IFERROR(__xludf.DUMMYFUNCTION("""COMPUTED_VALUE"""),"Score: 305")</f>
        <v>Score: 305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375")</f>
        <v>Score: 375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2" t="str">
        <f>IFERROR(__xludf.DUMMYFUNCTION("CONCAT(""B BP: "",IMPORTRANGE(""1Knt8XDGFY_MP2OzeadT1pDENTLOdk9Ab_Rd9IdW0kzc"",""Round 1!S32""))"),"B BP: 250")</f>
        <v>B BP: 250</v>
      </c>
      <c r="B123" t="str">
        <f>IFERROR(__xludf.DUMMYFUNCTION("""COMPUTED_VALUE"""),"Amogh Kulkarni (10)")</f>
        <v>Amogh Kulkarni (10)</v>
      </c>
      <c r="C123" t="str">
        <f>IFERROR(__xludf.DUMMYFUNCTION("""COMPUTED_VALUE"""),"Spencer Cheng (12)")</f>
        <v>Spencer Cheng (12)</v>
      </c>
      <c r="D123" t="str">
        <f>IFERROR(__xludf.DUMMYFUNCTION("""COMPUTED_VALUE"""),"Ryan Sun (10)")</f>
        <v>Ryan Sun (10)</v>
      </c>
      <c r="E123" t="str">
        <f>IFERROR(__xludf.DUMMYFUNCTION("""COMPUTED_VALUE"""),"Michael Kwok (10)")</f>
        <v>Michael Kwok (10)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IFERROR(__xludf.DUMMYFUNCTION("""COMPUTED_VALUE"""),"Raymond Song (12)")</f>
        <v>Raymond Song (12)</v>
      </c>
      <c r="I123" t="str">
        <f>IFERROR(__xludf.DUMMYFUNCTION("""COMPUTED_VALUE"""),"Wesley Zhang (12)")</f>
        <v>Wesley Zhang (12)</v>
      </c>
      <c r="J123" t="str">
        <f>IFERROR(__xludf.DUMMYFUNCTION("""COMPUTED_VALUE"""),"Leo Gu (10)")</f>
        <v>Leo Gu (10)</v>
      </c>
      <c r="K123" t="str">
        <f>IFERROR(__xludf.DUMMYFUNCTION("""COMPUTED_VALUE"""),"Player 4")</f>
        <v>Player 4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1" t="s">
        <v>2</v>
      </c>
      <c r="B124">
        <f>IFERROR(__xludf.DUMMYFUNCTION("{IMPORTRANGE(""1Knt8XDGFY_MP2OzeadT1pDENTLOdk9Ab_Rd9IdW0kzc"",""Round 1!C32:H36""),IMPORTRANGE(""1Knt8XDGFY_MP2OzeadT1pDENTLOdk9Ab_Rd9IdW0kzc"",""Round 1!M32:R36"")}"),20.0)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1">
        <v>15.0</v>
      </c>
      <c r="B125">
        <f>IFERROR(__xludf.DUMMYFUNCTION("""COMPUTED_VALUE"""),3.0)</f>
        <v>3</v>
      </c>
      <c r="C125">
        <f>IFERROR(__xludf.DUMMYFUNCTION("""COMPUTED_VALUE"""),0.0)</f>
        <v>0</v>
      </c>
      <c r="D125">
        <f>IFERROR(__xludf.DUMMYFUNCTION("""COMPUTED_VALUE"""),1.0)</f>
        <v>1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IFERROR(__xludf.DUMMYFUNCTION("""COMPUTED_VALUE"""),4.0)</f>
        <v>4</v>
      </c>
      <c r="I125">
        <f>IFERROR(__xludf.DUMMYFUNCTION("""COMPUTED_VALUE"""),2.0)</f>
        <v>2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1">
        <v>10.0</v>
      </c>
      <c r="B126">
        <f>IFERROR(__xludf.DUMMYFUNCTION("""COMPUTED_VALUE"""),3.0)</f>
        <v>3</v>
      </c>
      <c r="C126">
        <f>IFERROR(__xludf.DUMMYFUNCTION("""COMPUTED_VALUE"""),2.0)</f>
        <v>2</v>
      </c>
      <c r="D126">
        <f>IFERROR(__xludf.DUMMYFUNCTION("""COMPUTED_VALUE"""),0.0)</f>
        <v>0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IFERROR(__xludf.DUMMYFUNCTION("""COMPUTED_VALUE"""),2.0)</f>
        <v>2</v>
      </c>
      <c r="I126">
        <f>IFERROR(__xludf.DUMMYFUNCTION("""COMPUTED_VALUE"""),2.0)</f>
        <v>2</v>
      </c>
      <c r="J126">
        <f>IFERROR(__xludf.DUMMYFUNCTION("""COMPUTED_VALUE"""),1.0)</f>
        <v>1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1">
        <v>-5.0</v>
      </c>
      <c r="B127">
        <f>IFERROR(__xludf.DUMMYFUNCTION("""COMPUTED_VALUE"""),2.0)</f>
        <v>2</v>
      </c>
      <c r="C127">
        <f>IFERROR(__xludf.DUMMYFUNCTION("""COMPUTED_VALUE"""),0.0)</f>
        <v>0</v>
      </c>
      <c r="D127">
        <f>IFERROR(__xludf.DUMMYFUNCTION("""COMPUTED_VALUE"""),1.0)</f>
        <v>1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IFERROR(__xludf.DUMMYFUNCTION("""COMPUTED_VALUE"""),3.0)</f>
        <v>3</v>
      </c>
      <c r="I127">
        <f>IFERROR(__xludf.DUMMYFUNCTION("""COMPUTED_VALUE"""),0.0)</f>
        <v>0</v>
      </c>
      <c r="J127">
        <f>IFERROR(__xludf.DUMMYFUNCTION("""COMPUTED_VALUE"""),0.0)</f>
        <v>0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1" t="s">
        <v>3</v>
      </c>
      <c r="B128">
        <f>IFERROR(__xludf.DUMMYFUNCTION("""COMPUTED_VALUE"""),65.0)</f>
        <v>65</v>
      </c>
      <c r="C128">
        <f>IFERROR(__xludf.DUMMYFUNCTION("""COMPUTED_VALUE"""),20.0)</f>
        <v>20</v>
      </c>
      <c r="D128">
        <f>IFERROR(__xludf.DUMMYFUNCTION("""COMPUTED_VALUE"""),10.0)</f>
        <v>10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IFERROR(__xludf.DUMMYFUNCTION("""COMPUTED_VALUE"""),65.0)</f>
        <v>65</v>
      </c>
      <c r="I128">
        <f>IFERROR(__xludf.DUMMYFUNCTION("""COMPUTED_VALUE"""),50.0)</f>
        <v>50</v>
      </c>
      <c r="J128">
        <f>IFERROR(__xludf.DUMMYFUNCTION("""COMPUTED_VALUE"""),10.0)</f>
        <v>10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2" t="str">
        <f>IFERROR(__xludf.DUMMYFUNCTION("IMPORTRANGE(""1Knt8XDGFY_MP2OzeadT1pDENTLOdk9Ab_Rd9IdW0kzc"",""Round 1!W1"")"),"Question: 21")</f>
        <v>Question: 21</v>
      </c>
      <c r="B129" s="3" t="s">
        <v>33</v>
      </c>
    </row>
    <row r="130">
      <c r="A130" s="2"/>
    </row>
    <row r="131">
      <c r="A131" s="1" t="s">
        <v>34</v>
      </c>
      <c r="B131" t="str">
        <f>IFERROR(__xludf.DUMMYFUNCTION("{IMPORTRANGE(""16i4gsLDaJasgGgtJt27HweoboYNaal3qpX3MtxIR2f0"",""Round 1!C1:H3""),IMPORTRANGE(""16i4gsLDaJasgGgtJt27HweoboYNaal3qpX3MtxIR2f0"",""Round 1!M1:R3"")}"),"Canyon Crest C (V)")</f>
        <v>Canyon Crest C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IFERROR(__xludf.DUMMYFUNCTION("""COMPUTED_VALUE"""),"Santa Monica A (V)")</f>
        <v>Santa Monica A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2" t="str">
        <f>IFERROR(__xludf.DUMMYFUNCTION("CONCAT(""A BP: "",IMPORTRANGE(""16i4gsLDaJasgGgtJt27HweoboYNaal3qpX3MtxIR2f0"",""Round 1!I32""))"),"A BP: 70")</f>
        <v>A BP: 70</v>
      </c>
      <c r="B132" t="str">
        <f>IFERROR(__xludf.DUMMYFUNCTION("""COMPUTED_VALUE"""),"Score: 120")</f>
        <v>Score: 120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330")</f>
        <v>Score: 330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2" t="str">
        <f>IFERROR(__xludf.DUMMYFUNCTION("CONCAT(""B BP: "",IMPORTRANGE(""16i4gsLDaJasgGgtJt27HweoboYNaal3qpX3MtxIR2f0"",""Round 1!S32""))"),"B BP: 200")</f>
        <v>B BP: 200</v>
      </c>
      <c r="B133" t="str">
        <f>IFERROR(__xludf.DUMMYFUNCTION("""COMPUTED_VALUE"""),"Paul Mola (11)")</f>
        <v>Paul Mola (11)</v>
      </c>
      <c r="C133" t="str">
        <f>IFERROR(__xludf.DUMMYFUNCTION("""COMPUTED_VALUE"""),"James Wright (11)")</f>
        <v>James Wright (11)</v>
      </c>
      <c r="D133" t="str">
        <f>IFERROR(__xludf.DUMMYFUNCTION("""COMPUTED_VALUE"""),"Player 3")</f>
        <v>Player 3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IFERROR(__xludf.DUMMYFUNCTION("""COMPUTED_VALUE"""),"Josh Xu (11)")</f>
        <v>Josh Xu (11)</v>
      </c>
      <c r="I133" t="str">
        <f>IFERROR(__xludf.DUMMYFUNCTION("""COMPUTED_VALUE"""),"Player 2")</f>
        <v>Player 2</v>
      </c>
      <c r="J133" t="str">
        <f>IFERROR(__xludf.DUMMYFUNCTION("""COMPUTED_VALUE"""),"Player 3")</f>
        <v>Player 3</v>
      </c>
      <c r="K133" t="str">
        <f>IFERROR(__xludf.DUMMYFUNCTION("""COMPUTED_VALUE"""),"Player 4")</f>
        <v>Player 4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1" t="s">
        <v>2</v>
      </c>
      <c r="B134">
        <f>IFERROR(__xludf.DUMMYFUNCTION("{IMPORTRANGE(""16i4gsLDaJasgGgtJt27HweoboYNaal3qpX3MtxIR2f0"",""Round 1!C32:H36""),IMPORTRANGE(""16i4gsLDaJasgGgtJt27HweoboYNaal3qpX3MtxIR2f0"",""Round 1!M32:R36"")}"),20.0)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1">
        <v>15.0</v>
      </c>
      <c r="B135">
        <f>IFERROR(__xludf.DUMMYFUNCTION("""COMPUTED_VALUE"""),0.0)</f>
        <v>0</v>
      </c>
      <c r="C135">
        <f>IFERROR(__xludf.DUMMYFUNCTION("""COMPUTED_VALUE"""),0.0)</f>
        <v>0</v>
      </c>
      <c r="D135">
        <f>IFERROR(__xludf.DUMMYFUNCTION("""COMPUTED_VALUE"""),0.0)</f>
        <v>0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IFERROR(__xludf.DUMMYFUNCTION("""COMPUTED_VALUE"""),1.0)</f>
        <v>1</v>
      </c>
      <c r="I135">
        <f>IFERROR(__xludf.DUMMYFUNCTION("""COMPUTED_VALUE"""),0.0)</f>
        <v>0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1">
        <v>10.0</v>
      </c>
      <c r="B136">
        <f>IFERROR(__xludf.DUMMYFUNCTION("""COMPUTED_VALUE"""),2.0)</f>
        <v>2</v>
      </c>
      <c r="C136">
        <f>IFERROR(__xludf.DUMMYFUNCTION("""COMPUTED_VALUE"""),3.0)</f>
        <v>3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IFERROR(__xludf.DUMMYFUNCTION("""COMPUTED_VALUE"""),13.0)</f>
        <v>13</v>
      </c>
      <c r="I136">
        <f>IFERROR(__xludf.DUMMYFUNCTION("""COMPUTED_VALUE"""),0.0)</f>
        <v>0</v>
      </c>
      <c r="J136">
        <f>IFERROR(__xludf.DUMMYFUNCTION("""COMPUTED_VALUE"""),0.0)</f>
        <v>0</v>
      </c>
      <c r="K136">
        <f>IFERROR(__xludf.DUMMYFUNCTION("""COMPUTED_VALUE"""),0.0)</f>
        <v>0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1">
        <v>-5.0</v>
      </c>
      <c r="B137">
        <f>IFERROR(__xludf.DUMMYFUNCTION("""COMPUTED_VALUE"""),0.0)</f>
        <v>0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IFERROR(__xludf.DUMMYFUNCTION("""COMPUTED_VALUE"""),3.0)</f>
        <v>3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1" t="s">
        <v>3</v>
      </c>
      <c r="B138">
        <f>IFERROR(__xludf.DUMMYFUNCTION("""COMPUTED_VALUE"""),20.0)</f>
        <v>20</v>
      </c>
      <c r="C138">
        <f>IFERROR(__xludf.DUMMYFUNCTION("""COMPUTED_VALUE"""),30.0)</f>
        <v>30</v>
      </c>
      <c r="D138">
        <f>IFERROR(__xludf.DUMMYFUNCTION("""COMPUTED_VALUE"""),0.0)</f>
        <v>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IFERROR(__xludf.DUMMYFUNCTION("""COMPUTED_VALUE"""),130.0)</f>
        <v>130</v>
      </c>
      <c r="I138">
        <f>IFERROR(__xludf.DUMMYFUNCTION("""COMPUTED_VALUE"""),0.0)</f>
        <v>0</v>
      </c>
      <c r="J138">
        <f>IFERROR(__xludf.DUMMYFUNCTION("""COMPUTED_VALUE"""),0.0)</f>
        <v>0</v>
      </c>
      <c r="K138">
        <f>IFERROR(__xludf.DUMMYFUNCTION("""COMPUTED_VALUE"""),0.0)</f>
        <v>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2" t="str">
        <f>IFERROR(__xludf.DUMMYFUNCTION("IMPORTRANGE(""16i4gsLDaJasgGgtJt27HweoboYNaal3qpX3MtxIR2f0"",""Round 1!W1"")"),"Question: 21")</f>
        <v>Question: 21</v>
      </c>
      <c r="B139" s="3" t="s">
        <v>35</v>
      </c>
    </row>
    <row r="140">
      <c r="A140" s="2"/>
    </row>
    <row r="141">
      <c r="A141" s="1" t="s">
        <v>36</v>
      </c>
      <c r="B141" t="str">
        <f>IFERROR(__xludf.DUMMYFUNCTION("{IMPORTRANGE(""1KRyI2c190uhOTF270Hsdzh1rgG565QIaE9TymteaGNY"",""Round 1!C1:H3""),IMPORTRANGE(""1KRyI2c190uhOTF270Hsdzh1rgG565QIaE9TymteaGNY"",""Round 1!M1:R3"")}"),"Scripps Ranch A (V)")</f>
        <v>Scripps Ranch A (V)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IFERROR(__xludf.DUMMYFUNCTION("""COMPUTED_VALUE"""),"Westview B (V)")</f>
        <v>Westview B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2" t="str">
        <f>IFERROR(__xludf.DUMMYFUNCTION("CONCAT(""A BP: "",IMPORTRANGE(""1KRyI2c190uhOTF270Hsdzh1rgG565QIaE9TymteaGNY"",""Round 1!I32""))"),"A BP: 150")</f>
        <v>A BP: 150</v>
      </c>
      <c r="B142" t="str">
        <f>IFERROR(__xludf.DUMMYFUNCTION("""COMPUTED_VALUE"""),"Score: 235")</f>
        <v>Score: 235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225")</f>
        <v>Score: 225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2" t="str">
        <f>IFERROR(__xludf.DUMMYFUNCTION("CONCAT(""B BP: "",IMPORTRANGE(""1KRyI2c190uhOTF270Hsdzh1rgG565QIaE9TymteaGNY"",""Round 1!S32""))"),"B BP: 120")</f>
        <v>B BP: 120</v>
      </c>
      <c r="B143" t="str">
        <f>IFERROR(__xludf.DUMMYFUNCTION("""COMPUTED_VALUE"""),"Albert Gu (12)")</f>
        <v>Albert Gu (12)</v>
      </c>
      <c r="C143" t="str">
        <f>IFERROR(__xludf.DUMMYFUNCTION("""COMPUTED_VALUE"""),"Jeremy Ngo (12)")</f>
        <v>Jeremy Ngo (12)</v>
      </c>
      <c r="D143" t="str">
        <f>IFERROR(__xludf.DUMMYFUNCTION("""COMPUTED_VALUE"""),"Player 3")</f>
        <v>Player 3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IFERROR(__xludf.DUMMYFUNCTION("""COMPUTED_VALUE"""),"Nicholas Dai (11)")</f>
        <v>Nicholas Dai (11)</v>
      </c>
      <c r="I143" t="str">
        <f>IFERROR(__xludf.DUMMYFUNCTION("""COMPUTED_VALUE"""),"Pramod Shastry (9)")</f>
        <v>Pramod Shastry (9)</v>
      </c>
      <c r="J143" t="str">
        <f>IFERROR(__xludf.DUMMYFUNCTION("""COMPUTED_VALUE"""),"Richard Lin (9)")</f>
        <v>Richard Lin (9)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1" t="s">
        <v>2</v>
      </c>
      <c r="B144">
        <f>IFERROR(__xludf.DUMMYFUNCTION("{IMPORTRANGE(""1KRyI2c190uhOTF270Hsdzh1rgG565QIaE9TymteaGNY"",""Round 1!C32:H36""),IMPORTRANGE(""1KRyI2c190uhOTF270Hsdzh1rgG565QIaE9TymteaGNY"",""Round 1!M32:R36"")}"),20.0)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1">
        <v>15.0</v>
      </c>
      <c r="B145">
        <f>IFERROR(__xludf.DUMMYFUNCTION("""COMPUTED_VALUE"""),1.0)</f>
        <v>1</v>
      </c>
      <c r="C145">
        <f>IFERROR(__xludf.DUMMYFUNCTION("""COMPUTED_VALUE"""),0.0)</f>
        <v>0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IFERROR(__xludf.DUMMYFUNCTION("""COMPUTED_VALUE"""),1.0)</f>
        <v>1</v>
      </c>
      <c r="J145">
        <f>IFERROR(__xludf.DUMMYFUNCTION("""COMPUTED_VALUE"""),1.0)</f>
        <v>1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1">
        <v>10.0</v>
      </c>
      <c r="B146">
        <f>IFERROR(__xludf.DUMMYFUNCTION("""COMPUTED_VALUE"""),5.0)</f>
        <v>5</v>
      </c>
      <c r="C146">
        <f>IFERROR(__xludf.DUMMYFUNCTION("""COMPUTED_VALUE"""),3.0)</f>
        <v>3</v>
      </c>
      <c r="D146">
        <f>IFERROR(__xludf.DUMMYFUNCTION("""COMPUTED_VALUE"""),0.0)</f>
        <v>0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IFERROR(__xludf.DUMMYFUNCTION("""COMPUTED_VALUE"""),4.0)</f>
        <v>4</v>
      </c>
      <c r="I146">
        <f>IFERROR(__xludf.DUMMYFUNCTION("""COMPUTED_VALUE"""),2.0)</f>
        <v>2</v>
      </c>
      <c r="J146">
        <f>IFERROR(__xludf.DUMMYFUNCTION("""COMPUTED_VALUE"""),3.0)</f>
        <v>3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1">
        <v>-5.0</v>
      </c>
      <c r="B147">
        <f>IFERROR(__xludf.DUMMYFUNCTION("""COMPUTED_VALUE"""),2.0)</f>
        <v>2</v>
      </c>
      <c r="C147">
        <f>IFERROR(__xludf.DUMMYFUNCTION("""COMPUTED_VALUE"""),0.0)</f>
        <v>0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IFERROR(__xludf.DUMMYFUNCTION("""COMPUTED_VALUE"""),3.0)</f>
        <v>3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1" t="s">
        <v>3</v>
      </c>
      <c r="B148">
        <f>IFERROR(__xludf.DUMMYFUNCTION("""COMPUTED_VALUE"""),55.0)</f>
        <v>55</v>
      </c>
      <c r="C148">
        <f>IFERROR(__xludf.DUMMYFUNCTION("""COMPUTED_VALUE"""),30.0)</f>
        <v>30</v>
      </c>
      <c r="D148">
        <f>IFERROR(__xludf.DUMMYFUNCTION("""COMPUTED_VALUE"""),0.0)</f>
        <v>0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IFERROR(__xludf.DUMMYFUNCTION("""COMPUTED_VALUE"""),40.0)</f>
        <v>40</v>
      </c>
      <c r="I148">
        <f>IFERROR(__xludf.DUMMYFUNCTION("""COMPUTED_VALUE"""),20.0)</f>
        <v>20</v>
      </c>
      <c r="J148">
        <f>IFERROR(__xludf.DUMMYFUNCTION("""COMPUTED_VALUE"""),45.0)</f>
        <v>45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2" t="str">
        <f>IFERROR(__xludf.DUMMYFUNCTION("IMPORTRANGE(""1KRyI2c190uhOTF270Hsdzh1rgG565QIaE9TymteaGNY"",""Round 1!W1"")"),"Question: 21")</f>
        <v>Question: 21</v>
      </c>
      <c r="B149" s="3" t="s">
        <v>37</v>
      </c>
    </row>
    <row r="150">
      <c r="A150" s="1"/>
    </row>
    <row r="151">
      <c r="A151" s="1" t="s">
        <v>38</v>
      </c>
      <c r="B151" t="str">
        <f>IFERROR(__xludf.DUMMYFUNCTION("{IMPORTRANGE(""1zr0uYCpJ5izByVOUCsr6JXezthGEdLXnwOrjIKGx5XI"",""Round 1!C1:H3""),IMPORTRANGE(""1zr0uYCpJ5izByVOUCsr6JXezthGEdLXnwOrjIKGx5XI"",""Round 1!M1:R3"")}"),"Cathedral Catholic (V)")</f>
        <v>Cathedral Catholic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IFERROR(__xludf.DUMMYFUNCTION("""COMPUTED_VALUE"""),"La Jolla (V)")</f>
        <v>La Jolla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2" t="str">
        <f>IFERROR(__xludf.DUMMYFUNCTION("CONCAT(""A BP: "",IMPORTRANGE(""1zr0uYCpJ5izByVOUCsr6JXezthGEdLXnwOrjIKGx5XI"",""Round 1!I32""))"),"A BP: 40")</f>
        <v>A BP: 40</v>
      </c>
      <c r="B152" t="str">
        <f>IFERROR(__xludf.DUMMYFUNCTION("""COMPUTED_VALUE"""),"Score: 70")</f>
        <v>Score: 70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260")</f>
        <v>Score: 260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2" t="str">
        <f>IFERROR(__xludf.DUMMYFUNCTION("CONCAT(""B BP: "",IMPORTRANGE(""1zr0uYCpJ5izByVOUCsr6JXezthGEdLXnwOrjIKGx5XI"",""Round 1!S32""))"),"B BP: 130")</f>
        <v>B BP: 130</v>
      </c>
      <c r="B153" t="str">
        <f>IFERROR(__xludf.DUMMYFUNCTION("""COMPUTED_VALUE"""),"Jacob Titcomb (11)")</f>
        <v>Jacob Titcomb (11)</v>
      </c>
      <c r="C153" t="str">
        <f>IFERROR(__xludf.DUMMYFUNCTION("""COMPUTED_VALUE"""),"Ryan Shakiba (10)")</f>
        <v>Ryan Shakiba (10)</v>
      </c>
      <c r="D153" t="str">
        <f>IFERROR(__xludf.DUMMYFUNCTION("""COMPUTED_VALUE"""),"Mikayla Nang (11)")</f>
        <v>Mikayla Nang (11)</v>
      </c>
      <c r="E153" t="str">
        <f>IFERROR(__xludf.DUMMYFUNCTION("""COMPUTED_VALUE"""),"Sinead Archdeacon (10)")</f>
        <v>Sinead Archdeacon (10)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IFERROR(__xludf.DUMMYFUNCTION("""COMPUTED_VALUE"""),"Caleb Cruz (11)")</f>
        <v>Caleb Cruz (11)</v>
      </c>
      <c r="I153" t="str">
        <f>IFERROR(__xludf.DUMMYFUNCTION("""COMPUTED_VALUE"""),"Kevin Park (11)")</f>
        <v>Kevin Park (11)</v>
      </c>
      <c r="J153" t="str">
        <f>IFERROR(__xludf.DUMMYFUNCTION("""COMPUTED_VALUE"""),"Richard Chao (11)")</f>
        <v>Richard Chao (11)</v>
      </c>
      <c r="K153" t="str">
        <f>IFERROR(__xludf.DUMMYFUNCTION("""COMPUTED_VALUE"""),"David Smith (11)")</f>
        <v>David Smith (11)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1" t="s">
        <v>2</v>
      </c>
      <c r="B154">
        <f>IFERROR(__xludf.DUMMYFUNCTION("{IMPORTRANGE(""1zr0uYCpJ5izByVOUCsr6JXezthGEdLXnwOrjIKGx5XI"",""Round 1!C32:H36""),IMPORTRANGE(""1zr0uYCpJ5izByVOUCsr6JXezthGEdLXnwOrjIKGx5XI"",""Round 1!M32:R36"")}"),20.0)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1">
        <v>15.0</v>
      </c>
      <c r="B155">
        <f>IFERROR(__xludf.DUMMYFUNCTION("""COMPUTED_VALUE"""),0.0)</f>
        <v>0</v>
      </c>
      <c r="C155">
        <f>IFERROR(__xludf.DUMMYFUNCTION("""COMPUTED_VALUE"""),1.0)</f>
        <v>1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IFERROR(__xludf.DUMMYFUNCTION("""COMPUTED_VALUE"""),0.0)</f>
        <v>0</v>
      </c>
      <c r="I155">
        <f>IFERROR(__xludf.DUMMYFUNCTION("""COMPUTED_VALUE"""),1.0)</f>
        <v>1</v>
      </c>
      <c r="J155">
        <f>IFERROR(__xludf.DUMMYFUNCTION("""COMPUTED_VALUE"""),1.0)</f>
        <v>1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1">
        <v>10.0</v>
      </c>
      <c r="B156">
        <f>IFERROR(__xludf.DUMMYFUNCTION("""COMPUTED_VALUE"""),1.0)</f>
        <v>1</v>
      </c>
      <c r="C156">
        <f>IFERROR(__xludf.DUMMYFUNCTION("""COMPUTED_VALUE"""),1.0)</f>
        <v>1</v>
      </c>
      <c r="D156">
        <f>IFERROR(__xludf.DUMMYFUNCTION("""COMPUTED_VALUE"""),0.0)</f>
        <v>0</v>
      </c>
      <c r="E156">
        <f>IFERROR(__xludf.DUMMYFUNCTION("""COMPUTED_VALUE"""),1.0)</f>
        <v>1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IFERROR(__xludf.DUMMYFUNCTION("""COMPUTED_VALUE"""),2.0)</f>
        <v>2</v>
      </c>
      <c r="I156">
        <f>IFERROR(__xludf.DUMMYFUNCTION("""COMPUTED_VALUE"""),6.0)</f>
        <v>6</v>
      </c>
      <c r="J156">
        <f>IFERROR(__xludf.DUMMYFUNCTION("""COMPUTED_VALUE"""),3.0)</f>
        <v>3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1">
        <v>-5.0</v>
      </c>
      <c r="B157">
        <f>IFERROR(__xludf.DUMMYFUNCTION("""COMPUTED_VALUE"""),0.0)</f>
        <v>0</v>
      </c>
      <c r="C157">
        <f>IFERROR(__xludf.DUMMYFUNCTION("""COMPUTED_VALUE"""),3.0)</f>
        <v>3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IFERROR(__xludf.DUMMYFUNCTION("""COMPUTED_VALUE"""),2.0)</f>
        <v>2</v>
      </c>
      <c r="J157">
        <f>IFERROR(__xludf.DUMMYFUNCTION("""COMPUTED_VALUE"""),0.0)</f>
        <v>0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1" t="s">
        <v>3</v>
      </c>
      <c r="B158">
        <f>IFERROR(__xludf.DUMMYFUNCTION("""COMPUTED_VALUE"""),10.0)</f>
        <v>10</v>
      </c>
      <c r="C158">
        <f>IFERROR(__xludf.DUMMYFUNCTION("""COMPUTED_VALUE"""),10.0)</f>
        <v>10</v>
      </c>
      <c r="D158">
        <f>IFERROR(__xludf.DUMMYFUNCTION("""COMPUTED_VALUE"""),0.0)</f>
        <v>0</v>
      </c>
      <c r="E158">
        <f>IFERROR(__xludf.DUMMYFUNCTION("""COMPUTED_VALUE"""),10.0)</f>
        <v>10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IFERROR(__xludf.DUMMYFUNCTION("""COMPUTED_VALUE"""),20.0)</f>
        <v>20</v>
      </c>
      <c r="I158">
        <f>IFERROR(__xludf.DUMMYFUNCTION("""COMPUTED_VALUE"""),65.0)</f>
        <v>65</v>
      </c>
      <c r="J158">
        <f>IFERROR(__xludf.DUMMYFUNCTION("""COMPUTED_VALUE"""),45.0)</f>
        <v>45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2" t="str">
        <f>IFERROR(__xludf.DUMMYFUNCTION("IMPORTRANGE(""1zr0uYCpJ5izByVOUCsr6JXezthGEdLXnwOrjIKGx5XI"",""Round 1!W1"")"),"Question: 21")</f>
        <v>Question: 21</v>
      </c>
      <c r="B159" s="3" t="s">
        <v>39</v>
      </c>
    </row>
    <row r="160">
      <c r="A160" s="1"/>
    </row>
    <row r="161">
      <c r="A161" s="1" t="s">
        <v>40</v>
      </c>
      <c r="B161" t="str">
        <f>IFERROR(__xludf.DUMMYFUNCTION("{IMPORTRANGE(""1TVrjNI5RE1VozIr906BhaTKMFP0VPx8aUGpyt_loukE"",""Round 1!C1:H3""),IMPORTRANGE(""1TVrjNI5RE1VozIr906BhaTKMFP0VPx8aUGpyt_loukE"",""Round 1!M1:R3"")}"),"Santa Monica B (V)")</f>
        <v>Santa Monica B (V)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IFERROR(__xludf.DUMMYFUNCTION("""COMPUTED_VALUE"""),"Troy A (V)")</f>
        <v>Troy A (V)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2" t="str">
        <f>IFERROR(__xludf.DUMMYFUNCTION("CONCAT(""A BP: "",IMPORTRANGE(""1TVrjNI5RE1VozIr906BhaTKMFP0VPx8aUGpyt_loukE"",""Round 1!I32""))"),"A BP: 120")</f>
        <v>A BP: 120</v>
      </c>
      <c r="B162" t="str">
        <f>IFERROR(__xludf.DUMMYFUNCTION("""COMPUTED_VALUE"""),"Score: 215")</f>
        <v>Score: 215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150")</f>
        <v>Score: 150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2" t="str">
        <f>IFERROR(__xludf.DUMMYFUNCTION("CONCAT(""B BP: "",IMPORTRANGE(""1TVrjNI5RE1VozIr906BhaTKMFP0VPx8aUGpyt_loukE"",""Round 1!S32""))"),"B BP: 100")</f>
        <v>B BP: 100</v>
      </c>
      <c r="B163" t="str">
        <f>IFERROR(__xludf.DUMMYFUNCTION("""COMPUTED_VALUE"""),"Kethan Raman (10)")</f>
        <v>Kethan Raman (10)</v>
      </c>
      <c r="C163" t="str">
        <f>IFERROR(__xludf.DUMMYFUNCTION("""COMPUTED_VALUE"""),"Ethan Hopkins (10)")</f>
        <v>Ethan Hopkins (10)</v>
      </c>
      <c r="D163" t="str">
        <f>IFERROR(__xludf.DUMMYFUNCTION("""COMPUTED_VALUE"""),"Jacob Cohen (10)")</f>
        <v>Jacob Cohen (10)</v>
      </c>
      <c r="E163" t="str">
        <f>IFERROR(__xludf.DUMMYFUNCTION("""COMPUTED_VALUE"""),"Player 4")</f>
        <v>Player 4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IFERROR(__xludf.DUMMYFUNCTION("""COMPUTED_VALUE"""),"Luke Park (11)")</f>
        <v>Luke Park (11)</v>
      </c>
      <c r="I163" t="str">
        <f>IFERROR(__xludf.DUMMYFUNCTION("""COMPUTED_VALUE"""),"Tyler Kim (11)")</f>
        <v>Tyler Kim (11)</v>
      </c>
      <c r="J163" t="str">
        <f>IFERROR(__xludf.DUMMYFUNCTION("""COMPUTED_VALUE"""),"Henry Tang (10)")</f>
        <v>Henry Tang (10)</v>
      </c>
      <c r="K163" t="str">
        <f>IFERROR(__xludf.DUMMYFUNCTION("""COMPUTED_VALUE"""),"Daniel Shin (10)")</f>
        <v>Daniel Shin (10)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1" t="s">
        <v>2</v>
      </c>
      <c r="B164">
        <f>IFERROR(__xludf.DUMMYFUNCTION("{IMPORTRANGE(""1TVrjNI5RE1VozIr906BhaTKMFP0VPx8aUGpyt_loukE"",""Round 1!C32:H36""),IMPORTRANGE(""1TVrjNI5RE1VozIr906BhaTKMFP0VPx8aUGpyt_loukE"",""Round 1!M32:R36"")}"),20.0)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1">
        <v>15.0</v>
      </c>
      <c r="B165">
        <f>IFERROR(__xludf.DUMMYFUNCTION("""COMPUTED_VALUE"""),1.0)</f>
        <v>1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1">
        <v>10.0</v>
      </c>
      <c r="B166">
        <f>IFERROR(__xludf.DUMMYFUNCTION("""COMPUTED_VALUE"""),7.0)</f>
        <v>7</v>
      </c>
      <c r="C166">
        <f>IFERROR(__xludf.DUMMYFUNCTION("""COMPUTED_VALUE"""),1.0)</f>
        <v>1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IFERROR(__xludf.DUMMYFUNCTION("""COMPUTED_VALUE"""),3.0)</f>
        <v>3</v>
      </c>
      <c r="I166">
        <f>IFERROR(__xludf.DUMMYFUNCTION("""COMPUTED_VALUE"""),1.0)</f>
        <v>1</v>
      </c>
      <c r="J166">
        <f>IFERROR(__xludf.DUMMYFUNCTION("""COMPUTED_VALUE"""),2.0)</f>
        <v>2</v>
      </c>
      <c r="K166">
        <f>IFERROR(__xludf.DUMMYFUNCTION("""COMPUTED_VALUE"""),1.0)</f>
        <v>1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1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IFERROR(__xludf.DUMMYFUNCTION("""COMPUTED_VALUE"""),0.0)</f>
        <v>0</v>
      </c>
      <c r="I167">
        <f>IFERROR(__xludf.DUMMYFUNCTION("""COMPUTED_VALUE"""),2.0)</f>
        <v>2</v>
      </c>
      <c r="J167">
        <f>IFERROR(__xludf.DUMMYFUNCTION("""COMPUTED_VALUE"""),0.0)</f>
        <v>0</v>
      </c>
      <c r="K167">
        <f>IFERROR(__xludf.DUMMYFUNCTION("""COMPUTED_VALUE"""),2.0)</f>
        <v>2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1" t="s">
        <v>3</v>
      </c>
      <c r="B168">
        <f>IFERROR(__xludf.DUMMYFUNCTION("""COMPUTED_VALUE"""),85.0)</f>
        <v>85</v>
      </c>
      <c r="C168">
        <f>IFERROR(__xludf.DUMMYFUNCTION("""COMPUTED_VALUE"""),10.0)</f>
        <v>10</v>
      </c>
      <c r="D168">
        <f>IFERROR(__xludf.DUMMYFUNCTION("""COMPUTED_VALUE"""),0.0)</f>
        <v>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IFERROR(__xludf.DUMMYFUNCTION("""COMPUTED_VALUE"""),30.0)</f>
        <v>30</v>
      </c>
      <c r="I168">
        <f>IFERROR(__xludf.DUMMYFUNCTION("""COMPUTED_VALUE"""),0.0)</f>
        <v>0</v>
      </c>
      <c r="J168">
        <f>IFERROR(__xludf.DUMMYFUNCTION("""COMPUTED_VALUE"""),20.0)</f>
        <v>20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2" t="str">
        <f>IFERROR(__xludf.DUMMYFUNCTION("IMPORTRANGE(""1TVrjNI5RE1VozIr906BhaTKMFP0VPx8aUGpyt_loukE"",""Round 1!W1"")"),"Question: 21")</f>
        <v>Question: 21</v>
      </c>
      <c r="B169" s="3" t="s">
        <v>41</v>
      </c>
    </row>
    <row r="170">
      <c r="A170" s="2"/>
    </row>
    <row r="171">
      <c r="A171" s="1" t="s">
        <v>42</v>
      </c>
      <c r="B171" t="str">
        <f>IFERROR(__xludf.DUMMYFUNCTION("{IMPORTRANGE(""1xRz0po-ejgp-QRvMkY44z3u2CePgTccasdyrrVALbmE"",""Round 1!C1:H3""),IMPORTRANGE(""1xRz0po-ejgp-QRvMkY44z3u2CePgTccasdyrrVALbmE"",""Round 1!M1:R3"")}"),"Westview A (V)")</f>
        <v>Westview A (V)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IFERROR(__xludf.DUMMYFUNCTION("""COMPUTED_VALUE"""),"Westview A (V)")</f>
        <v>Westview A (V)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2" t="str">
        <f>IFERROR(__xludf.DUMMYFUNCTION("CONCAT(""A BP: "",IMPORTRANGE(""1xRz0po-ejgp-QRvMkY44z3u2CePgTccasdyrrVALbmE"",""Round 1!I32""))"),"A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2" t="str">
        <f>IFERROR(__xludf.DUMMYFUNCTION("CONCAT(""B BP: "",IMPORTRANGE(""1xRz0po-ejgp-QRvMkY44z3u2CePgTccasdyrrVALbmE"",""Round 1!S32""))"),"B BP: 0")</f>
        <v>B BP: 0</v>
      </c>
      <c r="B173" t="str">
        <f>IFERROR(__xludf.DUMMYFUNCTION("""COMPUTED_VALUE"""),"Daniel Jung (12)")</f>
        <v>Daniel Jung (12)</v>
      </c>
      <c r="C173" t="str">
        <f>IFERROR(__xludf.DUMMYFUNCTION("""COMPUTED_VALUE"""),"Junu Song (12)")</f>
        <v>Junu Song (12)</v>
      </c>
      <c r="D173" t="str">
        <f>IFERROR(__xludf.DUMMYFUNCTION("""COMPUTED_VALUE"""),"Shahar Schwartz (12)")</f>
        <v>Shahar Schwartz (12)</v>
      </c>
      <c r="E173" t="str">
        <f>IFERROR(__xludf.DUMMYFUNCTION("""COMPUTED_VALUE"""),"Gary Lin (11)")</f>
        <v>Gary Lin (11)</v>
      </c>
      <c r="F173" t="str">
        <f>IFERROR(__xludf.DUMMYFUNCTION("""COMPUTED_VALUE"""),"Player")</f>
        <v>Player</v>
      </c>
      <c r="G173" t="str">
        <f>IFERROR(__xludf.DUMMYFUNCTION("""COMPUTED_VALUE"""),"Player 6")</f>
        <v>Player 6</v>
      </c>
      <c r="H173" t="str">
        <f>IFERROR(__xludf.DUMMYFUNCTION("""COMPUTED_VALUE"""),"Daniel Jung (12)")</f>
        <v>Daniel Jung (12)</v>
      </c>
      <c r="I173" t="str">
        <f>IFERROR(__xludf.DUMMYFUNCTION("""COMPUTED_VALUE"""),"Gary Lin (11)")</f>
        <v>Gary Lin (11)</v>
      </c>
      <c r="J173" t="str">
        <f>IFERROR(__xludf.DUMMYFUNCTION("""COMPUTED_VALUE"""),"Shahar Schwartz (12)")</f>
        <v>Shahar Schwartz (12)</v>
      </c>
      <c r="K173" t="str">
        <f>IFERROR(__xludf.DUMMYFUNCTION("""COMPUTED_VALUE"""),"Junu Song (12)")</f>
        <v>Junu Song (12)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1" t="s">
        <v>2</v>
      </c>
      <c r="B174">
        <f>IFERROR(__xludf.DUMMYFUNCTION("{IMPORTRANGE(""1xRz0po-ejgp-QRvMkY44z3u2CePgTccasdyrrVALbmE"",""Round 1!C32:H36""),IMPORTRANGE(""1xRz0po-ejgp-QRvMkY44z3u2CePgTccasdyrrVALbmE"",""Round 1!M32:R36"")}"),20.0)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1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1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1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1" t="s">
        <v>3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2" t="str">
        <f>IFERROR(__xludf.DUMMYFUNCTION("IMPORTRANGE(""1xRz0po-ejgp-QRvMkY44z3u2CePgTccasdyrrVALbmE"",""Round 1!W1"")"),"Question: 1")</f>
        <v>Question: 1</v>
      </c>
      <c r="B179" s="3" t="s">
        <v>43</v>
      </c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 t="s">
        <v>0</v>
      </c>
      <c r="B1" t="str">
        <f>IFERROR(__xludf.DUMMYFUNCTION("{IMPORTRANGE(""1JXwZ4AjXctyKvWy9qFKCX518NRYJYhSX9Jii0HPBCUs"",""Round 10!C1:H3""),IMPORTRANGE(""1JXwZ4AjXctyKvWy9qFKCX518NRYJYhSX9Jii0HPBCUs"",""Round 10!M1:R3"")}"),"Team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2" t="str">
        <f>IFERROR(__xludf.DUMMYFUNCTION("CONCAT(""A BP: "",IMPORTRANGE(""1JXwZ4AjXctyKvWy9qFKCX518NRYJYhSX9Jii0HPBCUs"",""Round 10!I32""))"),"A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2" t="str">
        <f>IFERROR(__xludf.DUMMYFUNCTION("CONCAT(""B BP: "",IMPORTRANGE(""1JXwZ4AjXctyKvWy9qFKCX518NRYJYhSX9Jii0HPBCUs"",""Round 10!S32""))"),"B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1" t="s">
        <v>2</v>
      </c>
      <c r="B4">
        <f>IFERROR(__xludf.DUMMYFUNCTION("{IMPORTRANGE(""1JXwZ4AjXctyKvWy9qFKCX518NRYJYhSX9Jii0HPBCUs"",""Round 10!C32:H36""),IMPORTRANGE(""1JXwZ4AjXctyKvWy9qFKCX518NRYJYhSX9Jii0HPBCUs"",""Round 10!M32:R36"")}"),20.0)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1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1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1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1" t="s">
        <v>3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2" t="str">
        <f>IFERROR(__xludf.DUMMYFUNCTION("IMPORTRANGE(""1JXwZ4AjXctyKvWy9qFKCX518NRYJYhSX9Jii0HPBCUs"",""Round 10!W1"")"),"Question: 1")</f>
        <v>Question: 1</v>
      </c>
      <c r="B9" s="3" t="s">
        <v>4</v>
      </c>
    </row>
    <row r="10">
      <c r="A10" s="1"/>
    </row>
    <row r="11">
      <c r="A11" s="1" t="s">
        <v>5</v>
      </c>
      <c r="B11" t="str">
        <f>IFERROR(__xludf.DUMMYFUNCTION("{IMPORTRANGE(""1GBDUn_ZojNLX5OJCVBEhvJbdm0c55Z7lPcE4L6WH89o"",""Round 10!C1:H3""),IMPORTRANGE(""1GBDUn_ZojNLX5OJCVBEhvJbdm0c55Z7lPcE4L6WH89o"",""Round 10!M1:R3"")}"),"Team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2" t="str">
        <f>IFERROR(__xludf.DUMMYFUNCTION("CONCAT(""A BP: "",IMPORTRANGE(""1GBDUn_ZojNLX5OJCVBEhvJbdm0c55Z7lPcE4L6WH89o"",""Round 10!I32""))"),"A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2" t="str">
        <f>IFERROR(__xludf.DUMMYFUNCTION("CONCAT(""B BP: "",IMPORTRANGE(""1GBDUn_ZojNLX5OJCVBEhvJbdm0c55Z7lPcE4L6WH89o"",""Round 10!S32""))"),"B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1" t="s">
        <v>2</v>
      </c>
      <c r="B14">
        <f>IFERROR(__xludf.DUMMYFUNCTION("{IMPORTRANGE(""1GBDUn_ZojNLX5OJCVBEhvJbdm0c55Z7lPcE4L6WH89o"",""Round 10!C32:H36""),IMPORTRANGE(""1GBDUn_ZojNLX5OJCVBEhvJbdm0c55Z7lPcE4L6WH89o"",""Round 10!M32:R36"")}"),20.0)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1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1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1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1" t="s">
        <v>3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2" t="str">
        <f>IFERROR(__xludf.DUMMYFUNCTION("IMPORTRANGE(""1GBDUn_ZojNLX5OJCVBEhvJbdm0c55Z7lPcE4L6WH89o"",""Round 10!W1"")"),"Question: 1")</f>
        <v>Question: 1</v>
      </c>
      <c r="B19" s="3" t="s">
        <v>6</v>
      </c>
    </row>
    <row r="20">
      <c r="A20" s="2"/>
    </row>
    <row r="21">
      <c r="A21" s="1" t="s">
        <v>7</v>
      </c>
      <c r="B21" t="str">
        <f>IFERROR(__xludf.DUMMYFUNCTION("{IMPORTRANGE(""19Dum1qlL_dEwf1AEniLf02Eg9XaNXi1GMkI5M4_Ei6w"",""Round 10!C1:H3""),IMPORTRANGE(""19Dum1qlL_dEwf1AEniLf02Eg9XaNXi1GMkI5M4_Ei6w"",""Round 10!M1:R3"")}"),"Team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2" t="str">
        <f>IFERROR(__xludf.DUMMYFUNCTION("CONCAT(""A BP: "",IMPORTRANGE(""19Dum1qlL_dEwf1AEniLf02Eg9XaNXi1GMkI5M4_Ei6w"",""Round 10!I32""))"),"A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2" t="str">
        <f>IFERROR(__xludf.DUMMYFUNCTION("CONCAT(""B BP: "",IMPORTRANGE(""19Dum1qlL_dEwf1AEniLf02Eg9XaNXi1GMkI5M4_Ei6w"",""Round 10!S32""))"),"B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1" t="s">
        <v>2</v>
      </c>
      <c r="B24">
        <f>IFERROR(__xludf.DUMMYFUNCTION("{IMPORTRANGE(""19Dum1qlL_dEwf1AEniLf02Eg9XaNXi1GMkI5M4_Ei6w"",""Round 10!C32:H36""),IMPORTRANGE(""19Dum1qlL_dEwf1AEniLf02Eg9XaNXi1GMkI5M4_Ei6w"",""Round 10!M32:R36"")}"),20.0)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1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1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1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1" t="s">
        <v>3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2" t="str">
        <f>IFERROR(__xludf.DUMMYFUNCTION("IMPORTRANGE(""19Dum1qlL_dEwf1AEniLf02Eg9XaNXi1GMkI5M4_Ei6w"",""Round 10!W1"")"),"Question: 1")</f>
        <v>Question: 1</v>
      </c>
      <c r="B29" s="3" t="s">
        <v>8</v>
      </c>
    </row>
    <row r="30">
      <c r="A30" s="2"/>
    </row>
    <row r="31">
      <c r="A31" s="1" t="s">
        <v>44</v>
      </c>
      <c r="B31" t="str">
        <f>IFERROR(__xludf.DUMMYFUNCTION("{IMPORTRANGE(""18KjuM_F6goZYnozVb7folIb5Hw_mfKQrNdVWKGx6j4s"",""Round 10!C1:H3""),IMPORTRANGE(""18KjuM_F6goZYnozVb7folIb5Hw_mfKQrNdVWKGx6j4s"",""Round 10!M1:R3"")}"),"Rancho Bernardo (JV)")</f>
        <v>Rancho Bernardo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IFERROR(__xludf.DUMMYFUNCTION("""COMPUTED_VALUE"""),"La Serna A (JV)")</f>
        <v>La Serna A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2" t="str">
        <f>IFERROR(__xludf.DUMMYFUNCTION("CONCAT(""A BP: "",IMPORTRANGE(""18KjuM_F6goZYnozVb7folIb5Hw_mfKQrNdVWKGx6j4s"",""Round 10!I32""))"),"A BP: 170")</f>
        <v>A BP: 170</v>
      </c>
      <c r="B32" t="str">
        <f>IFERROR(__xludf.DUMMYFUNCTION("""COMPUTED_VALUE"""),"Score: 290")</f>
        <v>Score: 290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200")</f>
        <v>Score: 200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2" t="str">
        <f>IFERROR(__xludf.DUMMYFUNCTION("CONCAT(""B BP: "",IMPORTRANGE(""18KjuM_F6goZYnozVb7folIb5Hw_mfKQrNdVWKGx6j4s"",""Round 10!S32""))"),"B BP: 110")</f>
        <v>B BP: 110</v>
      </c>
      <c r="B33" t="str">
        <f>IFERROR(__xludf.DUMMYFUNCTION("""COMPUTED_VALUE"""),"Sandy Tran (12)")</f>
        <v>Sandy Tran (12)</v>
      </c>
      <c r="C33" t="str">
        <f>IFERROR(__xludf.DUMMYFUNCTION("""COMPUTED_VALUE"""),"YungYi Sun (12)")</f>
        <v>YungYi Sun (12)</v>
      </c>
      <c r="D33" t="str">
        <f>IFERROR(__xludf.DUMMYFUNCTION("""COMPUTED_VALUE"""),"Katheryn Garrett (11)")</f>
        <v>Katheryn Garrett (11)</v>
      </c>
      <c r="E33" t="str">
        <f>IFERROR(__xludf.DUMMYFUNCTION("""COMPUTED_VALUE"""),"Patrick Joyce (11)")</f>
        <v>Patrick Joyce (11)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IFERROR(__xludf.DUMMYFUNCTION("""COMPUTED_VALUE"""),"Jay Gamez (12)")</f>
        <v>Jay Gamez (12)</v>
      </c>
      <c r="I33" t="str">
        <f>IFERROR(__xludf.DUMMYFUNCTION("""COMPUTED_VALUE"""),"Ian Brennan (12)")</f>
        <v>Ian Brennan (12)</v>
      </c>
      <c r="J33" t="str">
        <f>IFERROR(__xludf.DUMMYFUNCTION("""COMPUTED_VALUE"""),"Cole Aedo (12)")</f>
        <v>Cole Aedo (12)</v>
      </c>
      <c r="K33" t="str">
        <f>IFERROR(__xludf.DUMMYFUNCTION("""COMPUTED_VALUE"""),"Player 4")</f>
        <v>Player 4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1" t="s">
        <v>2</v>
      </c>
      <c r="B34">
        <f>IFERROR(__xludf.DUMMYFUNCTION("{IMPORTRANGE(""18KjuM_F6goZYnozVb7folIb5Hw_mfKQrNdVWKGx6j4s"",""Round 10!C32:H36""),IMPORTRANGE(""18KjuM_F6goZYnozVb7folIb5Hw_mfKQrNdVWKGx6j4s"",""Round 10!M32:R36"")}"),20.0)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1">
        <v>15.0</v>
      </c>
      <c r="B35">
        <f>IFERROR(__xludf.DUMMYFUNCTION("""COMPUTED_VALUE"""),0.0)</f>
        <v>0</v>
      </c>
      <c r="C35">
        <f>IFERROR(__xludf.DUMMYFUNCTION("""COMPUTED_VALUE"""),1.0)</f>
        <v>1</v>
      </c>
      <c r="D35">
        <f>IFERROR(__xludf.DUMMYFUNCTION("""COMPUTED_VALUE"""),0.0)</f>
        <v>0</v>
      </c>
      <c r="E35">
        <f>IFERROR(__xludf.DUMMYFUNCTION("""COMPUTED_VALUE"""),1.0)</f>
        <v>1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IFERROR(__xludf.DUMMYFUNCTION("""COMPUTED_VALUE"""),0.0)</f>
        <v>0</v>
      </c>
      <c r="J35">
        <f>IFERROR(__xludf.DUMMYFUNCTION("""COMPUTED_VALUE"""),5.0)</f>
        <v>5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1">
        <v>10.0</v>
      </c>
      <c r="B36">
        <f>IFERROR(__xludf.DUMMYFUNCTION("""COMPUTED_VALUE"""),5.0)</f>
        <v>5</v>
      </c>
      <c r="C36">
        <f>IFERROR(__xludf.DUMMYFUNCTION("""COMPUTED_VALUE"""),2.0)</f>
        <v>2</v>
      </c>
      <c r="D36">
        <f>IFERROR(__xludf.DUMMYFUNCTION("""COMPUTED_VALUE"""),0.0)</f>
        <v>0</v>
      </c>
      <c r="E36">
        <f>IFERROR(__xludf.DUMMYFUNCTION("""COMPUTED_VALUE"""),2.0)</f>
        <v>2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IFERROR(__xludf.DUMMYFUNCTION("""COMPUTED_VALUE"""),0.0)</f>
        <v>0</v>
      </c>
      <c r="I36">
        <f>IFERROR(__xludf.DUMMYFUNCTION("""COMPUTED_VALUE"""),0.0)</f>
        <v>0</v>
      </c>
      <c r="J36">
        <f>IFERROR(__xludf.DUMMYFUNCTION("""COMPUTED_VALUE"""),2.0)</f>
        <v>2</v>
      </c>
      <c r="K36">
        <f>IFERROR(__xludf.DUMMYFUNCTION("""COMPUTED_VALUE"""),0.0)</f>
        <v>0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1">
        <v>-5.0</v>
      </c>
      <c r="B37">
        <f>IFERROR(__xludf.DUMMYFUNCTION("""COMPUTED_VALUE"""),0.0)</f>
        <v>0</v>
      </c>
      <c r="C37">
        <f>IFERROR(__xludf.DUMMYFUNCTION("""COMPUTED_VALUE"""),0.0)</f>
        <v>0</v>
      </c>
      <c r="D37">
        <f>IFERROR(__xludf.DUMMYFUNCTION("""COMPUTED_VALUE"""),0.0)</f>
        <v>0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IFERROR(__xludf.DUMMYFUNCTION("""COMPUTED_VALUE"""),0.0)</f>
        <v>0</v>
      </c>
      <c r="I37">
        <f>IFERROR(__xludf.DUMMYFUNCTION("""COMPUTED_VALUE"""),1.0)</f>
        <v>1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1" t="s">
        <v>3</v>
      </c>
      <c r="B38">
        <f>IFERROR(__xludf.DUMMYFUNCTION("""COMPUTED_VALUE"""),50.0)</f>
        <v>50</v>
      </c>
      <c r="C38">
        <f>IFERROR(__xludf.DUMMYFUNCTION("""COMPUTED_VALUE"""),35.0)</f>
        <v>35</v>
      </c>
      <c r="D38">
        <f>IFERROR(__xludf.DUMMYFUNCTION("""COMPUTED_VALUE"""),0.0)</f>
        <v>0</v>
      </c>
      <c r="E38">
        <f>IFERROR(__xludf.DUMMYFUNCTION("""COMPUTED_VALUE"""),35.0)</f>
        <v>35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IFERROR(__xludf.DUMMYFUNCTION("""COMPUTED_VALUE"""),0.0)</f>
        <v>0</v>
      </c>
      <c r="I38">
        <f>IFERROR(__xludf.DUMMYFUNCTION("""COMPUTED_VALUE"""),-5.0)</f>
        <v>-5</v>
      </c>
      <c r="J38">
        <f>IFERROR(__xludf.DUMMYFUNCTION("""COMPUTED_VALUE"""),95.0)</f>
        <v>95</v>
      </c>
      <c r="K38">
        <f>IFERROR(__xludf.DUMMYFUNCTION("""COMPUTED_VALUE"""),0.0)</f>
        <v>0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2" t="str">
        <f>IFERROR(__xludf.DUMMYFUNCTION("IMPORTRANGE(""18KjuM_F6goZYnozVb7folIb5Hw_mfKQrNdVWKGx6j4s"",""Round 10!W1"")"),"Question: 21")</f>
        <v>Question: 21</v>
      </c>
      <c r="B39" s="3" t="s">
        <v>10</v>
      </c>
    </row>
    <row r="40">
      <c r="A40" s="2"/>
    </row>
    <row r="41">
      <c r="A41" s="1" t="s">
        <v>12</v>
      </c>
      <c r="B41" t="str">
        <f>IFERROR(__xludf.DUMMYFUNCTION("{IMPORTRANGE(""1_YEY20HiFjspjicPICCMlL_lQXsksdB6d3m5vzHwuOI"",""Round 10!C1:H3""),IMPORTRANGE(""1_YEY20HiFjspjicPICCMlL_lQXsksdB6d3m5vzHwuOI"",""Round 10!M1:R3"")}"),"Oak Valley A (JV)")</f>
        <v>Oak Valley A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IFERROR(__xludf.DUMMYFUNCTION("""COMPUTED_VALUE"""),"Black Mountain A (JV)")</f>
        <v>Black Mountain A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2" t="str">
        <f>IFERROR(__xludf.DUMMYFUNCTION("CONCAT(""A BP: "",IMPORTRANGE(""1_YEY20HiFjspjicPICCMlL_lQXsksdB6d3m5vzHwuOI"",""Round 10!I32""))"),"A BP: 260")</f>
        <v>A BP: 260</v>
      </c>
      <c r="B42" t="str">
        <f>IFERROR(__xludf.DUMMYFUNCTION("""COMPUTED_VALUE"""),"Score: 405")</f>
        <v>Score: 405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190")</f>
        <v>Score: 190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2" t="str">
        <f>IFERROR(__xludf.DUMMYFUNCTION("CONCAT(""B BP: "",IMPORTRANGE(""1_YEY20HiFjspjicPICCMlL_lQXsksdB6d3m5vzHwuOI"",""Round 10!S32""))"),"B BP: 100")</f>
        <v>B BP: 100</v>
      </c>
      <c r="B43" t="str">
        <f>IFERROR(__xludf.DUMMYFUNCTION("""COMPUTED_VALUE"""),"Conner Feng (8)")</f>
        <v>Conner Feng (8)</v>
      </c>
      <c r="C43" t="str">
        <f>IFERROR(__xludf.DUMMYFUNCTION("""COMPUTED_VALUE"""),"Jadon Pandian (7)")</f>
        <v>Jadon Pandian (7)</v>
      </c>
      <c r="D43" t="str">
        <f>IFERROR(__xludf.DUMMYFUNCTION("""COMPUTED_VALUE"""),"Jonas Brown (7)")</f>
        <v>Jonas Brown (7)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IFERROR(__xludf.DUMMYFUNCTION("""COMPUTED_VALUE"""),"Adarsh Venkateswaran (8)")</f>
        <v>Adarsh Venkateswaran (8)</v>
      </c>
      <c r="I43" t="str">
        <f>IFERROR(__xludf.DUMMYFUNCTION("""COMPUTED_VALUE"""),"Anvit Watwani (7)")</f>
        <v>Anvit Watwani (7)</v>
      </c>
      <c r="J43" t="str">
        <f>IFERROR(__xludf.DUMMYFUNCTION("""COMPUTED_VALUE"""),"Edwin Chang (8)")</f>
        <v>Edwin Chang (8)</v>
      </c>
      <c r="K43" t="str">
        <f>IFERROR(__xludf.DUMMYFUNCTION("""COMPUTED_VALUE"""),"Tanvi Bhide (7)")</f>
        <v>Tanvi Bhide (7)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1" t="s">
        <v>2</v>
      </c>
      <c r="B44">
        <f>IFERROR(__xludf.DUMMYFUNCTION("{IMPORTRANGE(""1_YEY20HiFjspjicPICCMlL_lQXsksdB6d3m5vzHwuOI"",""Round 10!C32:H36""),IMPORTRANGE(""1_YEY20HiFjspjicPICCMlL_lQXsksdB6d3m5vzHwuOI"",""Round 10!M32:R36"")}"),20.0)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1">
        <v>15.0</v>
      </c>
      <c r="B45">
        <f>IFERROR(__xludf.DUMMYFUNCTION("""COMPUTED_VALUE"""),2.0)</f>
        <v>2</v>
      </c>
      <c r="C45">
        <f>IFERROR(__xludf.DUMMYFUNCTION("""COMPUTED_VALUE"""),2.0)</f>
        <v>2</v>
      </c>
      <c r="D45">
        <f>IFERROR(__xludf.DUMMYFUNCTION("""COMPUTED_VALUE"""),1.0)</f>
        <v>1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IFERROR(__xludf.DUMMYFUNCTION("""COMPUTED_VALUE"""),1.0)</f>
        <v>1</v>
      </c>
      <c r="I45">
        <f>IFERROR(__xludf.DUMMYFUNCTION("""COMPUTED_VALUE"""),0.0)</f>
        <v>0</v>
      </c>
      <c r="J45">
        <f>IFERROR(__xludf.DUMMYFUNCTION("""COMPUTED_VALUE"""),1.0)</f>
        <v>1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1">
        <v>10.0</v>
      </c>
      <c r="B46">
        <f>IFERROR(__xludf.DUMMYFUNCTION("""COMPUTED_VALUE"""),4.0)</f>
        <v>4</v>
      </c>
      <c r="C46">
        <f>IFERROR(__xludf.DUMMYFUNCTION("""COMPUTED_VALUE"""),0.0)</f>
        <v>0</v>
      </c>
      <c r="D46">
        <f>IFERROR(__xludf.DUMMYFUNCTION("""COMPUTED_VALUE"""),3.0)</f>
        <v>3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IFERROR(__xludf.DUMMYFUNCTION("""COMPUTED_VALUE"""),3.0)</f>
        <v>3</v>
      </c>
      <c r="I46">
        <f>IFERROR(__xludf.DUMMYFUNCTION("""COMPUTED_VALUE"""),1.0)</f>
        <v>1</v>
      </c>
      <c r="J46">
        <f>IFERROR(__xludf.DUMMYFUNCTION("""COMPUTED_VALUE"""),2.0)</f>
        <v>2</v>
      </c>
      <c r="K46">
        <f>IFERROR(__xludf.DUMMYFUNCTION("""COMPUTED_VALUE"""),0.0)</f>
        <v>0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1">
        <v>-5.0</v>
      </c>
      <c r="B47">
        <f>IFERROR(__xludf.DUMMYFUNCTION("""COMPUTED_VALUE"""),0.0)</f>
        <v>0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1" t="s">
        <v>3</v>
      </c>
      <c r="B48">
        <f>IFERROR(__xludf.DUMMYFUNCTION("""COMPUTED_VALUE"""),70.0)</f>
        <v>70</v>
      </c>
      <c r="C48">
        <f>IFERROR(__xludf.DUMMYFUNCTION("""COMPUTED_VALUE"""),30.0)</f>
        <v>30</v>
      </c>
      <c r="D48">
        <f>IFERROR(__xludf.DUMMYFUNCTION("""COMPUTED_VALUE"""),45.0)</f>
        <v>45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IFERROR(__xludf.DUMMYFUNCTION("""COMPUTED_VALUE"""),45.0)</f>
        <v>45</v>
      </c>
      <c r="I48">
        <f>IFERROR(__xludf.DUMMYFUNCTION("""COMPUTED_VALUE"""),10.0)</f>
        <v>10</v>
      </c>
      <c r="J48">
        <f>IFERROR(__xludf.DUMMYFUNCTION("""COMPUTED_VALUE"""),35.0)</f>
        <v>35</v>
      </c>
      <c r="K48">
        <f>IFERROR(__xludf.DUMMYFUNCTION("""COMPUTED_VALUE"""),0.0)</f>
        <v>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2" t="str">
        <f>IFERROR(__xludf.DUMMYFUNCTION("IMPORTRANGE(""1_YEY20HiFjspjicPICCMlL_lQXsksdB6d3m5vzHwuOI"",""Round 10!W1"")"),"Question: 21")</f>
        <v>Question: 21</v>
      </c>
      <c r="B49" s="3" t="s">
        <v>13</v>
      </c>
    </row>
    <row r="50">
      <c r="A50" s="2"/>
    </row>
    <row r="51">
      <c r="A51" s="1" t="s">
        <v>15</v>
      </c>
      <c r="B51" t="str">
        <f>IFERROR(__xludf.DUMMYFUNCTION("{IMPORTRANGE(""1SYS5Ef48991ZUgqcGqj51eX2YgqKCzfrEZ_pUY01Lwo"",""Round 10!C1:H3""),IMPORTRANGE(""1SYS5Ef48991ZUgqcGqj51eX2YgqKCzfrEZ_pUY01Lwo"",""Round 10!M1:R3"")}"),"Westview C (JV)")</f>
        <v>Westview C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IFERROR(__xludf.DUMMYFUNCTION("""COMPUTED_VALUE"""),"Oak Valley B (JV)")</f>
        <v>Oak Valley B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2" t="str">
        <f>IFERROR(__xludf.DUMMYFUNCTION("CONCAT(""A BP: "",IMPORTRANGE(""1SYS5Ef48991ZUgqcGqj51eX2YgqKCzfrEZ_pUY01Lwo"",""Round 10!I32""))"),"A BP: 180")</f>
        <v>A BP: 180</v>
      </c>
      <c r="B52" t="str">
        <f>IFERROR(__xludf.DUMMYFUNCTION("""COMPUTED_VALUE"""),"Score: 300")</f>
        <v>Score: 300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210")</f>
        <v>Score: 210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2" t="str">
        <f>IFERROR(__xludf.DUMMYFUNCTION("CONCAT(""B BP: "",IMPORTRANGE(""1SYS5Ef48991ZUgqcGqj51eX2YgqKCzfrEZ_pUY01Lwo"",""Round 10!S32""))"),"B BP: 140")</f>
        <v>B BP: 140</v>
      </c>
      <c r="B53" t="str">
        <f>IFERROR(__xludf.DUMMYFUNCTION("""COMPUTED_VALUE"""),"Rohan Kumar (11)")</f>
        <v>Rohan Kumar (11)</v>
      </c>
      <c r="C53" t="str">
        <f>IFERROR(__xludf.DUMMYFUNCTION("""COMPUTED_VALUE"""),"Aiken Wang (9)")</f>
        <v>Aiken Wang (9)</v>
      </c>
      <c r="D53" t="str">
        <f>IFERROR(__xludf.DUMMYFUNCTION("""COMPUTED_VALUE"""),"Radhika Sreelal (10)")</f>
        <v>Radhika Sreelal (10)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IFERROR(__xludf.DUMMYFUNCTION("""COMPUTED_VALUE"""),"Rohan Gaikwad (8)")</f>
        <v>Rohan Gaikwad (8)</v>
      </c>
      <c r="I53" t="str">
        <f>IFERROR(__xludf.DUMMYFUNCTION("""COMPUTED_VALUE"""),"John Bruvold (8)")</f>
        <v>John Bruvold (8)</v>
      </c>
      <c r="J53" t="str">
        <f>IFERROR(__xludf.DUMMYFUNCTION("""COMPUTED_VALUE"""),"Amina Aslam-Mir (7)")</f>
        <v>Amina Aslam-Mir (7)</v>
      </c>
      <c r="K53" t="str">
        <f>IFERROR(__xludf.DUMMYFUNCTION("""COMPUTED_VALUE"""),"Ethan Huang (7)")</f>
        <v>Ethan Huang (7)</v>
      </c>
      <c r="L53" t="str">
        <f>IFERROR(__xludf.DUMMYFUNCTION("""COMPUTED_VALUE"""),"Aditi Bandaru (7)")</f>
        <v>Aditi Bandaru (7)</v>
      </c>
      <c r="M53" t="str">
        <f>IFERROR(__xludf.DUMMYFUNCTION("""COMPUTED_VALUE"""),"Player 6")</f>
        <v>Player 6</v>
      </c>
    </row>
    <row r="54">
      <c r="A54" s="1" t="s">
        <v>2</v>
      </c>
      <c r="B54">
        <f>IFERROR(__xludf.DUMMYFUNCTION("{IMPORTRANGE(""1SYS5Ef48991ZUgqcGqj51eX2YgqKCzfrEZ_pUY01Lwo"",""Round 10!C32:H36""),IMPORTRANGE(""1SYS5Ef48991ZUgqcGqj51eX2YgqKCzfrEZ_pUY01Lwo"",""Round 10!M32:R36"")}"),20.0)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IFERROR(__xludf.DUMMYFUNCTION("""COMPUTED_VALUE"""),10.0)</f>
        <v>10</v>
      </c>
      <c r="L54">
        <f>IFERROR(__xludf.DUMMYFUNCTION("""COMPUTED_VALUE"""),10.0)</f>
        <v>10</v>
      </c>
      <c r="M54" t="str">
        <f>IFERROR(__xludf.DUMMYFUNCTION("""COMPUTED_VALUE"""),"")</f>
        <v/>
      </c>
    </row>
    <row r="55">
      <c r="A55" s="1">
        <v>15.0</v>
      </c>
      <c r="B55">
        <f>IFERROR(__xludf.DUMMYFUNCTION("""COMPUTED_VALUE"""),1.0)</f>
        <v>1</v>
      </c>
      <c r="C55">
        <f>IFERROR(__xludf.DUMMYFUNCTION("""COMPUTED_VALUE"""),3.0)</f>
        <v>3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IFERROR(__xludf.DUMMYFUNCTION("""COMPUTED_VALUE"""),1.0)</f>
        <v>1</v>
      </c>
      <c r="I55">
        <f>IFERROR(__xludf.DUMMYFUNCTION("""COMPUTED_VALUE"""),0.0)</f>
        <v>0</v>
      </c>
      <c r="J55">
        <f>IFERROR(__xludf.DUMMYFUNCTION("""COMPUTED_VALUE"""),1.0)</f>
        <v>1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1">
        <v>10.0</v>
      </c>
      <c r="B56">
        <f>IFERROR(__xludf.DUMMYFUNCTION("""COMPUTED_VALUE"""),0.0)</f>
        <v>0</v>
      </c>
      <c r="C56">
        <f>IFERROR(__xludf.DUMMYFUNCTION("""COMPUTED_VALUE"""),6.0)</f>
        <v>6</v>
      </c>
      <c r="D56">
        <f>IFERROR(__xludf.DUMMYFUNCTION("""COMPUTED_VALUE"""),1.0)</f>
        <v>1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IFERROR(__xludf.DUMMYFUNCTION("""COMPUTED_VALUE"""),3.0)</f>
        <v>3</v>
      </c>
      <c r="I56">
        <f>IFERROR(__xludf.DUMMYFUNCTION("""COMPUTED_VALUE"""),2.0)</f>
        <v>2</v>
      </c>
      <c r="J56">
        <f>IFERROR(__xludf.DUMMYFUNCTION("""COMPUTED_VALUE"""),1.0)</f>
        <v>1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1">
        <v>-5.0</v>
      </c>
      <c r="B57">
        <f>IFERROR(__xludf.DUMMYFUNCTION("""COMPUTED_VALUE"""),1.0)</f>
        <v>1</v>
      </c>
      <c r="C57">
        <f>IFERROR(__xludf.DUMMYFUNCTION("""COMPUTED_VALUE"""),1.0)</f>
        <v>1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IFERROR(__xludf.DUMMYFUNCTION("""COMPUTED_VALUE"""),2.0)</f>
        <v>2</v>
      </c>
      <c r="I57">
        <f>IFERROR(__xludf.DUMMYFUNCTION("""COMPUTED_VALUE"""),1.0)</f>
        <v>1</v>
      </c>
      <c r="J57">
        <f>IFERROR(__xludf.DUMMYFUNCTION("""COMPUTED_VALUE"""),1.0)</f>
        <v>1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1" t="s">
        <v>3</v>
      </c>
      <c r="B58">
        <f>IFERROR(__xludf.DUMMYFUNCTION("""COMPUTED_VALUE"""),10.0)</f>
        <v>10</v>
      </c>
      <c r="C58">
        <f>IFERROR(__xludf.DUMMYFUNCTION("""COMPUTED_VALUE"""),100.0)</f>
        <v>100</v>
      </c>
      <c r="D58">
        <f>IFERROR(__xludf.DUMMYFUNCTION("""COMPUTED_VALUE"""),10.0)</f>
        <v>10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IFERROR(__xludf.DUMMYFUNCTION("""COMPUTED_VALUE"""),35.0)</f>
        <v>35</v>
      </c>
      <c r="I58">
        <f>IFERROR(__xludf.DUMMYFUNCTION("""COMPUTED_VALUE"""),15.0)</f>
        <v>15</v>
      </c>
      <c r="J58">
        <f>IFERROR(__xludf.DUMMYFUNCTION("""COMPUTED_VALUE"""),20.0)</f>
        <v>20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2" t="str">
        <f>IFERROR(__xludf.DUMMYFUNCTION("IMPORTRANGE(""1SYS5Ef48991ZUgqcGqj51eX2YgqKCzfrEZ_pUY01Lwo"",""Round 10!W1"")"),"Question: 21")</f>
        <v>Question: 21</v>
      </c>
      <c r="B59" s="3" t="s">
        <v>16</v>
      </c>
    </row>
    <row r="60">
      <c r="A60" s="2"/>
    </row>
    <row r="61">
      <c r="A61" s="1" t="s">
        <v>17</v>
      </c>
      <c r="B61" t="str">
        <f>IFERROR(__xludf.DUMMYFUNCTION("{IMPORTRANGE(""1UJlRLlhI2Hg_SAQqQOg0JGdwHhiagF7EVAtCX8UOYFc"",""Round 10!C1:H3""),IMPORTRANGE(""1UJlRLlhI2Hg_SAQqQOg0JGdwHhiagF7EVAtCX8UOYFc"",""Round 10!M1:R3"")}"),"Canyon Crest D (JV)")</f>
        <v>Canyon Crest D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IFERROR(__xludf.DUMMYFUNCTION("""COMPUTED_VALUE"""),"Scripps Ranch B (JV)")</f>
        <v>Scripps Ranch B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2" t="str">
        <f>IFERROR(__xludf.DUMMYFUNCTION("CONCAT(""A BP: "",IMPORTRANGE(""1UJlRLlhI2Hg_SAQqQOg0JGdwHhiagF7EVAtCX8UOYFc"",""Round 10!I32""))"),"A BP: 220")</f>
        <v>A BP: 220</v>
      </c>
      <c r="B62" t="str">
        <f>IFERROR(__xludf.DUMMYFUNCTION("""COMPUTED_VALUE"""),"Score: 370")</f>
        <v>Score: 370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105")</f>
        <v>Score: 105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2" t="str">
        <f>IFERROR(__xludf.DUMMYFUNCTION("CONCAT(""B BP: "",IMPORTRANGE(""1UJlRLlhI2Hg_SAQqQOg0JGdwHhiagF7EVAtCX8UOYFc"",""Round 10!S32""))"),"B BP: 60")</f>
        <v>B BP: 60</v>
      </c>
      <c r="B63" t="str">
        <f>IFERROR(__xludf.DUMMYFUNCTION("""COMPUTED_VALUE"""),"Tompson Hsu (12)")</f>
        <v>Tompson Hsu (12)</v>
      </c>
      <c r="C63" t="str">
        <f>IFERROR(__xludf.DUMMYFUNCTION("""COMPUTED_VALUE"""),"Demitrius Hong (12)")</f>
        <v>Demitrius Hong (12)</v>
      </c>
      <c r="D63" t="str">
        <f>IFERROR(__xludf.DUMMYFUNCTION("""COMPUTED_VALUE"""),"Kyle Lu (12)")</f>
        <v>Kyle Lu (12)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IFERROR(__xludf.DUMMYFUNCTION("""COMPUTED_VALUE"""),"Shabdika Gubba (9)")</f>
        <v>Shabdika Gubba (9)</v>
      </c>
      <c r="I63" t="str">
        <f>IFERROR(__xludf.DUMMYFUNCTION("""COMPUTED_VALUE"""),"Sam Wu (9)")</f>
        <v>Sam Wu (9)</v>
      </c>
      <c r="J63" t="str">
        <f>IFERROR(__xludf.DUMMYFUNCTION("""COMPUTED_VALUE"""),"Tristan Thai (9)")</f>
        <v>Tristan Thai (9)</v>
      </c>
      <c r="K63" t="str">
        <f>IFERROR(__xludf.DUMMYFUNCTION("""COMPUTED_VALUE"""),"Player 4")</f>
        <v>Player 4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1" t="s">
        <v>2</v>
      </c>
      <c r="B64">
        <f>IFERROR(__xludf.DUMMYFUNCTION("{IMPORTRANGE(""1UJlRLlhI2Hg_SAQqQOg0JGdwHhiagF7EVAtCX8UOYFc"",""Round 10!C32:H36""),IMPORTRANGE(""1UJlRLlhI2Hg_SAQqQOg0JGdwHhiagF7EVAtCX8UOYFc"",""Round 10!M32:R36"")}"),20.0)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1">
        <v>15.0</v>
      </c>
      <c r="B65">
        <f>IFERROR(__xludf.DUMMYFUNCTION("""COMPUTED_VALUE"""),3.0)</f>
        <v>3</v>
      </c>
      <c r="C65">
        <f>IFERROR(__xludf.DUMMYFUNCTION("""COMPUTED_VALUE"""),2.0)</f>
        <v>2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IFERROR(__xludf.DUMMYFUNCTION("""COMPUTED_VALUE"""),1.0)</f>
        <v>1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1">
        <v>10.0</v>
      </c>
      <c r="B66">
        <f>IFERROR(__xludf.DUMMYFUNCTION("""COMPUTED_VALUE"""),2.0)</f>
        <v>2</v>
      </c>
      <c r="C66">
        <f>IFERROR(__xludf.DUMMYFUNCTION("""COMPUTED_VALUE"""),5.0)</f>
        <v>5</v>
      </c>
      <c r="D66">
        <f>IFERROR(__xludf.DUMMYFUNCTION("""COMPUTED_VALUE"""),1.0)</f>
        <v>1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IFERROR(__xludf.DUMMYFUNCTION("""COMPUTED_VALUE"""),0.0)</f>
        <v>0</v>
      </c>
      <c r="I66">
        <f>IFERROR(__xludf.DUMMYFUNCTION("""COMPUTED_VALUE"""),3.0)</f>
        <v>3</v>
      </c>
      <c r="J66">
        <f>IFERROR(__xludf.DUMMYFUNCTION("""COMPUTED_VALUE"""),0.0)</f>
        <v>0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1">
        <v>-5.0</v>
      </c>
      <c r="B67">
        <f>IFERROR(__xludf.DUMMYFUNCTION("""COMPUTED_VALUE"""),0.0)</f>
        <v>0</v>
      </c>
      <c r="C67">
        <f>IFERROR(__xludf.DUMMYFUNCTION("""COMPUTED_VALUE"""),1.0)</f>
        <v>1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IFERROR(__xludf.DUMMYFUNCTION("""COMPUTED_VALUE"""),0.0)</f>
        <v>0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1" t="s">
        <v>3</v>
      </c>
      <c r="B68">
        <f>IFERROR(__xludf.DUMMYFUNCTION("""COMPUTED_VALUE"""),65.0)</f>
        <v>65</v>
      </c>
      <c r="C68">
        <f>IFERROR(__xludf.DUMMYFUNCTION("""COMPUTED_VALUE"""),75.0)</f>
        <v>75</v>
      </c>
      <c r="D68">
        <f>IFERROR(__xludf.DUMMYFUNCTION("""COMPUTED_VALUE"""),10.0)</f>
        <v>10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IFERROR(__xludf.DUMMYFUNCTION("""COMPUTED_VALUE"""),0.0)</f>
        <v>0</v>
      </c>
      <c r="I68">
        <f>IFERROR(__xludf.DUMMYFUNCTION("""COMPUTED_VALUE"""),45.0)</f>
        <v>45</v>
      </c>
      <c r="J68">
        <f>IFERROR(__xludf.DUMMYFUNCTION("""COMPUTED_VALUE"""),0.0)</f>
        <v>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2" t="str">
        <f>IFERROR(__xludf.DUMMYFUNCTION("IMPORTRANGE(""1UJlRLlhI2Hg_SAQqQOg0JGdwHhiagF7EVAtCX8UOYFc"",""Round 10!W1"")"),"Question: 21")</f>
        <v>Question: 21</v>
      </c>
      <c r="B69" s="3" t="s">
        <v>19</v>
      </c>
    </row>
    <row r="70">
      <c r="A70" s="2"/>
    </row>
    <row r="71">
      <c r="A71" s="1" t="s">
        <v>20</v>
      </c>
      <c r="B71" t="str">
        <f>IFERROR(__xludf.DUMMYFUNCTION("{IMPORTRANGE(""1jA96n0qbauznSt6-hkr51AslpxJqfrWgkafVtMV8_xU"",""Round 10!C1:H3""),IMPORTRANGE(""1jA96n0qbauznSt6-hkr51AslpxJqfrWgkafVtMV8_xU"",""Round 10!M1:R3"")}"),"Oak Valley C (JV)")</f>
        <v>Oak Valley C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IFERROR(__xludf.DUMMYFUNCTION("""COMPUTED_VALUE"""),"Troy B (JV)")</f>
        <v>Troy B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2" t="str">
        <f>IFERROR(__xludf.DUMMYFUNCTION("CONCAT(""A BP: "",IMPORTRANGE(""1jA96n0qbauznSt6-hkr51AslpxJqfrWgkafVtMV8_xU"",""Round 10!I32""))"),"A BP: 50")</f>
        <v>A BP: 50</v>
      </c>
      <c r="B72" t="str">
        <f>IFERROR(__xludf.DUMMYFUNCTION("""COMPUTED_VALUE"""),"Score: 100")</f>
        <v>Score: 100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275")</f>
        <v>Score: 275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2" t="str">
        <f>IFERROR(__xludf.DUMMYFUNCTION("CONCAT(""B BP: "",IMPORTRANGE(""1jA96n0qbauznSt6-hkr51AslpxJqfrWgkafVtMV8_xU"",""Round 10!S32""))"),"B BP: 140")</f>
        <v>B BP: 140</v>
      </c>
      <c r="B73" t="str">
        <f>IFERROR(__xludf.DUMMYFUNCTION("""COMPUTED_VALUE"""),"Saanvi Agarwal (6)")</f>
        <v>Saanvi Agarwal (6)</v>
      </c>
      <c r="C73" t="str">
        <f>IFERROR(__xludf.DUMMYFUNCTION("""COMPUTED_VALUE"""),"Tay Kim (7)")</f>
        <v>Tay Kim (7)</v>
      </c>
      <c r="D73" t="str">
        <f>IFERROR(__xludf.DUMMYFUNCTION("""COMPUTED_VALUE"""),"Chinmay Ramamurthy (7)")</f>
        <v>Chinmay Ramamurthy (7)</v>
      </c>
      <c r="E73" t="str">
        <f>IFERROR(__xludf.DUMMYFUNCTION("""COMPUTED_VALUE"""),"Sarah Feng (6)")</f>
        <v>Sarah Feng (6)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IFERROR(__xludf.DUMMYFUNCTION("""COMPUTED_VALUE"""),"Juan Manalo (11)")</f>
        <v>Juan Manalo (11)</v>
      </c>
      <c r="I73" t="str">
        <f>IFERROR(__xludf.DUMMYFUNCTION("""COMPUTED_VALUE"""),"Luke Waldo (11)")</f>
        <v>Luke Waldo (11)</v>
      </c>
      <c r="J73" t="str">
        <f>IFERROR(__xludf.DUMMYFUNCTION("""COMPUTED_VALUE"""),"Ryan Salehi (11)")</f>
        <v>Ryan Salehi (11)</v>
      </c>
      <c r="K73" t="str">
        <f>IFERROR(__xludf.DUMMYFUNCTION("""COMPUTED_VALUE"""),"Player 4")</f>
        <v>Player 4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1" t="s">
        <v>2</v>
      </c>
      <c r="B74">
        <f>IFERROR(__xludf.DUMMYFUNCTION("{IMPORTRANGE(""1jA96n0qbauznSt6-hkr51AslpxJqfrWgkafVtMV8_xU"",""Round 10!C32:H36""),IMPORTRANGE(""1jA96n0qbauznSt6-hkr51AslpxJqfrWgkafVtMV8_xU"",""Round 10!M32:R36"")}"),20.0)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1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IFERROR(__xludf.DUMMYFUNCTION("""COMPUTED_VALUE"""),1.0)</f>
        <v>1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IFERROR(__xludf.DUMMYFUNCTION("""COMPUTED_VALUE"""),2.0)</f>
        <v>2</v>
      </c>
      <c r="I75">
        <f>IFERROR(__xludf.DUMMYFUNCTION("""COMPUTED_VALUE"""),0.0)</f>
        <v>0</v>
      </c>
      <c r="J75">
        <f>IFERROR(__xludf.DUMMYFUNCTION("""COMPUTED_VALUE"""),1.0)</f>
        <v>1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1">
        <v>10.0</v>
      </c>
      <c r="B76">
        <f>IFERROR(__xludf.DUMMYFUNCTION("""COMPUTED_VALUE"""),1.0)</f>
        <v>1</v>
      </c>
      <c r="C76">
        <f>IFERROR(__xludf.DUMMYFUNCTION("""COMPUTED_VALUE"""),0.0)</f>
        <v>0</v>
      </c>
      <c r="D76">
        <f>IFERROR(__xludf.DUMMYFUNCTION("""COMPUTED_VALUE"""),3.0)</f>
        <v>3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IFERROR(__xludf.DUMMYFUNCTION("""COMPUTED_VALUE"""),2.0)</f>
        <v>2</v>
      </c>
      <c r="I76">
        <f>IFERROR(__xludf.DUMMYFUNCTION("""COMPUTED_VALUE"""),6.0)</f>
        <v>6</v>
      </c>
      <c r="J76">
        <f>IFERROR(__xludf.DUMMYFUNCTION("""COMPUTED_VALUE"""),1.0)</f>
        <v>1</v>
      </c>
      <c r="K76">
        <f>IFERROR(__xludf.DUMMYFUNCTION("""COMPUTED_VALUE"""),0.0)</f>
        <v>0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1">
        <v>-5.0</v>
      </c>
      <c r="B77">
        <f>IFERROR(__xludf.DUMMYFUNCTION("""COMPUTED_VALUE"""),0.0)</f>
        <v>0</v>
      </c>
      <c r="C77">
        <f>IFERROR(__xludf.DUMMYFUNCTION("""COMPUTED_VALUE"""),1.0)</f>
        <v>1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1" t="s">
        <v>3</v>
      </c>
      <c r="B78">
        <f>IFERROR(__xludf.DUMMYFUNCTION("""COMPUTED_VALUE"""),10.0)</f>
        <v>10</v>
      </c>
      <c r="C78">
        <f>IFERROR(__xludf.DUMMYFUNCTION("""COMPUTED_VALUE"""),-5.0)</f>
        <v>-5</v>
      </c>
      <c r="D78">
        <f>IFERROR(__xludf.DUMMYFUNCTION("""COMPUTED_VALUE"""),45.0)</f>
        <v>45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IFERROR(__xludf.DUMMYFUNCTION("""COMPUTED_VALUE"""),50.0)</f>
        <v>50</v>
      </c>
      <c r="I78">
        <f>IFERROR(__xludf.DUMMYFUNCTION("""COMPUTED_VALUE"""),60.0)</f>
        <v>60</v>
      </c>
      <c r="J78">
        <f>IFERROR(__xludf.DUMMYFUNCTION("""COMPUTED_VALUE"""),25.0)</f>
        <v>25</v>
      </c>
      <c r="K78">
        <f>IFERROR(__xludf.DUMMYFUNCTION("""COMPUTED_VALUE"""),0.0)</f>
        <v>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2" t="str">
        <f>IFERROR(__xludf.DUMMYFUNCTION("IMPORTRANGE(""1jA96n0qbauznSt6-hkr51AslpxJqfrWgkafVtMV8_xU"",""Round 10!W1"")"),"Question: 21")</f>
        <v>Question: 21</v>
      </c>
      <c r="B79" s="3" t="s">
        <v>22</v>
      </c>
    </row>
    <row r="80">
      <c r="A80" s="2"/>
    </row>
    <row r="81">
      <c r="A81" s="1" t="s">
        <v>23</v>
      </c>
      <c r="B81" t="str">
        <f>IFERROR(__xludf.DUMMYFUNCTION("{IMPORTRANGE(""1xw1EOjVhrK1PNJfOYiUsuJNrlpV53SmfJxYsFFolQ3s"",""Round 10!C1:H3""),IMPORTRANGE(""1xw1EOjVhrK1PNJfOYiUsuJNrlpV53SmfJxYsFFolQ3s"",""Round 10!M1:R3"")}"),"Black Mountain B (JV)")</f>
        <v>Black Mountain B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IFERROR(__xludf.DUMMYFUNCTION("""COMPUTED_VALUE"""),"Valley Center (JV)")</f>
        <v>Valley Center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2" t="str">
        <f>IFERROR(__xludf.DUMMYFUNCTION("CONCAT(""A BP: "",IMPORTRANGE(""1xw1EOjVhrK1PNJfOYiUsuJNrlpV53SmfJxYsFFolQ3s"",""Round 10!I32""))"),"A BP: 70")</f>
        <v>A BP: 70</v>
      </c>
      <c r="B82" t="str">
        <f>IFERROR(__xludf.DUMMYFUNCTION("""COMPUTED_VALUE"""),"Score: 155")</f>
        <v>Score: 155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150")</f>
        <v>Score: 150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2" t="str">
        <f>IFERROR(__xludf.DUMMYFUNCTION("CONCAT(""B BP: "",IMPORTRANGE(""1xw1EOjVhrK1PNJfOYiUsuJNrlpV53SmfJxYsFFolQ3s"",""Round 10!S32""))"),"B BP: 80")</f>
        <v>B BP: 80</v>
      </c>
      <c r="B83" t="str">
        <f>IFERROR(__xludf.DUMMYFUNCTION("""COMPUTED_VALUE"""),"Raina Chatterjee (7)")</f>
        <v>Raina Chatterjee (7)</v>
      </c>
      <c r="C83" t="str">
        <f>IFERROR(__xludf.DUMMYFUNCTION("""COMPUTED_VALUE"""),"Pranay Kulkarni (7)")</f>
        <v>Pranay Kulkarni (7)</v>
      </c>
      <c r="D83" t="str">
        <f>IFERROR(__xludf.DUMMYFUNCTION("""COMPUTED_VALUE"""),"Lauren Yung (8)")</f>
        <v>Lauren Yung (8)</v>
      </c>
      <c r="E83" t="str">
        <f>IFERROR(__xludf.DUMMYFUNCTION("""COMPUTED_VALUE"""),"Anay Sabhnani (7)")</f>
        <v>Anay Sabhnani (7)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IFERROR(__xludf.DUMMYFUNCTION("""COMPUTED_VALUE"""),"Ava Downey (12)")</f>
        <v>Ava Downey (12)</v>
      </c>
      <c r="I83" t="str">
        <f>IFERROR(__xludf.DUMMYFUNCTION("""COMPUTED_VALUE"""),"Aaron Martinez (11)")</f>
        <v>Aaron Martinez (11)</v>
      </c>
      <c r="J83" t="str">
        <f>IFERROR(__xludf.DUMMYFUNCTION("""COMPUTED_VALUE"""),"Mehreen Sing (12)")</f>
        <v>Mehreen Sing (12)</v>
      </c>
      <c r="K83" t="str">
        <f>IFERROR(__xludf.DUMMYFUNCTION("""COMPUTED_VALUE"""),"Leon Thigh (11)")</f>
        <v>Leon Thigh (11)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1" t="s">
        <v>2</v>
      </c>
      <c r="B84">
        <f>IFERROR(__xludf.DUMMYFUNCTION("{IMPORTRANGE(""1xw1EOjVhrK1PNJfOYiUsuJNrlpV53SmfJxYsFFolQ3s"",""Round 10!C32:H36""),IMPORTRANGE(""1xw1EOjVhrK1PNJfOYiUsuJNrlpV53SmfJxYsFFolQ3s"",""Round 10!M32:R36"")}"),20.0)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1">
        <v>15.0</v>
      </c>
      <c r="B85">
        <f>IFERROR(__xludf.DUMMYFUNCTION("""COMPUTED_VALUE"""),0.0)</f>
        <v>0</v>
      </c>
      <c r="C85">
        <f>IFERROR(__xludf.DUMMYFUNCTION("""COMPUTED_VALUE"""),1.0)</f>
        <v>1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IFERROR(__xludf.DUMMYFUNCTION("""COMPUTED_VALUE"""),0.0)</f>
        <v>0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1">
        <v>10.0</v>
      </c>
      <c r="B86">
        <f>IFERROR(__xludf.DUMMYFUNCTION("""COMPUTED_VALUE"""),1.0)</f>
        <v>1</v>
      </c>
      <c r="C86">
        <f>IFERROR(__xludf.DUMMYFUNCTION("""COMPUTED_VALUE"""),4.0)</f>
        <v>4</v>
      </c>
      <c r="D86">
        <f>IFERROR(__xludf.DUMMYFUNCTION("""COMPUTED_VALUE"""),1.0)</f>
        <v>1</v>
      </c>
      <c r="E86">
        <f>IFERROR(__xludf.DUMMYFUNCTION("""COMPUTED_VALUE"""),1.0)</f>
        <v>1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IFERROR(__xludf.DUMMYFUNCTION("""COMPUTED_VALUE"""),1.0)</f>
        <v>1</v>
      </c>
      <c r="I86">
        <f>IFERROR(__xludf.DUMMYFUNCTION("""COMPUTED_VALUE"""),7.0)</f>
        <v>7</v>
      </c>
      <c r="J86">
        <f>IFERROR(__xludf.DUMMYFUNCTION("""COMPUTED_VALUE"""),0.0)</f>
        <v>0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1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IFERROR(__xludf.DUMMYFUNCTION("""COMPUTED_VALUE"""),1.0)</f>
        <v>1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IFERROR(__xludf.DUMMYFUNCTION("""COMPUTED_VALUE"""),1.0)</f>
        <v>1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1" t="s">
        <v>3</v>
      </c>
      <c r="B88">
        <f>IFERROR(__xludf.DUMMYFUNCTION("""COMPUTED_VALUE"""),10.0)</f>
        <v>10</v>
      </c>
      <c r="C88">
        <f>IFERROR(__xludf.DUMMYFUNCTION("""COMPUTED_VALUE"""),55.0)</f>
        <v>55</v>
      </c>
      <c r="D88">
        <f>IFERROR(__xludf.DUMMYFUNCTION("""COMPUTED_VALUE"""),10.0)</f>
        <v>10</v>
      </c>
      <c r="E88">
        <f>IFERROR(__xludf.DUMMYFUNCTION("""COMPUTED_VALUE"""),10.0)</f>
        <v>10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IFERROR(__xludf.DUMMYFUNCTION("""COMPUTED_VALUE"""),5.0)</f>
        <v>5</v>
      </c>
      <c r="I88">
        <f>IFERROR(__xludf.DUMMYFUNCTION("""COMPUTED_VALUE"""),70.0)</f>
        <v>70</v>
      </c>
      <c r="J88">
        <f>IFERROR(__xludf.DUMMYFUNCTION("""COMPUTED_VALUE"""),0.0)</f>
        <v>0</v>
      </c>
      <c r="K88">
        <f>IFERROR(__xludf.DUMMYFUNCTION("""COMPUTED_VALUE"""),-5.0)</f>
        <v>-5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2" t="str">
        <f>IFERROR(__xludf.DUMMYFUNCTION("IMPORTRANGE(""1xw1EOjVhrK1PNJfOYiUsuJNrlpV53SmfJxYsFFolQ3s"",""Round 10!W1"")"),"Question: 21")</f>
        <v>Question: 21</v>
      </c>
      <c r="B89" s="3" t="s">
        <v>25</v>
      </c>
    </row>
    <row r="90">
      <c r="A90" s="2"/>
    </row>
    <row r="91">
      <c r="A91" s="1" t="s">
        <v>26</v>
      </c>
      <c r="B91" t="str">
        <f>IFERROR(__xludf.DUMMYFUNCTION("{IMPORTRANGE(""15wOrdFuJAb1a4MoX5CG4apiBD2jUJ7mBu58Uk-8Mo7s"",""Round 10!C1:H3""),IMPORTRANGE(""15wOrdFuJAb1a4MoX5CG4apiBD2jUJ7mBu58Uk-8Mo7s"",""Round 10!M1:R3"")}"),"Team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2" t="str">
        <f>IFERROR(__xludf.DUMMYFUNCTION("CONCAT(""A BP: "",IMPORTRANGE(""15wOrdFuJAb1a4MoX5CG4apiBD2jUJ7mBu58Uk-8Mo7s"",""Round 10!I32""))"),"A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2" t="str">
        <f>IFERROR(__xludf.DUMMYFUNCTION("CONCAT(""B BP: "",IMPORTRANGE(""15wOrdFuJAb1a4MoX5CG4apiBD2jUJ7mBu58Uk-8Mo7s"",""Round 10!S32""))"),"B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1" t="s">
        <v>2</v>
      </c>
      <c r="B94">
        <f>IFERROR(__xludf.DUMMYFUNCTION("{IMPORTRANGE(""15wOrdFuJAb1a4MoX5CG4apiBD2jUJ7mBu58Uk-8Mo7s"",""Round 10!C32:H36""),IMPORTRANGE(""15wOrdFuJAb1a4MoX5CG4apiBD2jUJ7mBu58Uk-8Mo7s"",""Round 10!M32:R36"")}"),20.0)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1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1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1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1" t="s">
        <v>3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2" t="str">
        <f>IFERROR(__xludf.DUMMYFUNCTION("IMPORTRANGE(""15wOrdFuJAb1a4MoX5CG4apiBD2jUJ7mBu58Uk-8Mo7s"",""Round 10!W1"")"),"Question: 1")</f>
        <v>Question: 1</v>
      </c>
      <c r="B99" s="3" t="s">
        <v>27</v>
      </c>
    </row>
    <row r="100">
      <c r="A100" s="2"/>
    </row>
    <row r="101">
      <c r="A101" s="1" t="s">
        <v>28</v>
      </c>
      <c r="B101" t="str">
        <f>IFERROR(__xludf.DUMMYFUNCTION("{IMPORTRANGE(""1GfJqS1rsy-VutTmPVnm9E2VdinIG-GnQO5b3bhaiX1s"",""Round 10!C1:H3""),IMPORTRANGE(""1GfJqS1rsy-VutTmPVnm9E2VdinIG-GnQO5b3bhaiX1s"",""Round 10!M1:R3"")}"),"Team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2" t="str">
        <f>IFERROR(__xludf.DUMMYFUNCTION("CONCAT(""A BP: "",IMPORTRANGE(""1GfJqS1rsy-VutTmPVnm9E2VdinIG-GnQO5b3bhaiX1s"",""Round 10!I32""))"),"A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2" t="str">
        <f>IFERROR(__xludf.DUMMYFUNCTION("CONCAT(""B BP: "",IMPORTRANGE(""1GfJqS1rsy-VutTmPVnm9E2VdinIG-GnQO5b3bhaiX1s"",""Round 10!S32""))"),"B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1" t="s">
        <v>2</v>
      </c>
      <c r="B104">
        <f>IFERROR(__xludf.DUMMYFUNCTION("{IMPORTRANGE(""1GfJqS1rsy-VutTmPVnm9E2VdinIG-GnQO5b3bhaiX1s"",""Round 10!C32:H36""),IMPORTRANGE(""1GfJqS1rsy-VutTmPVnm9E2VdinIG-GnQO5b3bhaiX1s"",""Round 10!M32:R36"")}"),20.0)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1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1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1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1" t="s">
        <v>3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2" t="str">
        <f>IFERROR(__xludf.DUMMYFUNCTION("IMPORTRANGE(""1GfJqS1rsy-VutTmPVnm9E2VdinIG-GnQO5b3bhaiX1s"",""Round 10!W1"")"),"Question: 1")</f>
        <v>Question: 1</v>
      </c>
      <c r="B109" s="3" t="s">
        <v>29</v>
      </c>
    </row>
    <row r="110">
      <c r="A110" s="2"/>
    </row>
    <row r="111">
      <c r="A111" s="1" t="s">
        <v>45</v>
      </c>
      <c r="B111" t="str">
        <f>IFERROR(__xludf.DUMMYFUNCTION("{IMPORTRANGE(""17CLUEFflDBSa8dyH5vsXfHme4RV8IhzD-mxe9_c9I5k"",""Round 10!C1:H3""),IMPORTRANGE(""17CLUEFflDBSa8dyH5vsXfHme4RV8IhzD-mxe9_c9I5k"",""Round 10!M1:R3"")}"),"Canyon Crest B (V)")</f>
        <v>Canyon Crest B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IFERROR(__xludf.DUMMYFUNCTION("""COMPUTED_VALUE"""),"Westview B (V)")</f>
        <v>Westview B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2" t="str">
        <f>IFERROR(__xludf.DUMMYFUNCTION("CONCAT(""A BP: "",IMPORTRANGE(""17CLUEFflDBSa8dyH5vsXfHme4RV8IhzD-mxe9_c9I5k"",""Round 10!I32""))"),"A BP: 100")</f>
        <v>A BP: 100</v>
      </c>
      <c r="B112" t="str">
        <f>IFERROR(__xludf.DUMMYFUNCTION("""COMPUTED_VALUE"""),"Score: 150")</f>
        <v>Score: 150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400")</f>
        <v>Score: 400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2" t="str">
        <f>IFERROR(__xludf.DUMMYFUNCTION("CONCAT(""B BP: "",IMPORTRANGE(""17CLUEFflDBSa8dyH5vsXfHme4RV8IhzD-mxe9_c9I5k"",""Round 10!S32""))"),"B BP: 230")</f>
        <v>B BP: 230</v>
      </c>
      <c r="B113" t="str">
        <f>IFERROR(__xludf.DUMMYFUNCTION("""COMPUTED_VALUE"""),"Shreyank Kadadi (12)")</f>
        <v>Shreyank Kadadi (12)</v>
      </c>
      <c r="C113" t="str">
        <f>IFERROR(__xludf.DUMMYFUNCTION("""COMPUTED_VALUE"""),"Jonathan Hsieh (12)")</f>
        <v>Jonathan Hsieh (12)</v>
      </c>
      <c r="D113" t="str">
        <f>IFERROR(__xludf.DUMMYFUNCTION("""COMPUTED_VALUE"""),"Kevin Luo (10)")</f>
        <v>Kevin Luo (10)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IFERROR(__xludf.DUMMYFUNCTION("""COMPUTED_VALUE"""),"Nicholas Dai (11)")</f>
        <v>Nicholas Dai (11)</v>
      </c>
      <c r="I113" t="str">
        <f>IFERROR(__xludf.DUMMYFUNCTION("""COMPUTED_VALUE"""),"Rohan Venkateswaran (12)")</f>
        <v>Rohan Venkateswaran (12)</v>
      </c>
      <c r="J113" t="str">
        <f>IFERROR(__xludf.DUMMYFUNCTION("""COMPUTED_VALUE"""),"Andrew Jia (11)")</f>
        <v>Andrew Jia (11)</v>
      </c>
      <c r="K113" t="str">
        <f>IFERROR(__xludf.DUMMYFUNCTION("""COMPUTED_VALUE"""),"Richard Lin (9)")</f>
        <v>Richard Lin (9)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1" t="s">
        <v>2</v>
      </c>
      <c r="B114">
        <f>IFERROR(__xludf.DUMMYFUNCTION("{IMPORTRANGE(""17CLUEFflDBSa8dyH5vsXfHme4RV8IhzD-mxe9_c9I5k"",""Round 10!C32:H36""),IMPORTRANGE(""17CLUEFflDBSa8dyH5vsXfHme4RV8IhzD-mxe9_c9I5k"",""Round 10!M32:R36"")}"),20.0)</f>
        <v>20</v>
      </c>
      <c r="C114">
        <f>IFERROR(__xludf.DUMMYFUNCTION("""COMPUTED_VALUE"""),20.0)</f>
        <v>20</v>
      </c>
      <c r="D114">
        <f>IFERROR(__xludf.DUMMYFUNCTION("""COMPUTED_VALUE"""),10.0)</f>
        <v>10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1">
        <v>15.0</v>
      </c>
      <c r="B115">
        <f>IFERROR(__xludf.DUMMYFUNCTION("""COMPUTED_VALUE"""),3.0)</f>
        <v>3</v>
      </c>
      <c r="C115">
        <f>IFERROR(__xludf.DUMMYFUNCTION("""COMPUTED_VALUE"""),1.0)</f>
        <v>1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IFERROR(__xludf.DUMMYFUNCTION("""COMPUTED_VALUE"""),1.0)</f>
        <v>1</v>
      </c>
      <c r="I115">
        <f>IFERROR(__xludf.DUMMYFUNCTION("""COMPUTED_VALUE"""),5.0)</f>
        <v>5</v>
      </c>
      <c r="J115">
        <f>IFERROR(__xludf.DUMMYFUNCTION("""COMPUTED_VALUE"""),1.0)</f>
        <v>1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1">
        <v>10.0</v>
      </c>
      <c r="B116">
        <f>IFERROR(__xludf.DUMMYFUNCTION("""COMPUTED_VALUE"""),1.0)</f>
        <v>1</v>
      </c>
      <c r="C116">
        <f>IFERROR(__xludf.DUMMYFUNCTION("""COMPUTED_VALUE"""),1.0)</f>
        <v>1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IFERROR(__xludf.DUMMYFUNCTION("""COMPUTED_VALUE"""),2.0)</f>
        <v>2</v>
      </c>
      <c r="I116">
        <f>IFERROR(__xludf.DUMMYFUNCTION("""COMPUTED_VALUE"""),2.0)</f>
        <v>2</v>
      </c>
      <c r="J116">
        <f>IFERROR(__xludf.DUMMYFUNCTION("""COMPUTED_VALUE"""),1.0)</f>
        <v>1</v>
      </c>
      <c r="K116">
        <f>IFERROR(__xludf.DUMMYFUNCTION("""COMPUTED_VALUE"""),2.0)</f>
        <v>2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1">
        <v>-5.0</v>
      </c>
      <c r="B117">
        <f>IFERROR(__xludf.DUMMYFUNCTION("""COMPUTED_VALUE"""),4.0)</f>
        <v>4</v>
      </c>
      <c r="C117">
        <f>IFERROR(__xludf.DUMMYFUNCTION("""COMPUTED_VALUE"""),2.0)</f>
        <v>2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IFERROR(__xludf.DUMMYFUNCTION("""COMPUTED_VALUE"""),0.0)</f>
        <v>0</v>
      </c>
      <c r="I117">
        <f>IFERROR(__xludf.DUMMYFUNCTION("""COMPUTED_VALUE"""),1.0)</f>
        <v>1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1" t="s">
        <v>3</v>
      </c>
      <c r="B118">
        <f>IFERROR(__xludf.DUMMYFUNCTION("""COMPUTED_VALUE"""),35.0)</f>
        <v>35</v>
      </c>
      <c r="C118">
        <f>IFERROR(__xludf.DUMMYFUNCTION("""COMPUTED_VALUE"""),15.0)</f>
        <v>15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IFERROR(__xludf.DUMMYFUNCTION("""COMPUTED_VALUE"""),35.0)</f>
        <v>35</v>
      </c>
      <c r="I118">
        <f>IFERROR(__xludf.DUMMYFUNCTION("""COMPUTED_VALUE"""),90.0)</f>
        <v>90</v>
      </c>
      <c r="J118">
        <f>IFERROR(__xludf.DUMMYFUNCTION("""COMPUTED_VALUE"""),25.0)</f>
        <v>25</v>
      </c>
      <c r="K118">
        <f>IFERROR(__xludf.DUMMYFUNCTION("""COMPUTED_VALUE"""),20.0)</f>
        <v>20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2" t="str">
        <f>IFERROR(__xludf.DUMMYFUNCTION("IMPORTRANGE(""17CLUEFflDBSa8dyH5vsXfHme4RV8IhzD-mxe9_c9I5k"",""Round 10!W1"")"),"Question: 21")</f>
        <v>Question: 21</v>
      </c>
      <c r="B119" s="3" t="s">
        <v>31</v>
      </c>
    </row>
    <row r="120">
      <c r="A120" s="2"/>
    </row>
    <row r="121">
      <c r="A121" s="1" t="s">
        <v>46</v>
      </c>
      <c r="B121" t="str">
        <f>IFERROR(__xludf.DUMMYFUNCTION("{IMPORTRANGE(""1Knt8XDGFY_MP2OzeadT1pDENTLOdk9Ab_Rd9IdW0kzc"",""Round 10!C1:H3""),IMPORTRANGE(""1Knt8XDGFY_MP2OzeadT1pDENTLOdk9Ab_Rd9IdW0kzc"",""Round 10!M1:R3"")}"),"Canyon Crest C (V)")</f>
        <v>Canyon Crest C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IFERROR(__xludf.DUMMYFUNCTION("""COMPUTED_VALUE"""),"Cathedral Catholic (V)")</f>
        <v>Cathedral Catholic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2" t="str">
        <f>IFERROR(__xludf.DUMMYFUNCTION("CONCAT(""A BP: "",IMPORTRANGE(""1Knt8XDGFY_MP2OzeadT1pDENTLOdk9Ab_Rd9IdW0kzc"",""Round 10!I32""))"),"A BP: 90")</f>
        <v>A BP: 90</v>
      </c>
      <c r="B122" t="str">
        <f>IFERROR(__xludf.DUMMYFUNCTION("""COMPUTED_VALUE"""),"Score: 135")</f>
        <v>Score: 135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140")</f>
        <v>Score: 140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2" t="str">
        <f>IFERROR(__xludf.DUMMYFUNCTION("CONCAT(""B BP: "",IMPORTRANGE(""1Knt8XDGFY_MP2OzeadT1pDENTLOdk9Ab_Rd9IdW0kzc"",""Round 10!S32""))"),"B BP: 70")</f>
        <v>B BP: 70</v>
      </c>
      <c r="B123" t="str">
        <f>IFERROR(__xludf.DUMMYFUNCTION("""COMPUTED_VALUE"""),"Paul Mola (11)")</f>
        <v>Paul Mola (11)</v>
      </c>
      <c r="C123" t="str">
        <f>IFERROR(__xludf.DUMMYFUNCTION("""COMPUTED_VALUE"""),"James Wright (11)")</f>
        <v>James Wright (11)</v>
      </c>
      <c r="D123" t="str">
        <f>IFERROR(__xludf.DUMMYFUNCTION("""COMPUTED_VALUE"""),"Cade McAllister (10)")</f>
        <v>Cade McAllister (10)</v>
      </c>
      <c r="E123" t="str">
        <f>IFERROR(__xludf.DUMMYFUNCTION("""COMPUTED_VALUE"""),"Nithin Chilakapati (10)")</f>
        <v>Nithin Chilakapati (10)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IFERROR(__xludf.DUMMYFUNCTION("""COMPUTED_VALUE"""),"Ryan Shakiba (10)")</f>
        <v>Ryan Shakiba (10)</v>
      </c>
      <c r="I123" t="str">
        <f>IFERROR(__xludf.DUMMYFUNCTION("""COMPUTED_VALUE"""),"Sinead Archdeacon (10)")</f>
        <v>Sinead Archdeacon (10)</v>
      </c>
      <c r="J123" t="str">
        <f>IFERROR(__xludf.DUMMYFUNCTION("""COMPUTED_VALUE"""),"Jacob Titcomb (11)")</f>
        <v>Jacob Titcomb (11)</v>
      </c>
      <c r="K123" t="str">
        <f>IFERROR(__xludf.DUMMYFUNCTION("""COMPUTED_VALUE"""),"Player 4")</f>
        <v>Player 4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1" t="s">
        <v>2</v>
      </c>
      <c r="B124">
        <f>IFERROR(__xludf.DUMMYFUNCTION("{IMPORTRANGE(""1Knt8XDGFY_MP2OzeadT1pDENTLOdk9Ab_Rd9IdW0kzc"",""Round 10!C32:H36""),IMPORTRANGE(""1Knt8XDGFY_MP2OzeadT1pDENTLOdk9Ab_Rd9IdW0kzc"",""Round 10!M32:R36"")}"),20.0)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1">
        <v>15.0</v>
      </c>
      <c r="B125">
        <f>IFERROR(__xludf.DUMMYFUNCTION("""COMPUTED_VALUE"""),0.0)</f>
        <v>0</v>
      </c>
      <c r="C125">
        <f>IFERROR(__xludf.DUMMYFUNCTION("""COMPUTED_VALUE"""),0.0)</f>
        <v>0</v>
      </c>
      <c r="D125">
        <f>IFERROR(__xludf.DUMMYFUNCTION("""COMPUTED_VALUE"""),0.0)</f>
        <v>0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1">
        <v>10.0</v>
      </c>
      <c r="B126">
        <f>IFERROR(__xludf.DUMMYFUNCTION("""COMPUTED_VALUE"""),4.0)</f>
        <v>4</v>
      </c>
      <c r="C126">
        <f>IFERROR(__xludf.DUMMYFUNCTION("""COMPUTED_VALUE"""),2.0)</f>
        <v>2</v>
      </c>
      <c r="D126">
        <f>IFERROR(__xludf.DUMMYFUNCTION("""COMPUTED_VALUE"""),0.0)</f>
        <v>0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IFERROR(__xludf.DUMMYFUNCTION("""COMPUTED_VALUE"""),1.0)</f>
        <v>1</v>
      </c>
      <c r="I126">
        <f>IFERROR(__xludf.DUMMYFUNCTION("""COMPUTED_VALUE"""),1.0)</f>
        <v>1</v>
      </c>
      <c r="J126">
        <f>IFERROR(__xludf.DUMMYFUNCTION("""COMPUTED_VALUE"""),6.0)</f>
        <v>6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1">
        <v>-5.0</v>
      </c>
      <c r="B127">
        <f>IFERROR(__xludf.DUMMYFUNCTION("""COMPUTED_VALUE"""),2.0)</f>
        <v>2</v>
      </c>
      <c r="C127">
        <f>IFERROR(__xludf.DUMMYFUNCTION("""COMPUTED_VALUE"""),1.0)</f>
        <v>1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IFERROR(__xludf.DUMMYFUNCTION("""COMPUTED_VALUE"""),1.0)</f>
        <v>1</v>
      </c>
      <c r="I127">
        <f>IFERROR(__xludf.DUMMYFUNCTION("""COMPUTED_VALUE"""),0.0)</f>
        <v>0</v>
      </c>
      <c r="J127">
        <f>IFERROR(__xludf.DUMMYFUNCTION("""COMPUTED_VALUE"""),1.0)</f>
        <v>1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1" t="s">
        <v>3</v>
      </c>
      <c r="B128">
        <f>IFERROR(__xludf.DUMMYFUNCTION("""COMPUTED_VALUE"""),30.0)</f>
        <v>30</v>
      </c>
      <c r="C128">
        <f>IFERROR(__xludf.DUMMYFUNCTION("""COMPUTED_VALUE"""),15.0)</f>
        <v>15</v>
      </c>
      <c r="D128">
        <f>IFERROR(__xludf.DUMMYFUNCTION("""COMPUTED_VALUE"""),0.0)</f>
        <v>0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IFERROR(__xludf.DUMMYFUNCTION("""COMPUTED_VALUE"""),5.0)</f>
        <v>5</v>
      </c>
      <c r="I128">
        <f>IFERROR(__xludf.DUMMYFUNCTION("""COMPUTED_VALUE"""),10.0)</f>
        <v>10</v>
      </c>
      <c r="J128">
        <f>IFERROR(__xludf.DUMMYFUNCTION("""COMPUTED_VALUE"""),55.0)</f>
        <v>55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2" t="str">
        <f>IFERROR(__xludf.DUMMYFUNCTION("IMPORTRANGE(""1Knt8XDGFY_MP2OzeadT1pDENTLOdk9Ab_Rd9IdW0kzc"",""Round 10!W1"")"),"Question: 21")</f>
        <v>Question: 21</v>
      </c>
      <c r="B129" s="3" t="s">
        <v>33</v>
      </c>
    </row>
    <row r="130">
      <c r="A130" s="2"/>
    </row>
    <row r="131">
      <c r="A131" s="1" t="s">
        <v>47</v>
      </c>
      <c r="B131" t="str">
        <f>IFERROR(__xludf.DUMMYFUNCTION("{IMPORTRANGE(""16i4gsLDaJasgGgtJt27HweoboYNaal3qpX3MtxIR2f0"",""Round 10!C1:H3""),IMPORTRANGE(""16i4gsLDaJasgGgtJt27HweoboYNaal3qpX3MtxIR2f0"",""Round 10!M1:R3"")}"),"Santa Monica A (V)")</f>
        <v>Santa Monica A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IFERROR(__xludf.DUMMYFUNCTION("""COMPUTED_VALUE"""),"Canyon Crest A (V)")</f>
        <v>Canyon Crest A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2" t="str">
        <f>IFERROR(__xludf.DUMMYFUNCTION("CONCAT(""A BP: "",IMPORTRANGE(""16i4gsLDaJasgGgtJt27HweoboYNaal3qpX3MtxIR2f0"",""Round 10!I32""))"),"A BP: 90")</f>
        <v>A BP: 90</v>
      </c>
      <c r="B132" t="str">
        <f>IFERROR(__xludf.DUMMYFUNCTION("""COMPUTED_VALUE"""),"Score: 170")</f>
        <v>Score: 170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300")</f>
        <v>Score: 300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2" t="str">
        <f>IFERROR(__xludf.DUMMYFUNCTION("CONCAT(""B BP: "",IMPORTRANGE(""16i4gsLDaJasgGgtJt27HweoboYNaal3qpX3MtxIR2f0"",""Round 10!S32""))"),"B BP: 190")</f>
        <v>B BP: 190</v>
      </c>
      <c r="B133" t="str">
        <f>IFERROR(__xludf.DUMMYFUNCTION("""COMPUTED_VALUE"""),"Josh Xu (11)")</f>
        <v>Josh Xu (11)</v>
      </c>
      <c r="C133" t="str">
        <f>IFERROR(__xludf.DUMMYFUNCTION("""COMPUTED_VALUE"""),"Player 2")</f>
        <v>Player 2</v>
      </c>
      <c r="D133" t="str">
        <f>IFERROR(__xludf.DUMMYFUNCTION("""COMPUTED_VALUE"""),"Player 3")</f>
        <v>Player 3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IFERROR(__xludf.DUMMYFUNCTION("""COMPUTED_VALUE"""),"Wesley Zhang (12)")</f>
        <v>Wesley Zhang (12)</v>
      </c>
      <c r="I133" t="str">
        <f>IFERROR(__xludf.DUMMYFUNCTION("""COMPUTED_VALUE"""),"Leo Gu (10)")</f>
        <v>Leo Gu (10)</v>
      </c>
      <c r="J133" t="str">
        <f>IFERROR(__xludf.DUMMYFUNCTION("""COMPUTED_VALUE"""),"Player 3")</f>
        <v>Player 3</v>
      </c>
      <c r="K133" t="str">
        <f>IFERROR(__xludf.DUMMYFUNCTION("""COMPUTED_VALUE"""),"Player 4")</f>
        <v>Player 4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1" t="s">
        <v>2</v>
      </c>
      <c r="B134">
        <f>IFERROR(__xludf.DUMMYFUNCTION("{IMPORTRANGE(""16i4gsLDaJasgGgtJt27HweoboYNaal3qpX3MtxIR2f0"",""Round 10!C32:H36""),IMPORTRANGE(""16i4gsLDaJasgGgtJt27HweoboYNaal3qpX3MtxIR2f0"",""Round 10!M32:R36"")}"),20.0)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1">
        <v>15.0</v>
      </c>
      <c r="B135">
        <f>IFERROR(__xludf.DUMMYFUNCTION("""COMPUTED_VALUE"""),2.0)</f>
        <v>2</v>
      </c>
      <c r="C135">
        <f>IFERROR(__xludf.DUMMYFUNCTION("""COMPUTED_VALUE"""),0.0)</f>
        <v>0</v>
      </c>
      <c r="D135">
        <f>IFERROR(__xludf.DUMMYFUNCTION("""COMPUTED_VALUE"""),0.0)</f>
        <v>0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IFERROR(__xludf.DUMMYFUNCTION("""COMPUTED_VALUE"""),1.0)</f>
        <v>1</v>
      </c>
      <c r="I135">
        <f>IFERROR(__xludf.DUMMYFUNCTION("""COMPUTED_VALUE"""),1.0)</f>
        <v>1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1">
        <v>10.0</v>
      </c>
      <c r="B136">
        <f>IFERROR(__xludf.DUMMYFUNCTION("""COMPUTED_VALUE"""),5.0)</f>
        <v>5</v>
      </c>
      <c r="C136">
        <f>IFERROR(__xludf.DUMMYFUNCTION("""COMPUTED_VALUE"""),0.0)</f>
        <v>0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IFERROR(__xludf.DUMMYFUNCTION("""COMPUTED_VALUE"""),4.0)</f>
        <v>4</v>
      </c>
      <c r="I136">
        <f>IFERROR(__xludf.DUMMYFUNCTION("""COMPUTED_VALUE"""),5.0)</f>
        <v>5</v>
      </c>
      <c r="J136">
        <f>IFERROR(__xludf.DUMMYFUNCTION("""COMPUTED_VALUE"""),0.0)</f>
        <v>0</v>
      </c>
      <c r="K136">
        <f>IFERROR(__xludf.DUMMYFUNCTION("""COMPUTED_VALUE"""),0.0)</f>
        <v>0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1">
        <v>-5.0</v>
      </c>
      <c r="B137">
        <f>IFERROR(__xludf.DUMMYFUNCTION("""COMPUTED_VALUE"""),0.0)</f>
        <v>0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IFERROR(__xludf.DUMMYFUNCTION("""COMPUTED_VALUE"""),2.0)</f>
        <v>2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1" t="s">
        <v>3</v>
      </c>
      <c r="B138">
        <f>IFERROR(__xludf.DUMMYFUNCTION("""COMPUTED_VALUE"""),80.0)</f>
        <v>80</v>
      </c>
      <c r="C138">
        <f>IFERROR(__xludf.DUMMYFUNCTION("""COMPUTED_VALUE"""),0.0)</f>
        <v>0</v>
      </c>
      <c r="D138">
        <f>IFERROR(__xludf.DUMMYFUNCTION("""COMPUTED_VALUE"""),0.0)</f>
        <v>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IFERROR(__xludf.DUMMYFUNCTION("""COMPUTED_VALUE"""),45.0)</f>
        <v>45</v>
      </c>
      <c r="I138">
        <f>IFERROR(__xludf.DUMMYFUNCTION("""COMPUTED_VALUE"""),65.0)</f>
        <v>65</v>
      </c>
      <c r="J138">
        <f>IFERROR(__xludf.DUMMYFUNCTION("""COMPUTED_VALUE"""),0.0)</f>
        <v>0</v>
      </c>
      <c r="K138">
        <f>IFERROR(__xludf.DUMMYFUNCTION("""COMPUTED_VALUE"""),0.0)</f>
        <v>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2" t="str">
        <f>IFERROR(__xludf.DUMMYFUNCTION("IMPORTRANGE(""16i4gsLDaJasgGgtJt27HweoboYNaal3qpX3MtxIR2f0"",""Round 10!W1"")"),"Question: 21")</f>
        <v>Question: 21</v>
      </c>
      <c r="B139" s="3" t="s">
        <v>35</v>
      </c>
    </row>
    <row r="140">
      <c r="A140" s="2"/>
    </row>
    <row r="141">
      <c r="A141" s="1" t="s">
        <v>48</v>
      </c>
      <c r="B141" t="str">
        <f>IFERROR(__xludf.DUMMYFUNCTION("{IMPORTRANGE(""1KRyI2c190uhOTF270Hsdzh1rgG565QIaE9TymteaGNY"",""Round 10!C1:H3""),IMPORTRANGE(""1KRyI2c190uhOTF270Hsdzh1rgG565QIaE9TymteaGNY"",""Round 10!M1:R3"")}"),"La Jolla (V)")</f>
        <v>La Jolla (V)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IFERROR(__xludf.DUMMYFUNCTION("""COMPUTED_VALUE"""),"Troy A (V)")</f>
        <v>Troy A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2" t="str">
        <f>IFERROR(__xludf.DUMMYFUNCTION("CONCAT(""A BP: "",IMPORTRANGE(""1KRyI2c190uhOTF270Hsdzh1rgG565QIaE9TymteaGNY"",""Round 10!I32""))"),"A BP: 180")</f>
        <v>A BP: 180</v>
      </c>
      <c r="B142" t="str">
        <f>IFERROR(__xludf.DUMMYFUNCTION("""COMPUTED_VALUE"""),"Score: 290")</f>
        <v>Score: 290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120")</f>
        <v>Score: 120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2" t="str">
        <f>IFERROR(__xludf.DUMMYFUNCTION("CONCAT(""B BP: "",IMPORTRANGE(""1KRyI2c190uhOTF270Hsdzh1rgG565QIaE9TymteaGNY"",""Round 10!S32""))"),"B BP: 60")</f>
        <v>B BP: 60</v>
      </c>
      <c r="B143" t="str">
        <f>IFERROR(__xludf.DUMMYFUNCTION("""COMPUTED_VALUE"""),"David Smith (11)")</f>
        <v>David Smith (11)</v>
      </c>
      <c r="C143" t="str">
        <f>IFERROR(__xludf.DUMMYFUNCTION("""COMPUTED_VALUE"""),"Richard Chao (11)")</f>
        <v>Richard Chao (11)</v>
      </c>
      <c r="D143" t="str">
        <f>IFERROR(__xludf.DUMMYFUNCTION("""COMPUTED_VALUE"""),"Kevin Park (11)")</f>
        <v>Kevin Park (11)</v>
      </c>
      <c r="E143" t="str">
        <f>IFERROR(__xludf.DUMMYFUNCTION("""COMPUTED_VALUE"""),"Caleb Cruz (11)")</f>
        <v>Caleb Cruz (11)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IFERROR(__xludf.DUMMYFUNCTION("""COMPUTED_VALUE"""),"Luke Park (11)")</f>
        <v>Luke Park (11)</v>
      </c>
      <c r="I143" t="str">
        <f>IFERROR(__xludf.DUMMYFUNCTION("""COMPUTED_VALUE"""),"Tyler Kim (11)")</f>
        <v>Tyler Kim (11)</v>
      </c>
      <c r="J143" t="str">
        <f>IFERROR(__xludf.DUMMYFUNCTION("""COMPUTED_VALUE"""),"Henry Tang (10)")</f>
        <v>Henry Tang (10)</v>
      </c>
      <c r="K143" t="str">
        <f>IFERROR(__xludf.DUMMYFUNCTION("""COMPUTED_VALUE"""),"Daniel Shin (10)")</f>
        <v>Daniel Shin (10)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1" t="s">
        <v>2</v>
      </c>
      <c r="B144">
        <f>IFERROR(__xludf.DUMMYFUNCTION("{IMPORTRANGE(""1KRyI2c190uhOTF270Hsdzh1rgG565QIaE9TymteaGNY"",""Round 10!C32:H36""),IMPORTRANGE(""1KRyI2c190uhOTF270Hsdzh1rgG565QIaE9TymteaGNY"",""Round 10!M32:R36"")}"),20.0)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1">
        <v>15.0</v>
      </c>
      <c r="B145">
        <f>IFERROR(__xludf.DUMMYFUNCTION("""COMPUTED_VALUE"""),0.0)</f>
        <v>0</v>
      </c>
      <c r="C145">
        <f>IFERROR(__xludf.DUMMYFUNCTION("""COMPUTED_VALUE"""),0.0)</f>
        <v>0</v>
      </c>
      <c r="D145">
        <f>IFERROR(__xludf.DUMMYFUNCTION("""COMPUTED_VALUE"""),1.0)</f>
        <v>1</v>
      </c>
      <c r="E145">
        <f>IFERROR(__xludf.DUMMYFUNCTION("""COMPUTED_VALUE"""),1.0)</f>
        <v>1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1">
        <v>10.0</v>
      </c>
      <c r="B146">
        <f>IFERROR(__xludf.DUMMYFUNCTION("""COMPUTED_VALUE"""),0.0)</f>
        <v>0</v>
      </c>
      <c r="C146">
        <f>IFERROR(__xludf.DUMMYFUNCTION("""COMPUTED_VALUE"""),2.0)</f>
        <v>2</v>
      </c>
      <c r="D146">
        <f>IFERROR(__xludf.DUMMYFUNCTION("""COMPUTED_VALUE"""),4.0)</f>
        <v>4</v>
      </c>
      <c r="E146">
        <f>IFERROR(__xludf.DUMMYFUNCTION("""COMPUTED_VALUE"""),3.0)</f>
        <v>3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IFERROR(__xludf.DUMMYFUNCTION("""COMPUTED_VALUE"""),2.0)</f>
        <v>2</v>
      </c>
      <c r="I146">
        <f>IFERROR(__xludf.DUMMYFUNCTION("""COMPUTED_VALUE"""),1.0)</f>
        <v>1</v>
      </c>
      <c r="J146">
        <f>IFERROR(__xludf.DUMMYFUNCTION("""COMPUTED_VALUE"""),3.0)</f>
        <v>3</v>
      </c>
      <c r="K146">
        <f>IFERROR(__xludf.DUMMYFUNCTION("""COMPUTED_VALUE"""),1.0)</f>
        <v>1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1">
        <v>-5.0</v>
      </c>
      <c r="B147">
        <f>IFERROR(__xludf.DUMMYFUNCTION("""COMPUTED_VALUE"""),0.0)</f>
        <v>0</v>
      </c>
      <c r="C147">
        <f>IFERROR(__xludf.DUMMYFUNCTION("""COMPUTED_VALUE"""),0.0)</f>
        <v>0</v>
      </c>
      <c r="D147">
        <f>IFERROR(__xludf.DUMMYFUNCTION("""COMPUTED_VALUE"""),2.0)</f>
        <v>2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IFERROR(__xludf.DUMMYFUNCTION("""COMPUTED_VALUE"""),2.0)</f>
        <v>2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1" t="s">
        <v>3</v>
      </c>
      <c r="B148">
        <f>IFERROR(__xludf.DUMMYFUNCTION("""COMPUTED_VALUE"""),0.0)</f>
        <v>0</v>
      </c>
      <c r="C148">
        <f>IFERROR(__xludf.DUMMYFUNCTION("""COMPUTED_VALUE"""),20.0)</f>
        <v>20</v>
      </c>
      <c r="D148">
        <f>IFERROR(__xludf.DUMMYFUNCTION("""COMPUTED_VALUE"""),45.0)</f>
        <v>45</v>
      </c>
      <c r="E148">
        <f>IFERROR(__xludf.DUMMYFUNCTION("""COMPUTED_VALUE"""),45.0)</f>
        <v>45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IFERROR(__xludf.DUMMYFUNCTION("""COMPUTED_VALUE"""),20.0)</f>
        <v>20</v>
      </c>
      <c r="I148">
        <f>IFERROR(__xludf.DUMMYFUNCTION("""COMPUTED_VALUE"""),0.0)</f>
        <v>0</v>
      </c>
      <c r="J148">
        <f>IFERROR(__xludf.DUMMYFUNCTION("""COMPUTED_VALUE"""),30.0)</f>
        <v>30</v>
      </c>
      <c r="K148">
        <f>IFERROR(__xludf.DUMMYFUNCTION("""COMPUTED_VALUE"""),10.0)</f>
        <v>10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2" t="str">
        <f>IFERROR(__xludf.DUMMYFUNCTION("IMPORTRANGE(""1KRyI2c190uhOTF270Hsdzh1rgG565QIaE9TymteaGNY"",""Round 10!W1"")"),"Question: 21")</f>
        <v>Question: 21</v>
      </c>
      <c r="B149" s="3" t="s">
        <v>37</v>
      </c>
    </row>
    <row r="150">
      <c r="A150" s="2"/>
    </row>
    <row r="151">
      <c r="A151" s="1" t="s">
        <v>49</v>
      </c>
      <c r="B151" t="str">
        <f>IFERROR(__xludf.DUMMYFUNCTION("{IMPORTRANGE(""1zr0uYCpJ5izByVOUCsr6JXezthGEdLXnwOrjIKGx5XI"",""Round 10!C1:H3""),IMPORTRANGE(""1zr0uYCpJ5izByVOUCsr6JXezthGEdLXnwOrjIKGx5XI"",""Round 10!M1:R3"")}"),"Westview A (V)")</f>
        <v>Westview A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IFERROR(__xludf.DUMMYFUNCTION("""COMPUTED_VALUE"""),"Arcadia (V)")</f>
        <v>Arcadia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2" t="str">
        <f>IFERROR(__xludf.DUMMYFUNCTION("CONCAT(""A BP: "",IMPORTRANGE(""1zr0uYCpJ5izByVOUCsr6JXezthGEdLXnwOrjIKGx5XI"",""Round 10!I32""))"),"A BP: 290")</f>
        <v>A BP: 290</v>
      </c>
      <c r="B152" t="str">
        <f>IFERROR(__xludf.DUMMYFUNCTION("""COMPUTED_VALUE"""),"Score: 450")</f>
        <v>Score: 450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125")</f>
        <v>Score: 125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2" t="str">
        <f>IFERROR(__xludf.DUMMYFUNCTION("CONCAT(""B BP: "",IMPORTRANGE(""1zr0uYCpJ5izByVOUCsr6JXezthGEdLXnwOrjIKGx5XI"",""Round 10!S32""))"),"B BP: 80")</f>
        <v>B BP: 80</v>
      </c>
      <c r="B153" t="str">
        <f>IFERROR(__xludf.DUMMYFUNCTION("""COMPUTED_VALUE"""),"Shahar Schwartz (12)")</f>
        <v>Shahar Schwartz (12)</v>
      </c>
      <c r="C153" t="str">
        <f>IFERROR(__xludf.DUMMYFUNCTION("""COMPUTED_VALUE"""),"Junu Song (12)")</f>
        <v>Junu Song (12)</v>
      </c>
      <c r="D153" t="str">
        <f>IFERROR(__xludf.DUMMYFUNCTION("""COMPUTED_VALUE"""),"Daniel Jung (12)")</f>
        <v>Daniel Jung (12)</v>
      </c>
      <c r="E153" t="str">
        <f>IFERROR(__xludf.DUMMYFUNCTION("""COMPUTED_VALUE"""),"Gary Lin (11)")</f>
        <v>Gary Lin (11)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IFERROR(__xludf.DUMMYFUNCTION("""COMPUTED_VALUE"""),"Amogh Kulkarni (10)")</f>
        <v>Amogh Kulkarni (10)</v>
      </c>
      <c r="I153" t="str">
        <f>IFERROR(__xludf.DUMMYFUNCTION("""COMPUTED_VALUE"""),"Spencer Cheng (12)")</f>
        <v>Spencer Cheng (12)</v>
      </c>
      <c r="J153" t="str">
        <f>IFERROR(__xludf.DUMMYFUNCTION("""COMPUTED_VALUE"""),"Ryan Sun (10)")</f>
        <v>Ryan Sun (10)</v>
      </c>
      <c r="K153" t="str">
        <f>IFERROR(__xludf.DUMMYFUNCTION("""COMPUTED_VALUE"""),"Michael Kwok (10)")</f>
        <v>Michael Kwok (10)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1" t="s">
        <v>2</v>
      </c>
      <c r="B154">
        <f>IFERROR(__xludf.DUMMYFUNCTION("{IMPORTRANGE(""1zr0uYCpJ5izByVOUCsr6JXezthGEdLXnwOrjIKGx5XI"",""Round 10!C32:H36""),IMPORTRANGE(""1zr0uYCpJ5izByVOUCsr6JXezthGEdLXnwOrjIKGx5XI"",""Round 10!M32:R36"")}"),20.0)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1">
        <v>15.0</v>
      </c>
      <c r="B155">
        <f>IFERROR(__xludf.DUMMYFUNCTION("""COMPUTED_VALUE"""),6.0)</f>
        <v>6</v>
      </c>
      <c r="C155">
        <f>IFERROR(__xludf.DUMMYFUNCTION("""COMPUTED_VALUE"""),2.0)</f>
        <v>2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IFERROR(__xludf.DUMMYFUNCTION("""COMPUTED_VALUE"""),0.0)</f>
        <v>0</v>
      </c>
      <c r="I155">
        <f>IFERROR(__xludf.DUMMYFUNCTION("""COMPUTED_VALUE"""),2.0)</f>
        <v>2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1">
        <v>10.0</v>
      </c>
      <c r="B156">
        <f>IFERROR(__xludf.DUMMYFUNCTION("""COMPUTED_VALUE"""),2.0)</f>
        <v>2</v>
      </c>
      <c r="C156">
        <f>IFERROR(__xludf.DUMMYFUNCTION("""COMPUTED_VALUE"""),2.0)</f>
        <v>2</v>
      </c>
      <c r="D156">
        <f>IFERROR(__xludf.DUMMYFUNCTION("""COMPUTED_VALUE"""),2.0)</f>
        <v>2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IFERROR(__xludf.DUMMYFUNCTION("""COMPUTED_VALUE"""),1.0)</f>
        <v>1</v>
      </c>
      <c r="I156">
        <f>IFERROR(__xludf.DUMMYFUNCTION("""COMPUTED_VALUE"""),0.0)</f>
        <v>0</v>
      </c>
      <c r="J156">
        <f>IFERROR(__xludf.DUMMYFUNCTION("""COMPUTED_VALUE"""),1.0)</f>
        <v>1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1">
        <v>-5.0</v>
      </c>
      <c r="B157">
        <f>IFERROR(__xludf.DUMMYFUNCTION("""COMPUTED_VALUE"""),2.0)</f>
        <v>2</v>
      </c>
      <c r="C157">
        <f>IFERROR(__xludf.DUMMYFUNCTION("""COMPUTED_VALUE"""),2.0)</f>
        <v>2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IFERROR(__xludf.DUMMYFUNCTION("""COMPUTED_VALUE"""),0.0)</f>
        <v>0</v>
      </c>
      <c r="J157">
        <f>IFERROR(__xludf.DUMMYFUNCTION("""COMPUTED_VALUE"""),1.0)</f>
        <v>1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1" t="s">
        <v>3</v>
      </c>
      <c r="B158">
        <f>IFERROR(__xludf.DUMMYFUNCTION("""COMPUTED_VALUE"""),100.0)</f>
        <v>100</v>
      </c>
      <c r="C158">
        <f>IFERROR(__xludf.DUMMYFUNCTION("""COMPUTED_VALUE"""),40.0)</f>
        <v>40</v>
      </c>
      <c r="D158">
        <f>IFERROR(__xludf.DUMMYFUNCTION("""COMPUTED_VALUE"""),20.0)</f>
        <v>20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IFERROR(__xludf.DUMMYFUNCTION("""COMPUTED_VALUE"""),10.0)</f>
        <v>10</v>
      </c>
      <c r="I158">
        <f>IFERROR(__xludf.DUMMYFUNCTION("""COMPUTED_VALUE"""),30.0)</f>
        <v>30</v>
      </c>
      <c r="J158">
        <f>IFERROR(__xludf.DUMMYFUNCTION("""COMPUTED_VALUE"""),5.0)</f>
        <v>5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2" t="str">
        <f>IFERROR(__xludf.DUMMYFUNCTION("IMPORTRANGE(""1zr0uYCpJ5izByVOUCsr6JXezthGEdLXnwOrjIKGx5XI"",""Round 10!W1"")"),"Question: 21")</f>
        <v>Question: 21</v>
      </c>
      <c r="B159" s="3" t="s">
        <v>39</v>
      </c>
    </row>
    <row r="160">
      <c r="A160" s="2"/>
    </row>
    <row r="161">
      <c r="A161" s="1" t="s">
        <v>50</v>
      </c>
      <c r="B161" t="str">
        <f>IFERROR(__xludf.DUMMYFUNCTION("{IMPORTRANGE(""1TVrjNI5RE1VozIr906BhaTKMFP0VPx8aUGpyt_loukE"",""Round 10!C1:H3""),IMPORTRANGE(""1TVrjNI5RE1VozIr906BhaTKMFP0VPx8aUGpyt_loukE"",""Round 10!M1:R3"")}"),"Team A")</f>
        <v>Team A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IFERROR(__xludf.DUMMYFUNCTION("""COMPUTED_VALUE"""),"Team B")</f>
        <v>Team B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2" t="str">
        <f>IFERROR(__xludf.DUMMYFUNCTION("CONCAT(""A BP: "",IMPORTRANGE(""1TVrjNI5RE1VozIr906BhaTKMFP0VPx8aUGpyt_loukE"",""Round 10!I32""))"),"A BP: 0")</f>
        <v>A BP: 0</v>
      </c>
      <c r="B162" t="str">
        <f>IFERROR(__xludf.DUMMYFUNCTION("""COMPUTED_VALUE"""),"Score: 0")</f>
        <v>Score: 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0")</f>
        <v>Score: 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2" t="str">
        <f>IFERROR(__xludf.DUMMYFUNCTION("CONCAT(""B BP: "",IMPORTRANGE(""1TVrjNI5RE1VozIr906BhaTKMFP0VPx8aUGpyt_loukE"",""Round 10!S32""))"),"B BP: 0")</f>
        <v>B BP: 0</v>
      </c>
      <c r="B163" t="str">
        <f>IFERROR(__xludf.DUMMYFUNCTION("""COMPUTED_VALUE"""),"Player 1")</f>
        <v>Player 1</v>
      </c>
      <c r="C163" t="str">
        <f>IFERROR(__xludf.DUMMYFUNCTION("""COMPUTED_VALUE"""),"Player 2")</f>
        <v>Player 2</v>
      </c>
      <c r="D163" t="str">
        <f>IFERROR(__xludf.DUMMYFUNCTION("""COMPUTED_VALUE"""),"Player 3")</f>
        <v>Player 3</v>
      </c>
      <c r="E163" t="str">
        <f>IFERROR(__xludf.DUMMYFUNCTION("""COMPUTED_VALUE"""),"Player 4")</f>
        <v>Player 4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IFERROR(__xludf.DUMMYFUNCTION("""COMPUTED_VALUE"""),"Player 1")</f>
        <v>Player 1</v>
      </c>
      <c r="I163" t="str">
        <f>IFERROR(__xludf.DUMMYFUNCTION("""COMPUTED_VALUE"""),"Player 2")</f>
        <v>Player 2</v>
      </c>
      <c r="J163" t="str">
        <f>IFERROR(__xludf.DUMMYFUNCTION("""COMPUTED_VALUE"""),"Player 3")</f>
        <v>Player 3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1" t="s">
        <v>2</v>
      </c>
      <c r="B164">
        <f>IFERROR(__xludf.DUMMYFUNCTION("{IMPORTRANGE(""1TVrjNI5RE1VozIr906BhaTKMFP0VPx8aUGpyt_loukE"",""Round 10!C32:H36""),IMPORTRANGE(""1TVrjNI5RE1VozIr906BhaTKMFP0VPx8aUGpyt_loukE"",""Round 10!M32:R36"")}"),20.0)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1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1">
        <v>10.0</v>
      </c>
      <c r="B166">
        <f>IFERROR(__xludf.DUMMYFUNCTION("""COMPUTED_VALUE"""),0.0)</f>
        <v>0</v>
      </c>
      <c r="C166">
        <f>IFERROR(__xludf.DUMMYFUNCTION("""COMPUTED_VALUE"""),0.0)</f>
        <v>0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IFERROR(__xludf.DUMMYFUNCTION("""COMPUTED_VALUE"""),0.0)</f>
        <v>0</v>
      </c>
      <c r="I166">
        <f>IFERROR(__xludf.DUMMYFUNCTION("""COMPUTED_VALUE"""),0.0)</f>
        <v>0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1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IFERROR(__xludf.DUMMYFUNCTION("""COMPUTED_VALUE"""),0.0)</f>
        <v>0</v>
      </c>
      <c r="I167">
        <f>IFERROR(__xludf.DUMMYFUNCTION("""COMPUTED_VALUE"""),0.0)</f>
        <v>0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1" t="s">
        <v>3</v>
      </c>
      <c r="B168">
        <f>IFERROR(__xludf.DUMMYFUNCTION("""COMPUTED_VALUE"""),0.0)</f>
        <v>0</v>
      </c>
      <c r="C168">
        <f>IFERROR(__xludf.DUMMYFUNCTION("""COMPUTED_VALUE"""),0.0)</f>
        <v>0</v>
      </c>
      <c r="D168">
        <f>IFERROR(__xludf.DUMMYFUNCTION("""COMPUTED_VALUE"""),0.0)</f>
        <v>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IFERROR(__xludf.DUMMYFUNCTION("""COMPUTED_VALUE"""),0.0)</f>
        <v>0</v>
      </c>
      <c r="I168">
        <f>IFERROR(__xludf.DUMMYFUNCTION("""COMPUTED_VALUE"""),0.0)</f>
        <v>0</v>
      </c>
      <c r="J168">
        <f>IFERROR(__xludf.DUMMYFUNCTION("""COMPUTED_VALUE"""),0.0)</f>
        <v>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2" t="str">
        <f>IFERROR(__xludf.DUMMYFUNCTION("IMPORTRANGE(""1TVrjNI5RE1VozIr906BhaTKMFP0VPx8aUGpyt_loukE"",""Round 10!W1"")"),"Question: 1")</f>
        <v>Question: 1</v>
      </c>
      <c r="B169" s="3" t="s">
        <v>41</v>
      </c>
    </row>
    <row r="170">
      <c r="A170" s="2"/>
    </row>
    <row r="171">
      <c r="A171" s="1" t="s">
        <v>42</v>
      </c>
      <c r="B171" t="str">
        <f>IFERROR(__xludf.DUMMYFUNCTION("{IMPORTRANGE(""1xRz0po-ejgp-QRvMkY44z3u2CePgTccasdyrrVALbmE"",""Round 10!C1:H3""),IMPORTRANGE(""1xRz0po-ejgp-QRvMkY44z3u2CePgTccasdyrrVALbmE"",""Round 10!M1:R3"")}"),"Team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2" t="str">
        <f>IFERROR(__xludf.DUMMYFUNCTION("CONCAT(""A BP: "",IMPORTRANGE(""1xRz0po-ejgp-QRvMkY44z3u2CePgTccasdyrrVALbmE"",""Round 10!I32""))"),"A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2" t="str">
        <f>IFERROR(__xludf.DUMMYFUNCTION("CONCAT(""B BP: "",IMPORTRANGE(""1xRz0po-ejgp-QRvMkY44z3u2CePgTccasdyrrVALbmE"",""Round 10!S32""))"),"B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1" t="s">
        <v>2</v>
      </c>
      <c r="B174">
        <f>IFERROR(__xludf.DUMMYFUNCTION("{IMPORTRANGE(""1xRz0po-ejgp-QRvMkY44z3u2CePgTccasdyrrVALbmE"",""Round 10!C32:H36""),IMPORTRANGE(""1xRz0po-ejgp-QRvMkY44z3u2CePgTccasdyrrVALbmE"",""Round 10!M32:R36"")}"),20.0)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1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1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1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1" t="s">
        <v>3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2" t="str">
        <f>IFERROR(__xludf.DUMMYFUNCTION("IMPORTRANGE(""1xRz0po-ejgp-QRvMkY44z3u2CePgTccasdyrrVALbmE"",""Round 10!W1"")"),"Question: 1")</f>
        <v>Question: 1</v>
      </c>
      <c r="B179" s="3" t="s">
        <v>43</v>
      </c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 t="s">
        <v>0</v>
      </c>
      <c r="B1" t="str">
        <f>IFERROR(__xludf.DUMMYFUNCTION("{IMPORTRANGE(""1JXwZ4AjXctyKvWy9qFKCX518NRYJYhSX9Jii0HPBCUs"",""Round 11!C1:H3""),IMPORTRANGE(""1JXwZ4AjXctyKvWy9qFKCX518NRYJYhSX9Jii0HPBCUs"",""Round 11!M1:R3"")}"),"Westview C (JV)")</f>
        <v>Westview C (JV)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IFERROR(__xludf.DUMMYFUNCTION("""COMPUTED_VALUE"""),"Oak Valley A (JV)")</f>
        <v>Oak Valley A (JV)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2" t="str">
        <f>IFERROR(__xludf.DUMMYFUNCTION("CONCAT(""A BP: "",IMPORTRANGE(""1JXwZ4AjXctyKvWy9qFKCX518NRYJYhSX9Jii0HPBCUs"",""Round 11!I32""))"),"A BP: 180")</f>
        <v>A BP: 180</v>
      </c>
      <c r="B2" t="str">
        <f>IFERROR(__xludf.DUMMYFUNCTION("""COMPUTED_VALUE"""),"Score: 245")</f>
        <v>Score: 245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420")</f>
        <v>Score: 420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2" t="str">
        <f>IFERROR(__xludf.DUMMYFUNCTION("CONCAT(""B BP: "",IMPORTRANGE(""1JXwZ4AjXctyKvWy9qFKCX518NRYJYhSX9Jii0HPBCUs"",""Round 11!S32""))"),"B BP: 290")</f>
        <v>B BP: 290</v>
      </c>
      <c r="B3" t="str">
        <f>IFERROR(__xludf.DUMMYFUNCTION("""COMPUTED_VALUE"""),"Rohan Kumar (11)")</f>
        <v>Rohan Kumar (11)</v>
      </c>
      <c r="C3" t="str">
        <f>IFERROR(__xludf.DUMMYFUNCTION("""COMPUTED_VALUE"""),"Aiken Wang (9)")</f>
        <v>Aiken Wang (9)</v>
      </c>
      <c r="D3" t="str">
        <f>IFERROR(__xludf.DUMMYFUNCTION("""COMPUTED_VALUE"""),"Radhika Sreelal (10)")</f>
        <v>Radhika Sreelal (10)</v>
      </c>
      <c r="E3" t="str">
        <f>IFERROR(__xludf.DUMMYFUNCTION("""COMPUTED_VALUE"""),"Jonathan D.")</f>
        <v>Jonathan D.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IFERROR(__xludf.DUMMYFUNCTION("""COMPUTED_VALUE"""),"Conner Feng (8)")</f>
        <v>Conner Feng (8)</v>
      </c>
      <c r="I3" t="str">
        <f>IFERROR(__xludf.DUMMYFUNCTION("""COMPUTED_VALUE"""),"Jadon Pandian (7)")</f>
        <v>Jadon Pandian (7)</v>
      </c>
      <c r="J3" t="str">
        <f>IFERROR(__xludf.DUMMYFUNCTION("""COMPUTED_VALUE"""),"Jonas Brown (7)")</f>
        <v>Jonas Brown (7)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1" t="s">
        <v>2</v>
      </c>
      <c r="B4">
        <f>IFERROR(__xludf.DUMMYFUNCTION("{IMPORTRANGE(""1JXwZ4AjXctyKvWy9qFKCX518NRYJYhSX9Jii0HPBCUs"",""Round 11!C32:H36""),IMPORTRANGE(""1JXwZ4AjXctyKvWy9qFKCX518NRYJYhSX9Jii0HPBCUs"",""Round 11!M32:R36"")}"),20.0)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1">
        <v>15.0</v>
      </c>
      <c r="B5">
        <f>IFERROR(__xludf.DUMMYFUNCTION("""COMPUTED_VALUE"""),0.0)</f>
        <v>0</v>
      </c>
      <c r="C5">
        <f>IFERROR(__xludf.DUMMYFUNCTION("""COMPUTED_VALUE"""),1.0)</f>
        <v>1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IFERROR(__xludf.DUMMYFUNCTION("""COMPUTED_VALUE"""),1.0)</f>
        <v>1</v>
      </c>
      <c r="I5">
        <f>IFERROR(__xludf.DUMMYFUNCTION("""COMPUTED_VALUE"""),0.0)</f>
        <v>0</v>
      </c>
      <c r="J5">
        <f>IFERROR(__xludf.DUMMYFUNCTION("""COMPUTED_VALUE"""),1.0)</f>
        <v>1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1">
        <v>10.0</v>
      </c>
      <c r="B6">
        <f>IFERROR(__xludf.DUMMYFUNCTION("""COMPUTED_VALUE"""),3.0)</f>
        <v>3</v>
      </c>
      <c r="C6">
        <f>IFERROR(__xludf.DUMMYFUNCTION("""COMPUTED_VALUE"""),2.0)</f>
        <v>2</v>
      </c>
      <c r="D6">
        <f>IFERROR(__xludf.DUMMYFUNCTION("""COMPUTED_VALUE"""),0.0)</f>
        <v>0</v>
      </c>
      <c r="E6">
        <f>IFERROR(__xludf.DUMMYFUNCTION("""COMPUTED_VALUE"""),1.0)</f>
        <v>1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IFERROR(__xludf.DUMMYFUNCTION("""COMPUTED_VALUE"""),9.0)</f>
        <v>9</v>
      </c>
      <c r="I6">
        <f>IFERROR(__xludf.DUMMYFUNCTION("""COMPUTED_VALUE"""),0.0)</f>
        <v>0</v>
      </c>
      <c r="J6">
        <f>IFERROR(__xludf.DUMMYFUNCTION("""COMPUTED_VALUE"""),1.0)</f>
        <v>1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1">
        <v>-5.0</v>
      </c>
      <c r="B7">
        <f>IFERROR(__xludf.DUMMYFUNCTION("""COMPUTED_VALUE"""),1.0)</f>
        <v>1</v>
      </c>
      <c r="C7">
        <f>IFERROR(__xludf.DUMMYFUNCTION("""COMPUTED_VALUE"""),0.0)</f>
        <v>0</v>
      </c>
      <c r="D7">
        <f>IFERROR(__xludf.DUMMYFUNCTION("""COMPUTED_VALUE"""),1.0)</f>
        <v>1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1" t="s">
        <v>3</v>
      </c>
      <c r="B8">
        <f>IFERROR(__xludf.DUMMYFUNCTION("""COMPUTED_VALUE"""),25.0)</f>
        <v>25</v>
      </c>
      <c r="C8">
        <f>IFERROR(__xludf.DUMMYFUNCTION("""COMPUTED_VALUE"""),35.0)</f>
        <v>35</v>
      </c>
      <c r="D8">
        <f>IFERROR(__xludf.DUMMYFUNCTION("""COMPUTED_VALUE"""),-5.0)</f>
        <v>-5</v>
      </c>
      <c r="E8">
        <f>IFERROR(__xludf.DUMMYFUNCTION("""COMPUTED_VALUE"""),10.0)</f>
        <v>10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IFERROR(__xludf.DUMMYFUNCTION("""COMPUTED_VALUE"""),105.0)</f>
        <v>105</v>
      </c>
      <c r="I8">
        <f>IFERROR(__xludf.DUMMYFUNCTION("""COMPUTED_VALUE"""),0.0)</f>
        <v>0</v>
      </c>
      <c r="J8">
        <f>IFERROR(__xludf.DUMMYFUNCTION("""COMPUTED_VALUE"""),25.0)</f>
        <v>25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2" t="str">
        <f>IFERROR(__xludf.DUMMYFUNCTION("IMPORTRANGE(""1JXwZ4AjXctyKvWy9qFKCX518NRYJYhSX9Jii0HPBCUs"",""Round 11!W1"")"),"Question: 21")</f>
        <v>Question: 21</v>
      </c>
      <c r="B9" s="3" t="s">
        <v>4</v>
      </c>
    </row>
    <row r="10">
      <c r="A10" s="1"/>
    </row>
    <row r="11">
      <c r="A11" s="1" t="s">
        <v>5</v>
      </c>
      <c r="B11" t="str">
        <f>IFERROR(__xludf.DUMMYFUNCTION("{IMPORTRANGE(""1GBDUn_ZojNLX5OJCVBEhvJbdm0c55Z7lPcE4L6WH89o"",""Round 11!C1:H3""),IMPORTRANGE(""1GBDUn_ZojNLX5OJCVBEhvJbdm0c55Z7lPcE4L6WH89o"",""Round 11!M1:R3"")}"),"Team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2" t="str">
        <f>IFERROR(__xludf.DUMMYFUNCTION("CONCAT(""A BP: "",IMPORTRANGE(""1GBDUn_ZojNLX5OJCVBEhvJbdm0c55Z7lPcE4L6WH89o"",""Round 11!I32""))"),"A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2" t="str">
        <f>IFERROR(__xludf.DUMMYFUNCTION("CONCAT(""B BP: "",IMPORTRANGE(""1GBDUn_ZojNLX5OJCVBEhvJbdm0c55Z7lPcE4L6WH89o"",""Round 11!S32""))"),"B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1" t="s">
        <v>2</v>
      </c>
      <c r="B14">
        <f>IFERROR(__xludf.DUMMYFUNCTION("{IMPORTRANGE(""1GBDUn_ZojNLX5OJCVBEhvJbdm0c55Z7lPcE4L6WH89o"",""Round 11!C32:H36""),IMPORTRANGE(""1GBDUn_ZojNLX5OJCVBEhvJbdm0c55Z7lPcE4L6WH89o"",""Round 11!M32:R36"")}"),20.0)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1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1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1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1" t="s">
        <v>3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2" t="str">
        <f>IFERROR(__xludf.DUMMYFUNCTION("IMPORTRANGE(""1GBDUn_ZojNLX5OJCVBEhvJbdm0c55Z7lPcE4L6WH89o"",""Round 11!W1"")"),"Question: 1")</f>
        <v>Question: 1</v>
      </c>
      <c r="B19" s="3" t="s">
        <v>6</v>
      </c>
    </row>
    <row r="20">
      <c r="A20" s="2"/>
    </row>
    <row r="21">
      <c r="A21" s="1" t="s">
        <v>7</v>
      </c>
      <c r="B21" t="str">
        <f>IFERROR(__xludf.DUMMYFUNCTION("{IMPORTRANGE(""19Dum1qlL_dEwf1AEniLf02Eg9XaNXi1GMkI5M4_Ei6w"",""Round 11!C1:H3""),IMPORTRANGE(""19Dum1qlL_dEwf1AEniLf02Eg9XaNXi1GMkI5M4_Ei6w"",""Round 11!M1:R3"")}"),"Team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2" t="str">
        <f>IFERROR(__xludf.DUMMYFUNCTION("CONCAT(""A BP: "",IMPORTRANGE(""19Dum1qlL_dEwf1AEniLf02Eg9XaNXi1GMkI5M4_Ei6w"",""Round 11!I32""))"),"A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2" t="str">
        <f>IFERROR(__xludf.DUMMYFUNCTION("CONCAT(""B BP: "",IMPORTRANGE(""19Dum1qlL_dEwf1AEniLf02Eg9XaNXi1GMkI5M4_Ei6w"",""Round 11!S32""))"),"B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1" t="s">
        <v>2</v>
      </c>
      <c r="B24">
        <f>IFERROR(__xludf.DUMMYFUNCTION("{IMPORTRANGE(""19Dum1qlL_dEwf1AEniLf02Eg9XaNXi1GMkI5M4_Ei6w"",""Round 11!C32:H36""),IMPORTRANGE(""19Dum1qlL_dEwf1AEniLf02Eg9XaNXi1GMkI5M4_Ei6w"",""Round 11!M32:R36"")}"),20.0)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1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1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1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1" t="s">
        <v>3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2" t="str">
        <f>IFERROR(__xludf.DUMMYFUNCTION("IMPORTRANGE(""19Dum1qlL_dEwf1AEniLf02Eg9XaNXi1GMkI5M4_Ei6w"",""Round 11!W1"")"),"Question: 1")</f>
        <v>Question: 1</v>
      </c>
      <c r="B29" s="3" t="s">
        <v>8</v>
      </c>
    </row>
    <row r="30">
      <c r="A30" s="2"/>
    </row>
    <row r="31">
      <c r="A31" s="1" t="s">
        <v>44</v>
      </c>
      <c r="B31" t="str">
        <f>IFERROR(__xludf.DUMMYFUNCTION("{IMPORTRANGE(""18KjuM_F6goZYnozVb7folIb5Hw_mfKQrNdVWKGx6j4s"",""Round 11!C1:H3""),IMPORTRANGE(""18KjuM_F6goZYnozVb7folIb5Hw_mfKQrNdVWKGx6j4s"",""Round 11!M1:R3"")}"),"Team A")</f>
        <v>Team A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IFERROR(__xludf.DUMMYFUNCTION("""COMPUTED_VALUE"""),"Team B")</f>
        <v>Team B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2" t="str">
        <f>IFERROR(__xludf.DUMMYFUNCTION("CONCAT(""A BP: "",IMPORTRANGE(""18KjuM_F6goZYnozVb7folIb5Hw_mfKQrNdVWKGx6j4s"",""Round 11!I32""))"),"A BP: 0")</f>
        <v>A BP: 0</v>
      </c>
      <c r="B32" t="str">
        <f>IFERROR(__xludf.DUMMYFUNCTION("""COMPUTED_VALUE"""),"Score: 0")</f>
        <v>Score: 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0")</f>
        <v>Score: 0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2" t="str">
        <f>IFERROR(__xludf.DUMMYFUNCTION("CONCAT(""B BP: "",IMPORTRANGE(""18KjuM_F6goZYnozVb7folIb5Hw_mfKQrNdVWKGx6j4s"",""Round 11!S32""))"),"B BP: 0")</f>
        <v>B BP: 0</v>
      </c>
      <c r="B33" t="str">
        <f>IFERROR(__xludf.DUMMYFUNCTION("""COMPUTED_VALUE"""),"Player 1")</f>
        <v>Player 1</v>
      </c>
      <c r="C33" t="str">
        <f>IFERROR(__xludf.DUMMYFUNCTION("""COMPUTED_VALUE"""),"Player 2")</f>
        <v>Player 2</v>
      </c>
      <c r="D33" t="str">
        <f>IFERROR(__xludf.DUMMYFUNCTION("""COMPUTED_VALUE"""),"Player 3")</f>
        <v>Player 3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IFERROR(__xludf.DUMMYFUNCTION("""COMPUTED_VALUE"""),"Player 1")</f>
        <v>Player 1</v>
      </c>
      <c r="I33" t="str">
        <f>IFERROR(__xludf.DUMMYFUNCTION("""COMPUTED_VALUE"""),"Player 2")</f>
        <v>Player 2</v>
      </c>
      <c r="J33" t="str">
        <f>IFERROR(__xludf.DUMMYFUNCTION("""COMPUTED_VALUE"""),"Player 3")</f>
        <v>Player 3</v>
      </c>
      <c r="K33" t="str">
        <f>IFERROR(__xludf.DUMMYFUNCTION("""COMPUTED_VALUE"""),"Player 4")</f>
        <v>Player 4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1" t="s">
        <v>2</v>
      </c>
      <c r="B34">
        <f>IFERROR(__xludf.DUMMYFUNCTION("{IMPORTRANGE(""18KjuM_F6goZYnozVb7folIb5Hw_mfKQrNdVWKGx6j4s"",""Round 11!C32:H36""),IMPORTRANGE(""18KjuM_F6goZYnozVb7folIb5Hw_mfKQrNdVWKGx6j4s"",""Round 11!M32:R36"")}"),20.0)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1">
        <v>15.0</v>
      </c>
      <c r="B35">
        <f>IFERROR(__xludf.DUMMYFUNCTION("""COMPUTED_VALUE"""),0.0)</f>
        <v>0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IFERROR(__xludf.DUMMYFUNCTION("""COMPUTED_VALUE"""),0.0)</f>
        <v>0</v>
      </c>
      <c r="J35">
        <f>IFERROR(__xludf.DUMMYFUNCTION("""COMPUTED_VALUE"""),0.0)</f>
        <v>0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1">
        <v>10.0</v>
      </c>
      <c r="B36">
        <f>IFERROR(__xludf.DUMMYFUNCTION("""COMPUTED_VALUE"""),0.0)</f>
        <v>0</v>
      </c>
      <c r="C36">
        <f>IFERROR(__xludf.DUMMYFUNCTION("""COMPUTED_VALUE"""),0.0)</f>
        <v>0</v>
      </c>
      <c r="D36">
        <f>IFERROR(__xludf.DUMMYFUNCTION("""COMPUTED_VALUE"""),0.0)</f>
        <v>0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IFERROR(__xludf.DUMMYFUNCTION("""COMPUTED_VALUE"""),0.0)</f>
        <v>0</v>
      </c>
      <c r="I36">
        <f>IFERROR(__xludf.DUMMYFUNCTION("""COMPUTED_VALUE"""),0.0)</f>
        <v>0</v>
      </c>
      <c r="J36">
        <f>IFERROR(__xludf.DUMMYFUNCTION("""COMPUTED_VALUE"""),0.0)</f>
        <v>0</v>
      </c>
      <c r="K36">
        <f>IFERROR(__xludf.DUMMYFUNCTION("""COMPUTED_VALUE"""),0.0)</f>
        <v>0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1">
        <v>-5.0</v>
      </c>
      <c r="B37">
        <f>IFERROR(__xludf.DUMMYFUNCTION("""COMPUTED_VALUE"""),0.0)</f>
        <v>0</v>
      </c>
      <c r="C37">
        <f>IFERROR(__xludf.DUMMYFUNCTION("""COMPUTED_VALUE"""),0.0)</f>
        <v>0</v>
      </c>
      <c r="D37">
        <f>IFERROR(__xludf.DUMMYFUNCTION("""COMPUTED_VALUE"""),0.0)</f>
        <v>0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IFERROR(__xludf.DUMMYFUNCTION("""COMPUTED_VALUE"""),0.0)</f>
        <v>0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1" t="s">
        <v>3</v>
      </c>
      <c r="B38">
        <f>IFERROR(__xludf.DUMMYFUNCTION("""COMPUTED_VALUE"""),0.0)</f>
        <v>0</v>
      </c>
      <c r="C38">
        <f>IFERROR(__xludf.DUMMYFUNCTION("""COMPUTED_VALUE"""),0.0)</f>
        <v>0</v>
      </c>
      <c r="D38">
        <f>IFERROR(__xludf.DUMMYFUNCTION("""COMPUTED_VALUE"""),0.0)</f>
        <v>0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IFERROR(__xludf.DUMMYFUNCTION("""COMPUTED_VALUE"""),0.0)</f>
        <v>0</v>
      </c>
      <c r="I38">
        <f>IFERROR(__xludf.DUMMYFUNCTION("""COMPUTED_VALUE"""),0.0)</f>
        <v>0</v>
      </c>
      <c r="J38">
        <f>IFERROR(__xludf.DUMMYFUNCTION("""COMPUTED_VALUE"""),0.0)</f>
        <v>0</v>
      </c>
      <c r="K38">
        <f>IFERROR(__xludf.DUMMYFUNCTION("""COMPUTED_VALUE"""),0.0)</f>
        <v>0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2" t="str">
        <f>IFERROR(__xludf.DUMMYFUNCTION("IMPORTRANGE(""18KjuM_F6goZYnozVb7folIb5Hw_mfKQrNdVWKGx6j4s"",""Round 11!W1"")"),"Question: 1")</f>
        <v>Question: 1</v>
      </c>
      <c r="B39" s="3" t="s">
        <v>10</v>
      </c>
    </row>
    <row r="40">
      <c r="A40" s="2"/>
    </row>
    <row r="41">
      <c r="A41" s="1" t="s">
        <v>12</v>
      </c>
      <c r="B41" t="str">
        <f>IFERROR(__xludf.DUMMYFUNCTION("{IMPORTRANGE(""1_YEY20HiFjspjicPICCMlL_lQXsksdB6d3m5vzHwuOI"",""Round 11!C1:H3""),IMPORTRANGE(""1_YEY20HiFjspjicPICCMlL_lQXsksdB6d3m5vzHwuOI"",""Round 11!M1:R3"")}"),"Team A")</f>
        <v>Team A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IFERROR(__xludf.DUMMYFUNCTION("""COMPUTED_VALUE"""),"Team B")</f>
        <v>Team B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2" t="str">
        <f>IFERROR(__xludf.DUMMYFUNCTION("CONCAT(""A BP: "",IMPORTRANGE(""1_YEY20HiFjspjicPICCMlL_lQXsksdB6d3m5vzHwuOI"",""Round 11!I32""))"),"A BP: 0")</f>
        <v>A BP: 0</v>
      </c>
      <c r="B42" t="str">
        <f>IFERROR(__xludf.DUMMYFUNCTION("""COMPUTED_VALUE"""),"Score: 0")</f>
        <v>Score: 0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0")</f>
        <v>Score: 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2" t="str">
        <f>IFERROR(__xludf.DUMMYFUNCTION("CONCAT(""B BP: "",IMPORTRANGE(""1_YEY20HiFjspjicPICCMlL_lQXsksdB6d3m5vzHwuOI"",""Round 11!S32""))"),"B BP: 0")</f>
        <v>B BP: 0</v>
      </c>
      <c r="B43" t="str">
        <f>IFERROR(__xludf.DUMMYFUNCTION("""COMPUTED_VALUE"""),"Player 1")</f>
        <v>Player 1</v>
      </c>
      <c r="C43" t="str">
        <f>IFERROR(__xludf.DUMMYFUNCTION("""COMPUTED_VALUE"""),"Player 2")</f>
        <v>Player 2</v>
      </c>
      <c r="D43" t="str">
        <f>IFERROR(__xludf.DUMMYFUNCTION("""COMPUTED_VALUE"""),"Player 3")</f>
        <v>Player 3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IFERROR(__xludf.DUMMYFUNCTION("""COMPUTED_VALUE"""),"Player 1")</f>
        <v>Player 1</v>
      </c>
      <c r="I43" t="str">
        <f>IFERROR(__xludf.DUMMYFUNCTION("""COMPUTED_VALUE"""),"Player 2")</f>
        <v>Player 2</v>
      </c>
      <c r="J43" t="str">
        <f>IFERROR(__xludf.DUMMYFUNCTION("""COMPUTED_VALUE"""),"Player 3")</f>
        <v>Player 3</v>
      </c>
      <c r="K43" t="str">
        <f>IFERROR(__xludf.DUMMYFUNCTION("""COMPUTED_VALUE"""),"Player 4")</f>
        <v>Player 4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1" t="s">
        <v>2</v>
      </c>
      <c r="B44">
        <f>IFERROR(__xludf.DUMMYFUNCTION("{IMPORTRANGE(""1_YEY20HiFjspjicPICCMlL_lQXsksdB6d3m5vzHwuOI"",""Round 11!C32:H36""),IMPORTRANGE(""1_YEY20HiFjspjicPICCMlL_lQXsksdB6d3m5vzHwuOI"",""Round 11!M32:R36"")}"),20.0)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1">
        <v>15.0</v>
      </c>
      <c r="B45">
        <f>IFERROR(__xludf.DUMMYFUNCTION("""COMPUTED_VALUE"""),0.0)</f>
        <v>0</v>
      </c>
      <c r="C45">
        <f>IFERROR(__xludf.DUMMYFUNCTION("""COMPUTED_VALUE"""),0.0)</f>
        <v>0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IFERROR(__xludf.DUMMYFUNCTION("""COMPUTED_VALUE"""),0.0)</f>
        <v>0</v>
      </c>
      <c r="I45">
        <f>IFERROR(__xludf.DUMMYFUNCTION("""COMPUTED_VALUE"""),0.0)</f>
        <v>0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1">
        <v>10.0</v>
      </c>
      <c r="B46">
        <f>IFERROR(__xludf.DUMMYFUNCTION("""COMPUTED_VALUE"""),0.0)</f>
        <v>0</v>
      </c>
      <c r="C46">
        <f>IFERROR(__xludf.DUMMYFUNCTION("""COMPUTED_VALUE"""),0.0)</f>
        <v>0</v>
      </c>
      <c r="D46">
        <f>IFERROR(__xludf.DUMMYFUNCTION("""COMPUTED_VALUE"""),0.0)</f>
        <v>0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IFERROR(__xludf.DUMMYFUNCTION("""COMPUTED_VALUE"""),0.0)</f>
        <v>0</v>
      </c>
      <c r="I46">
        <f>IFERROR(__xludf.DUMMYFUNCTION("""COMPUTED_VALUE"""),0.0)</f>
        <v>0</v>
      </c>
      <c r="J46">
        <f>IFERROR(__xludf.DUMMYFUNCTION("""COMPUTED_VALUE"""),0.0)</f>
        <v>0</v>
      </c>
      <c r="K46">
        <f>IFERROR(__xludf.DUMMYFUNCTION("""COMPUTED_VALUE"""),0.0)</f>
        <v>0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1">
        <v>-5.0</v>
      </c>
      <c r="B47">
        <f>IFERROR(__xludf.DUMMYFUNCTION("""COMPUTED_VALUE"""),0.0)</f>
        <v>0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1" t="s">
        <v>3</v>
      </c>
      <c r="B48">
        <f>IFERROR(__xludf.DUMMYFUNCTION("""COMPUTED_VALUE"""),0.0)</f>
        <v>0</v>
      </c>
      <c r="C48">
        <f>IFERROR(__xludf.DUMMYFUNCTION("""COMPUTED_VALUE"""),0.0)</f>
        <v>0</v>
      </c>
      <c r="D48">
        <f>IFERROR(__xludf.DUMMYFUNCTION("""COMPUTED_VALUE"""),0.0)</f>
        <v>0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IFERROR(__xludf.DUMMYFUNCTION("""COMPUTED_VALUE"""),0.0)</f>
        <v>0</v>
      </c>
      <c r="I48">
        <f>IFERROR(__xludf.DUMMYFUNCTION("""COMPUTED_VALUE"""),0.0)</f>
        <v>0</v>
      </c>
      <c r="J48">
        <f>IFERROR(__xludf.DUMMYFUNCTION("""COMPUTED_VALUE"""),0.0)</f>
        <v>0</v>
      </c>
      <c r="K48">
        <f>IFERROR(__xludf.DUMMYFUNCTION("""COMPUTED_VALUE"""),0.0)</f>
        <v>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2" t="str">
        <f>IFERROR(__xludf.DUMMYFUNCTION("IMPORTRANGE(""1_YEY20HiFjspjicPICCMlL_lQXsksdB6d3m5vzHwuOI"",""Round 11!W1"")"),"Question: 1")</f>
        <v>Question: 1</v>
      </c>
      <c r="B49" s="3" t="s">
        <v>13</v>
      </c>
    </row>
    <row r="50">
      <c r="A50" s="2"/>
    </row>
    <row r="51">
      <c r="A51" s="1" t="s">
        <v>15</v>
      </c>
      <c r="B51" t="str">
        <f>IFERROR(__xludf.DUMMYFUNCTION("{IMPORTRANGE(""1SYS5Ef48991ZUgqcGqj51eX2YgqKCzfrEZ_pUY01Lwo"",""Round 11!C1:H3""),IMPORTRANGE(""1SYS5Ef48991ZUgqcGqj51eX2YgqKCzfrEZ_pUY01Lwo"",""Round 11!M1:R3"")}"),"Team A")</f>
        <v>Team A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IFERROR(__xludf.DUMMYFUNCTION("""COMPUTED_VALUE"""),"Team B")</f>
        <v>Team B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2" t="str">
        <f>IFERROR(__xludf.DUMMYFUNCTION("CONCAT(""A BP: "",IMPORTRANGE(""1SYS5Ef48991ZUgqcGqj51eX2YgqKCzfrEZ_pUY01Lwo"",""Round 11!I32""))"),"A BP: 0")</f>
        <v>A BP: 0</v>
      </c>
      <c r="B52" t="str">
        <f>IFERROR(__xludf.DUMMYFUNCTION("""COMPUTED_VALUE"""),"Score: 0")</f>
        <v>Score: 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0")</f>
        <v>Score: 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2" t="str">
        <f>IFERROR(__xludf.DUMMYFUNCTION("CONCAT(""B BP: "",IMPORTRANGE(""1SYS5Ef48991ZUgqcGqj51eX2YgqKCzfrEZ_pUY01Lwo"",""Round 11!S32""))"),"B BP: 0")</f>
        <v>B BP: 0</v>
      </c>
      <c r="B53" t="str">
        <f>IFERROR(__xludf.DUMMYFUNCTION("""COMPUTED_VALUE"""),"Player 1")</f>
        <v>Player 1</v>
      </c>
      <c r="C53" t="str">
        <f>IFERROR(__xludf.DUMMYFUNCTION("""COMPUTED_VALUE"""),"Player 2")</f>
        <v>Player 2</v>
      </c>
      <c r="D53" t="str">
        <f>IFERROR(__xludf.DUMMYFUNCTION("""COMPUTED_VALUE"""),"Player 3")</f>
        <v>Player 3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IFERROR(__xludf.DUMMYFUNCTION("""COMPUTED_VALUE"""),"Player 1")</f>
        <v>Player 1</v>
      </c>
      <c r="I53" t="str">
        <f>IFERROR(__xludf.DUMMYFUNCTION("""COMPUTED_VALUE"""),"Player 2")</f>
        <v>Player 2</v>
      </c>
      <c r="J53" t="str">
        <f>IFERROR(__xludf.DUMMYFUNCTION("""COMPUTED_VALUE"""),"Player 3")</f>
        <v>Player 3</v>
      </c>
      <c r="K53" t="str">
        <f>IFERROR(__xludf.DUMMYFUNCTION("""COMPUTED_VALUE"""),"Player 4")</f>
        <v>Player 4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1" t="s">
        <v>2</v>
      </c>
      <c r="B54">
        <f>IFERROR(__xludf.DUMMYFUNCTION("{IMPORTRANGE(""1SYS5Ef48991ZUgqcGqj51eX2YgqKCzfrEZ_pUY01Lwo"",""Round 11!C32:H36""),IMPORTRANGE(""1SYS5Ef48991ZUgqcGqj51eX2YgqKCzfrEZ_pUY01Lwo"",""Round 11!M32:R36"")}"),20.0)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1">
        <v>15.0</v>
      </c>
      <c r="B55">
        <f>IFERROR(__xludf.DUMMYFUNCTION("""COMPUTED_VALUE"""),0.0)</f>
        <v>0</v>
      </c>
      <c r="C55">
        <f>IFERROR(__xludf.DUMMYFUNCTION("""COMPUTED_VALUE"""),0.0)</f>
        <v>0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IFERROR(__xludf.DUMMYFUNCTION("""COMPUTED_VALUE"""),0.0)</f>
        <v>0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1">
        <v>10.0</v>
      </c>
      <c r="B56">
        <f>IFERROR(__xludf.DUMMYFUNCTION("""COMPUTED_VALUE"""),0.0)</f>
        <v>0</v>
      </c>
      <c r="C56">
        <f>IFERROR(__xludf.DUMMYFUNCTION("""COMPUTED_VALUE"""),0.0)</f>
        <v>0</v>
      </c>
      <c r="D56">
        <f>IFERROR(__xludf.DUMMYFUNCTION("""COMPUTED_VALUE"""),0.0)</f>
        <v>0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IFERROR(__xludf.DUMMYFUNCTION("""COMPUTED_VALUE"""),0.0)</f>
        <v>0</v>
      </c>
      <c r="I56">
        <f>IFERROR(__xludf.DUMMYFUNCTION("""COMPUTED_VALUE"""),0.0)</f>
        <v>0</v>
      </c>
      <c r="J56">
        <f>IFERROR(__xludf.DUMMYFUNCTION("""COMPUTED_VALUE"""),0.0)</f>
        <v>0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1">
        <v>-5.0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IFERROR(__xludf.DUMMYFUNCTION("""COMPUTED_VALUE"""),0.0)</f>
        <v>0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1" t="s">
        <v>3</v>
      </c>
      <c r="B58">
        <f>IFERROR(__xludf.DUMMYFUNCTION("""COMPUTED_VALUE"""),0.0)</f>
        <v>0</v>
      </c>
      <c r="C58">
        <f>IFERROR(__xludf.DUMMYFUNCTION("""COMPUTED_VALUE"""),0.0)</f>
        <v>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IFERROR(__xludf.DUMMYFUNCTION("""COMPUTED_VALUE"""),0.0)</f>
        <v>0</v>
      </c>
      <c r="I58">
        <f>IFERROR(__xludf.DUMMYFUNCTION("""COMPUTED_VALUE"""),0.0)</f>
        <v>0</v>
      </c>
      <c r="J58">
        <f>IFERROR(__xludf.DUMMYFUNCTION("""COMPUTED_VALUE"""),0.0)</f>
        <v>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2" t="str">
        <f>IFERROR(__xludf.DUMMYFUNCTION("IMPORTRANGE(""1SYS5Ef48991ZUgqcGqj51eX2YgqKCzfrEZ_pUY01Lwo"",""Round 11!W1"")"),"Question: 1")</f>
        <v>Question: 1</v>
      </c>
      <c r="B59" s="3" t="s">
        <v>16</v>
      </c>
    </row>
    <row r="60">
      <c r="A60" s="2"/>
    </row>
    <row r="61">
      <c r="A61" s="1" t="s">
        <v>17</v>
      </c>
      <c r="B61" t="str">
        <f>IFERROR(__xludf.DUMMYFUNCTION("{IMPORTRANGE(""1UJlRLlhI2Hg_SAQqQOg0JGdwHhiagF7EVAtCX8UOYFc"",""Round 11!C1:H3""),IMPORTRANGE(""1UJlRLlhI2Hg_SAQqQOg0JGdwHhiagF7EVAtCX8UOYFc"",""Round 11!M1:R3"")}"),"Team A")</f>
        <v>Team A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IFERROR(__xludf.DUMMYFUNCTION("""COMPUTED_VALUE"""),"Team B")</f>
        <v>Team B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2" t="str">
        <f>IFERROR(__xludf.DUMMYFUNCTION("CONCAT(""A BP: "",IMPORTRANGE(""1UJlRLlhI2Hg_SAQqQOg0JGdwHhiagF7EVAtCX8UOYFc"",""Round 11!I32""))"),"A BP: 0")</f>
        <v>A BP: 0</v>
      </c>
      <c r="B62" t="str">
        <f>IFERROR(__xludf.DUMMYFUNCTION("""COMPUTED_VALUE"""),"Score: 0")</f>
        <v>Score: 0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0")</f>
        <v>Score: 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2" t="str">
        <f>IFERROR(__xludf.DUMMYFUNCTION("CONCAT(""B BP: "",IMPORTRANGE(""1UJlRLlhI2Hg_SAQqQOg0JGdwHhiagF7EVAtCX8UOYFc"",""Round 11!S32""))"),"B BP: 0")</f>
        <v>B BP: 0</v>
      </c>
      <c r="B63" t="str">
        <f>IFERROR(__xludf.DUMMYFUNCTION("""COMPUTED_VALUE"""),"Player 1")</f>
        <v>Player 1</v>
      </c>
      <c r="C63" t="str">
        <f>IFERROR(__xludf.DUMMYFUNCTION("""COMPUTED_VALUE"""),"Player 2")</f>
        <v>Player 2</v>
      </c>
      <c r="D63" t="str">
        <f>IFERROR(__xludf.DUMMYFUNCTION("""COMPUTED_VALUE"""),"Player 3")</f>
        <v>Player 3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IFERROR(__xludf.DUMMYFUNCTION("""COMPUTED_VALUE"""),"Player 1")</f>
        <v>Player 1</v>
      </c>
      <c r="I63" t="str">
        <f>IFERROR(__xludf.DUMMYFUNCTION("""COMPUTED_VALUE"""),"Player 2")</f>
        <v>Player 2</v>
      </c>
      <c r="J63" t="str">
        <f>IFERROR(__xludf.DUMMYFUNCTION("""COMPUTED_VALUE"""),"Player 3")</f>
        <v>Player 3</v>
      </c>
      <c r="K63" t="str">
        <f>IFERROR(__xludf.DUMMYFUNCTION("""COMPUTED_VALUE"""),"Player 4")</f>
        <v>Player 4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1" t="s">
        <v>2</v>
      </c>
      <c r="B64">
        <f>IFERROR(__xludf.DUMMYFUNCTION("{IMPORTRANGE(""1UJlRLlhI2Hg_SAQqQOg0JGdwHhiagF7EVAtCX8UOYFc"",""Round 11!C32:H36""),IMPORTRANGE(""1UJlRLlhI2Hg_SAQqQOg0JGdwHhiagF7EVAtCX8UOYFc"",""Round 11!M32:R36"")}"),20.0)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1">
        <v>15.0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IFERROR(__xludf.DUMMYFUNCTION("""COMPUTED_VALUE"""),0.0)</f>
        <v>0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1">
        <v>10.0</v>
      </c>
      <c r="B66">
        <f>IFERROR(__xludf.DUMMYFUNCTION("""COMPUTED_VALUE"""),0.0)</f>
        <v>0</v>
      </c>
      <c r="C66">
        <f>IFERROR(__xludf.DUMMYFUNCTION("""COMPUTED_VALUE"""),0.0)</f>
        <v>0</v>
      </c>
      <c r="D66">
        <f>IFERROR(__xludf.DUMMYFUNCTION("""COMPUTED_VALUE"""),0.0)</f>
        <v>0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IFERROR(__xludf.DUMMYFUNCTION("""COMPUTED_VALUE"""),0.0)</f>
        <v>0</v>
      </c>
      <c r="I66">
        <f>IFERROR(__xludf.DUMMYFUNCTION("""COMPUTED_VALUE"""),0.0)</f>
        <v>0</v>
      </c>
      <c r="J66">
        <f>IFERROR(__xludf.DUMMYFUNCTION("""COMPUTED_VALUE"""),0.0)</f>
        <v>0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1">
        <v>-5.0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IFERROR(__xludf.DUMMYFUNCTION("""COMPUTED_VALUE"""),0.0)</f>
        <v>0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1" t="s">
        <v>3</v>
      </c>
      <c r="B68">
        <f>IFERROR(__xludf.DUMMYFUNCTION("""COMPUTED_VALUE"""),0.0)</f>
        <v>0</v>
      </c>
      <c r="C68">
        <f>IFERROR(__xludf.DUMMYFUNCTION("""COMPUTED_VALUE"""),0.0)</f>
        <v>0</v>
      </c>
      <c r="D68">
        <f>IFERROR(__xludf.DUMMYFUNCTION("""COMPUTED_VALUE"""),0.0)</f>
        <v>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IFERROR(__xludf.DUMMYFUNCTION("""COMPUTED_VALUE"""),0.0)</f>
        <v>0</v>
      </c>
      <c r="I68">
        <f>IFERROR(__xludf.DUMMYFUNCTION("""COMPUTED_VALUE"""),0.0)</f>
        <v>0</v>
      </c>
      <c r="J68">
        <f>IFERROR(__xludf.DUMMYFUNCTION("""COMPUTED_VALUE"""),0.0)</f>
        <v>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2" t="str">
        <f>IFERROR(__xludf.DUMMYFUNCTION("IMPORTRANGE(""1UJlRLlhI2Hg_SAQqQOg0JGdwHhiagF7EVAtCX8UOYFc"",""Round 11!W1"")"),"Question: 1")</f>
        <v>Question: 1</v>
      </c>
      <c r="B69" s="3" t="s">
        <v>19</v>
      </c>
    </row>
    <row r="70">
      <c r="A70" s="2"/>
    </row>
    <row r="71">
      <c r="A71" s="1" t="s">
        <v>20</v>
      </c>
      <c r="B71" t="str">
        <f>IFERROR(__xludf.DUMMYFUNCTION("{IMPORTRANGE(""1jA96n0qbauznSt6-hkr51AslpxJqfrWgkafVtMV8_xU"",""Round 11!C1:H3""),IMPORTRANGE(""1jA96n0qbauznSt6-hkr51AslpxJqfrWgkafVtMV8_xU"",""Round 11!M1:R3"")}"),"Team A")</f>
        <v>Team A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IFERROR(__xludf.DUMMYFUNCTION("""COMPUTED_VALUE"""),"Team B")</f>
        <v>Team B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2" t="str">
        <f>IFERROR(__xludf.DUMMYFUNCTION("CONCAT(""A BP: "",IMPORTRANGE(""1jA96n0qbauznSt6-hkr51AslpxJqfrWgkafVtMV8_xU"",""Round 11!I32""))"),"A BP: 0")</f>
        <v>A BP: 0</v>
      </c>
      <c r="B72" t="str">
        <f>IFERROR(__xludf.DUMMYFUNCTION("""COMPUTED_VALUE"""),"Score: 0")</f>
        <v>Score: 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0")</f>
        <v>Score: 0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2" t="str">
        <f>IFERROR(__xludf.DUMMYFUNCTION("CONCAT(""B BP: "",IMPORTRANGE(""1jA96n0qbauznSt6-hkr51AslpxJqfrWgkafVtMV8_xU"",""Round 11!S32""))"),"B BP: 0")</f>
        <v>B BP: 0</v>
      </c>
      <c r="B73" t="str">
        <f>IFERROR(__xludf.DUMMYFUNCTION("""COMPUTED_VALUE"""),"Player 1")</f>
        <v>Player 1</v>
      </c>
      <c r="C73" t="str">
        <f>IFERROR(__xludf.DUMMYFUNCTION("""COMPUTED_VALUE"""),"Player 2")</f>
        <v>Player 2</v>
      </c>
      <c r="D73" t="str">
        <f>IFERROR(__xludf.DUMMYFUNCTION("""COMPUTED_VALUE"""),"Player 3")</f>
        <v>Player 3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IFERROR(__xludf.DUMMYFUNCTION("""COMPUTED_VALUE"""),"Player 1")</f>
        <v>Player 1</v>
      </c>
      <c r="I73" t="str">
        <f>IFERROR(__xludf.DUMMYFUNCTION("""COMPUTED_VALUE"""),"Player 2")</f>
        <v>Player 2</v>
      </c>
      <c r="J73" t="str">
        <f>IFERROR(__xludf.DUMMYFUNCTION("""COMPUTED_VALUE"""),"Player 3")</f>
        <v>Player 3</v>
      </c>
      <c r="K73" t="str">
        <f>IFERROR(__xludf.DUMMYFUNCTION("""COMPUTED_VALUE"""),"Player 4")</f>
        <v>Player 4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1" t="s">
        <v>2</v>
      </c>
      <c r="B74">
        <f>IFERROR(__xludf.DUMMYFUNCTION("{IMPORTRANGE(""1jA96n0qbauznSt6-hkr51AslpxJqfrWgkafVtMV8_xU"",""Round 11!C32:H36""),IMPORTRANGE(""1jA96n0qbauznSt6-hkr51AslpxJqfrWgkafVtMV8_xU"",""Round 11!M32:R36"")}"),20.0)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1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IFERROR(__xludf.DUMMYFUNCTION("""COMPUTED_VALUE"""),0.0)</f>
        <v>0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1">
        <v>10.0</v>
      </c>
      <c r="B76">
        <f>IFERROR(__xludf.DUMMYFUNCTION("""COMPUTED_VALUE"""),0.0)</f>
        <v>0</v>
      </c>
      <c r="C76">
        <f>IFERROR(__xludf.DUMMYFUNCTION("""COMPUTED_VALUE"""),0.0)</f>
        <v>0</v>
      </c>
      <c r="D76">
        <f>IFERROR(__xludf.DUMMYFUNCTION("""COMPUTED_VALUE"""),0.0)</f>
        <v>0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IFERROR(__xludf.DUMMYFUNCTION("""COMPUTED_VALUE"""),0.0)</f>
        <v>0</v>
      </c>
      <c r="I76">
        <f>IFERROR(__xludf.DUMMYFUNCTION("""COMPUTED_VALUE"""),0.0)</f>
        <v>0</v>
      </c>
      <c r="J76">
        <f>IFERROR(__xludf.DUMMYFUNCTION("""COMPUTED_VALUE"""),0.0)</f>
        <v>0</v>
      </c>
      <c r="K76">
        <f>IFERROR(__xludf.DUMMYFUNCTION("""COMPUTED_VALUE"""),0.0)</f>
        <v>0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1">
        <v>-5.0</v>
      </c>
      <c r="B77">
        <f>IFERROR(__xludf.DUMMYFUNCTION("""COMPUTED_VALUE"""),0.0)</f>
        <v>0</v>
      </c>
      <c r="C77">
        <f>IFERROR(__xludf.DUMMYFUNCTION("""COMPUTED_VALUE"""),0.0)</f>
        <v>0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1" t="s">
        <v>3</v>
      </c>
      <c r="B78">
        <f>IFERROR(__xludf.DUMMYFUNCTION("""COMPUTED_VALUE"""),0.0)</f>
        <v>0</v>
      </c>
      <c r="C78">
        <f>IFERROR(__xludf.DUMMYFUNCTION("""COMPUTED_VALUE"""),0.0)</f>
        <v>0</v>
      </c>
      <c r="D78">
        <f>IFERROR(__xludf.DUMMYFUNCTION("""COMPUTED_VALUE"""),0.0)</f>
        <v>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IFERROR(__xludf.DUMMYFUNCTION("""COMPUTED_VALUE"""),0.0)</f>
        <v>0</v>
      </c>
      <c r="I78">
        <f>IFERROR(__xludf.DUMMYFUNCTION("""COMPUTED_VALUE"""),0.0)</f>
        <v>0</v>
      </c>
      <c r="J78">
        <f>IFERROR(__xludf.DUMMYFUNCTION("""COMPUTED_VALUE"""),0.0)</f>
        <v>0</v>
      </c>
      <c r="K78">
        <f>IFERROR(__xludf.DUMMYFUNCTION("""COMPUTED_VALUE"""),0.0)</f>
        <v>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2" t="str">
        <f>IFERROR(__xludf.DUMMYFUNCTION("IMPORTRANGE(""1jA96n0qbauznSt6-hkr51AslpxJqfrWgkafVtMV8_xU"",""Round 11!W1"")"),"Question: 1")</f>
        <v>Question: 1</v>
      </c>
      <c r="B79" s="3" t="s">
        <v>22</v>
      </c>
    </row>
    <row r="80">
      <c r="A80" s="2"/>
    </row>
    <row r="81">
      <c r="A81" s="1" t="s">
        <v>23</v>
      </c>
      <c r="B81" t="str">
        <f>IFERROR(__xludf.DUMMYFUNCTION("{IMPORTRANGE(""1xw1EOjVhrK1PNJfOYiUsuJNrlpV53SmfJxYsFFolQ3s"",""Round 11!C1:H3""),IMPORTRANGE(""1xw1EOjVhrK1PNJfOYiUsuJNrlpV53SmfJxYsFFolQ3s"",""Round 11!M1:R3"")}"),"Team A")</f>
        <v>Team A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IFERROR(__xludf.DUMMYFUNCTION("""COMPUTED_VALUE"""),"Team B")</f>
        <v>Team B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2" t="str">
        <f>IFERROR(__xludf.DUMMYFUNCTION("CONCAT(""A BP: "",IMPORTRANGE(""1xw1EOjVhrK1PNJfOYiUsuJNrlpV53SmfJxYsFFolQ3s"",""Round 11!I32""))"),"A BP: 0")</f>
        <v>A BP: 0</v>
      </c>
      <c r="B82" t="str">
        <f>IFERROR(__xludf.DUMMYFUNCTION("""COMPUTED_VALUE"""),"Score: 0")</f>
        <v>Score: 0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0")</f>
        <v>Score: 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2" t="str">
        <f>IFERROR(__xludf.DUMMYFUNCTION("CONCAT(""B BP: "",IMPORTRANGE(""1xw1EOjVhrK1PNJfOYiUsuJNrlpV53SmfJxYsFFolQ3s"",""Round 11!S32""))"),"B BP: 0")</f>
        <v>B BP: 0</v>
      </c>
      <c r="B83" t="str">
        <f>IFERROR(__xludf.DUMMYFUNCTION("""COMPUTED_VALUE"""),"Player 1")</f>
        <v>Player 1</v>
      </c>
      <c r="C83" t="str">
        <f>IFERROR(__xludf.DUMMYFUNCTION("""COMPUTED_VALUE"""),"Player 2")</f>
        <v>Player 2</v>
      </c>
      <c r="D83" t="str">
        <f>IFERROR(__xludf.DUMMYFUNCTION("""COMPUTED_VALUE"""),"Player 3")</f>
        <v>Player 3</v>
      </c>
      <c r="E83" t="str">
        <f>IFERROR(__xludf.DUMMYFUNCTION("""COMPUTED_VALUE"""),"Player 4")</f>
        <v>Player 4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IFERROR(__xludf.DUMMYFUNCTION("""COMPUTED_VALUE"""),"Player 1")</f>
        <v>Player 1</v>
      </c>
      <c r="I83" t="str">
        <f>IFERROR(__xludf.DUMMYFUNCTION("""COMPUTED_VALUE"""),"Player 2")</f>
        <v>Player 2</v>
      </c>
      <c r="J83" t="str">
        <f>IFERROR(__xludf.DUMMYFUNCTION("""COMPUTED_VALUE"""),"Player 3")</f>
        <v>Player 3</v>
      </c>
      <c r="K83" t="str">
        <f>IFERROR(__xludf.DUMMYFUNCTION("""COMPUTED_VALUE"""),"Player 4")</f>
        <v>Player 4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1" t="s">
        <v>2</v>
      </c>
      <c r="B84">
        <f>IFERROR(__xludf.DUMMYFUNCTION("{IMPORTRANGE(""1xw1EOjVhrK1PNJfOYiUsuJNrlpV53SmfJxYsFFolQ3s"",""Round 11!C32:H36""),IMPORTRANGE(""1xw1EOjVhrK1PNJfOYiUsuJNrlpV53SmfJxYsFFolQ3s"",""Round 11!M32:R36"")}"),20.0)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1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IFERROR(__xludf.DUMMYFUNCTION("""COMPUTED_VALUE"""),0.0)</f>
        <v>0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1">
        <v>10.0</v>
      </c>
      <c r="B86">
        <f>IFERROR(__xludf.DUMMYFUNCTION("""COMPUTED_VALUE"""),0.0)</f>
        <v>0</v>
      </c>
      <c r="C86">
        <f>IFERROR(__xludf.DUMMYFUNCTION("""COMPUTED_VALUE"""),0.0)</f>
        <v>0</v>
      </c>
      <c r="D86">
        <f>IFERROR(__xludf.DUMMYFUNCTION("""COMPUTED_VALUE"""),0.0)</f>
        <v>0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IFERROR(__xludf.DUMMYFUNCTION("""COMPUTED_VALUE"""),0.0)</f>
        <v>0</v>
      </c>
      <c r="I86">
        <f>IFERROR(__xludf.DUMMYFUNCTION("""COMPUTED_VALUE"""),0.0)</f>
        <v>0</v>
      </c>
      <c r="J86">
        <f>IFERROR(__xludf.DUMMYFUNCTION("""COMPUTED_VALUE"""),0.0)</f>
        <v>0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1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IFERROR(__xludf.DUMMYFUNCTION("""COMPUTED_VALUE"""),0.0)</f>
        <v>0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1" t="s">
        <v>3</v>
      </c>
      <c r="B88">
        <f>IFERROR(__xludf.DUMMYFUNCTION("""COMPUTED_VALUE"""),0.0)</f>
        <v>0</v>
      </c>
      <c r="C88">
        <f>IFERROR(__xludf.DUMMYFUNCTION("""COMPUTED_VALUE"""),0.0)</f>
        <v>0</v>
      </c>
      <c r="D88">
        <f>IFERROR(__xludf.DUMMYFUNCTION("""COMPUTED_VALUE"""),0.0)</f>
        <v>0</v>
      </c>
      <c r="E88">
        <f>IFERROR(__xludf.DUMMYFUNCTION("""COMPUTED_VALUE"""),0.0)</f>
        <v>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IFERROR(__xludf.DUMMYFUNCTION("""COMPUTED_VALUE"""),0.0)</f>
        <v>0</v>
      </c>
      <c r="I88">
        <f>IFERROR(__xludf.DUMMYFUNCTION("""COMPUTED_VALUE"""),0.0)</f>
        <v>0</v>
      </c>
      <c r="J88">
        <f>IFERROR(__xludf.DUMMYFUNCTION("""COMPUTED_VALUE"""),0.0)</f>
        <v>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2" t="str">
        <f>IFERROR(__xludf.DUMMYFUNCTION("IMPORTRANGE(""1xw1EOjVhrK1PNJfOYiUsuJNrlpV53SmfJxYsFFolQ3s"",""Round 11!W1"")"),"Question: 1")</f>
        <v>Question: 1</v>
      </c>
      <c r="B89" s="3" t="s">
        <v>25</v>
      </c>
    </row>
    <row r="90">
      <c r="A90" s="2"/>
    </row>
    <row r="91">
      <c r="A91" s="1" t="s">
        <v>26</v>
      </c>
      <c r="B91" t="str">
        <f>IFERROR(__xludf.DUMMYFUNCTION("{IMPORTRANGE(""15wOrdFuJAb1a4MoX5CG4apiBD2jUJ7mBu58Uk-8Mo7s"",""Round 11!C1:H3""),IMPORTRANGE(""15wOrdFuJAb1a4MoX5CG4apiBD2jUJ7mBu58Uk-8Mo7s"",""Round 11!M1:R3"")}"),"Team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2" t="str">
        <f>IFERROR(__xludf.DUMMYFUNCTION("CONCAT(""A BP: "",IMPORTRANGE(""15wOrdFuJAb1a4MoX5CG4apiBD2jUJ7mBu58Uk-8Mo7s"",""Round 11!I32""))"),"A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2" t="str">
        <f>IFERROR(__xludf.DUMMYFUNCTION("CONCAT(""B BP: "",IMPORTRANGE(""15wOrdFuJAb1a4MoX5CG4apiBD2jUJ7mBu58Uk-8Mo7s"",""Round 11!S32""))"),"B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1" t="s">
        <v>2</v>
      </c>
      <c r="B94">
        <f>IFERROR(__xludf.DUMMYFUNCTION("{IMPORTRANGE(""15wOrdFuJAb1a4MoX5CG4apiBD2jUJ7mBu58Uk-8Mo7s"",""Round 11!C32:H36""),IMPORTRANGE(""15wOrdFuJAb1a4MoX5CG4apiBD2jUJ7mBu58Uk-8Mo7s"",""Round 11!M32:R36"")}"),20.0)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1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1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1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1" t="s">
        <v>3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2" t="str">
        <f>IFERROR(__xludf.DUMMYFUNCTION("IMPORTRANGE(""15wOrdFuJAb1a4MoX5CG4apiBD2jUJ7mBu58Uk-8Mo7s"",""Round 11!W1"")"),"Question: 1")</f>
        <v>Question: 1</v>
      </c>
      <c r="B99" s="3" t="s">
        <v>27</v>
      </c>
    </row>
    <row r="100">
      <c r="A100" s="2"/>
    </row>
    <row r="101">
      <c r="A101" s="1" t="s">
        <v>28</v>
      </c>
      <c r="B101" t="str">
        <f>IFERROR(__xludf.DUMMYFUNCTION("{IMPORTRANGE(""1GfJqS1rsy-VutTmPVnm9E2VdinIG-GnQO5b3bhaiX1s"",""Round 11!C1:H3""),IMPORTRANGE(""1GfJqS1rsy-VutTmPVnm9E2VdinIG-GnQO5b3bhaiX1s"",""Round 11!M1:R3"")}"),"Team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2" t="str">
        <f>IFERROR(__xludf.DUMMYFUNCTION("CONCAT(""A BP: "",IMPORTRANGE(""1GfJqS1rsy-VutTmPVnm9E2VdinIG-GnQO5b3bhaiX1s"",""Round 11!I32""))"),"A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2" t="str">
        <f>IFERROR(__xludf.DUMMYFUNCTION("CONCAT(""B BP: "",IMPORTRANGE(""1GfJqS1rsy-VutTmPVnm9E2VdinIG-GnQO5b3bhaiX1s"",""Round 11!S32""))"),"B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1" t="s">
        <v>2</v>
      </c>
      <c r="B104">
        <f>IFERROR(__xludf.DUMMYFUNCTION("{IMPORTRANGE(""1GfJqS1rsy-VutTmPVnm9E2VdinIG-GnQO5b3bhaiX1s"",""Round 11!C32:H36""),IMPORTRANGE(""1GfJqS1rsy-VutTmPVnm9E2VdinIG-GnQO5b3bhaiX1s"",""Round 11!M32:R36"")}"),20.0)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1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1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1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1" t="s">
        <v>3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2" t="str">
        <f>IFERROR(__xludf.DUMMYFUNCTION("IMPORTRANGE(""1GfJqS1rsy-VutTmPVnm9E2VdinIG-GnQO5b3bhaiX1s"",""Round 11!W1"")"),"Question: 1")</f>
        <v>Question: 1</v>
      </c>
      <c r="B109" s="3" t="s">
        <v>29</v>
      </c>
    </row>
    <row r="110">
      <c r="A110" s="2"/>
    </row>
    <row r="111">
      <c r="A111" s="1" t="s">
        <v>45</v>
      </c>
      <c r="B111" t="str">
        <f>IFERROR(__xludf.DUMMYFUNCTION("{IMPORTRANGE(""17CLUEFflDBSa8dyH5vsXfHme4RV8IhzD-mxe9_c9I5k"",""Round 11!C1:H3""),IMPORTRANGE(""17CLUEFflDBSa8dyH5vsXfHme4RV8IhzD-mxe9_c9I5k"",""Round 11!M1:R3"")}"),"Team A")</f>
        <v>Team A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IFERROR(__xludf.DUMMYFUNCTION("""COMPUTED_VALUE"""),"Team B")</f>
        <v>Team B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2" t="str">
        <f>IFERROR(__xludf.DUMMYFUNCTION("CONCAT(""A BP: "",IMPORTRANGE(""17CLUEFflDBSa8dyH5vsXfHme4RV8IhzD-mxe9_c9I5k"",""Round 11!I32""))"),"A BP: 0")</f>
        <v>A BP: 0</v>
      </c>
      <c r="B112" t="str">
        <f>IFERROR(__xludf.DUMMYFUNCTION("""COMPUTED_VALUE"""),"Score: 0")</f>
        <v>Score: 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0")</f>
        <v>Score: 0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2" t="str">
        <f>IFERROR(__xludf.DUMMYFUNCTION("CONCAT(""B BP: "",IMPORTRANGE(""17CLUEFflDBSa8dyH5vsXfHme4RV8IhzD-mxe9_c9I5k"",""Round 11!S32""))"),"B BP: 0")</f>
        <v>B BP: 0</v>
      </c>
      <c r="B113" t="str">
        <f>IFERROR(__xludf.DUMMYFUNCTION("""COMPUTED_VALUE"""),"Player 1")</f>
        <v>Player 1</v>
      </c>
      <c r="C113" t="str">
        <f>IFERROR(__xludf.DUMMYFUNCTION("""COMPUTED_VALUE"""),"Player 2")</f>
        <v>Player 2</v>
      </c>
      <c r="D113" t="str">
        <f>IFERROR(__xludf.DUMMYFUNCTION("""COMPUTED_VALUE"""),"Player 3")</f>
        <v>Player 3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IFERROR(__xludf.DUMMYFUNCTION("""COMPUTED_VALUE"""),"Player 1")</f>
        <v>Player 1</v>
      </c>
      <c r="I113" t="str">
        <f>IFERROR(__xludf.DUMMYFUNCTION("""COMPUTED_VALUE"""),"Player 2")</f>
        <v>Player 2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1" t="s">
        <v>2</v>
      </c>
      <c r="B114">
        <f>IFERROR(__xludf.DUMMYFUNCTION("{IMPORTRANGE(""17CLUEFflDBSa8dyH5vsXfHme4RV8IhzD-mxe9_c9I5k"",""Round 11!C32:H36""),IMPORTRANGE(""17CLUEFflDBSa8dyH5vsXfHme4RV8IhzD-mxe9_c9I5k"",""Round 11!M32:R36"")}"),20.0)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1">
        <v>15.0</v>
      </c>
      <c r="B115">
        <f>IFERROR(__xludf.DUMMYFUNCTION("""COMPUTED_VALUE"""),0.0)</f>
        <v>0</v>
      </c>
      <c r="C115">
        <f>IFERROR(__xludf.DUMMYFUNCTION("""COMPUTED_VALUE"""),0.0)</f>
        <v>0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IFERROR(__xludf.DUMMYFUNCTION("""COMPUTED_VALUE"""),0.0)</f>
        <v>0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1">
        <v>10.0</v>
      </c>
      <c r="B116">
        <f>IFERROR(__xludf.DUMMYFUNCTION("""COMPUTED_VALUE"""),0.0)</f>
        <v>0</v>
      </c>
      <c r="C116">
        <f>IFERROR(__xludf.DUMMYFUNCTION("""COMPUTED_VALUE"""),0.0)</f>
        <v>0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IFERROR(__xludf.DUMMYFUNCTION("""COMPUTED_VALUE"""),0.0)</f>
        <v>0</v>
      </c>
      <c r="I116">
        <f>IFERROR(__xludf.DUMMYFUNCTION("""COMPUTED_VALUE"""),0.0)</f>
        <v>0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1">
        <v>-5.0</v>
      </c>
      <c r="B117">
        <f>IFERROR(__xludf.DUMMYFUNCTION("""COMPUTED_VALUE"""),0.0)</f>
        <v>0</v>
      </c>
      <c r="C117">
        <f>IFERROR(__xludf.DUMMYFUNCTION("""COMPUTED_VALUE"""),0.0)</f>
        <v>0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IFERROR(__xludf.DUMMYFUNCTION("""COMPUTED_VALUE"""),0.0)</f>
        <v>0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1" t="s">
        <v>3</v>
      </c>
      <c r="B118">
        <f>IFERROR(__xludf.DUMMYFUNCTION("""COMPUTED_VALUE"""),0.0)</f>
        <v>0</v>
      </c>
      <c r="C118">
        <f>IFERROR(__xludf.DUMMYFUNCTION("""COMPUTED_VALUE"""),0.0)</f>
        <v>0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IFERROR(__xludf.DUMMYFUNCTION("""COMPUTED_VALUE"""),0.0)</f>
        <v>0</v>
      </c>
      <c r="I118">
        <f>IFERROR(__xludf.DUMMYFUNCTION("""COMPUTED_VALUE"""),0.0)</f>
        <v>0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2" t="str">
        <f>IFERROR(__xludf.DUMMYFUNCTION("IMPORTRANGE(""17CLUEFflDBSa8dyH5vsXfHme4RV8IhzD-mxe9_c9I5k"",""Round 11!W1"")"),"Question: 1")</f>
        <v>Question: 1</v>
      </c>
      <c r="B119" s="3" t="s">
        <v>31</v>
      </c>
    </row>
    <row r="120">
      <c r="A120" s="2"/>
    </row>
    <row r="121">
      <c r="A121" s="1" t="s">
        <v>46</v>
      </c>
      <c r="B121" t="str">
        <f>IFERROR(__xludf.DUMMYFUNCTION("{IMPORTRANGE(""1Knt8XDGFY_MP2OzeadT1pDENTLOdk9Ab_Rd9IdW0kzc"",""Round 11!C1:H3""),IMPORTRANGE(""1Knt8XDGFY_MP2OzeadT1pDENTLOdk9Ab_Rd9IdW0kzc"",""Round 11!M1:R3"")}"),"Westview A (V)")</f>
        <v>Westview A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IFERROR(__xludf.DUMMYFUNCTION("""COMPUTED_VALUE"""),"Arcadia (V)")</f>
        <v>Arcadia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2" t="str">
        <f>IFERROR(__xludf.DUMMYFUNCTION("CONCAT(""A BP: "",IMPORTRANGE(""1Knt8XDGFY_MP2OzeadT1pDENTLOdk9Ab_Rd9IdW0kzc"",""Round 11!I32""))"),"A BP: 240")</f>
        <v>A BP: 240</v>
      </c>
      <c r="B122" t="str">
        <f>IFERROR(__xludf.DUMMYFUNCTION("""COMPUTED_VALUE"""),"Score: 350")</f>
        <v>Score: 350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310")</f>
        <v>Score: 310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2" t="str">
        <f>IFERROR(__xludf.DUMMYFUNCTION("CONCAT(""B BP: "",IMPORTRANGE(""1Knt8XDGFY_MP2OzeadT1pDENTLOdk9Ab_Rd9IdW0kzc"",""Round 11!S32""))"),"B BP: 190")</f>
        <v>B BP: 190</v>
      </c>
      <c r="B123" t="str">
        <f>IFERROR(__xludf.DUMMYFUNCTION("""COMPUTED_VALUE"""),"Shahar Schwartz (12)")</f>
        <v>Shahar Schwartz (12)</v>
      </c>
      <c r="C123" t="str">
        <f>IFERROR(__xludf.DUMMYFUNCTION("""COMPUTED_VALUE"""),"Junu Song (12)")</f>
        <v>Junu Song (12)</v>
      </c>
      <c r="D123" t="str">
        <f>IFERROR(__xludf.DUMMYFUNCTION("""COMPUTED_VALUE"""),"Daniel Jung (12)")</f>
        <v>Daniel Jung (12)</v>
      </c>
      <c r="E123" t="str">
        <f>IFERROR(__xludf.DUMMYFUNCTION("""COMPUTED_VALUE"""),"Gary Lin (11)")</f>
        <v>Gary Lin (11)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IFERROR(__xludf.DUMMYFUNCTION("""COMPUTED_VALUE"""),"Amogh Kulkarni (10)")</f>
        <v>Amogh Kulkarni (10)</v>
      </c>
      <c r="I123" t="str">
        <f>IFERROR(__xludf.DUMMYFUNCTION("""COMPUTED_VALUE"""),"Spencer Cheng (12)")</f>
        <v>Spencer Cheng (12)</v>
      </c>
      <c r="J123" t="str">
        <f>IFERROR(__xludf.DUMMYFUNCTION("""COMPUTED_VALUE"""),"Ryan Sun (10)")</f>
        <v>Ryan Sun (10)</v>
      </c>
      <c r="K123" t="str">
        <f>IFERROR(__xludf.DUMMYFUNCTION("""COMPUTED_VALUE"""),"Michael Kwok (10)")</f>
        <v>Michael Kwok (10)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1" t="s">
        <v>2</v>
      </c>
      <c r="B124">
        <f>IFERROR(__xludf.DUMMYFUNCTION("{IMPORTRANGE(""1Knt8XDGFY_MP2OzeadT1pDENTLOdk9Ab_Rd9IdW0kzc"",""Round 11!C32:H36""),IMPORTRANGE(""1Knt8XDGFY_MP2OzeadT1pDENTLOdk9Ab_Rd9IdW0kzc"",""Round 11!M32:R36"")}"),20.0)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1">
        <v>15.0</v>
      </c>
      <c r="B125">
        <f>IFERROR(__xludf.DUMMYFUNCTION("""COMPUTED_VALUE"""),3.0)</f>
        <v>3</v>
      </c>
      <c r="C125">
        <f>IFERROR(__xludf.DUMMYFUNCTION("""COMPUTED_VALUE"""),1.0)</f>
        <v>1</v>
      </c>
      <c r="D125">
        <f>IFERROR(__xludf.DUMMYFUNCTION("""COMPUTED_VALUE"""),0.0)</f>
        <v>0</v>
      </c>
      <c r="E125">
        <f>IFERROR(__xludf.DUMMYFUNCTION("""COMPUTED_VALUE"""),2.0)</f>
        <v>2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IFERROR(__xludf.DUMMYFUNCTION("""COMPUTED_VALUE"""),3.0)</f>
        <v>3</v>
      </c>
      <c r="I125">
        <f>IFERROR(__xludf.DUMMYFUNCTION("""COMPUTED_VALUE"""),0.0)</f>
        <v>0</v>
      </c>
      <c r="J125">
        <f>IFERROR(__xludf.DUMMYFUNCTION("""COMPUTED_VALUE"""),2.0)</f>
        <v>2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1">
        <v>10.0</v>
      </c>
      <c r="B126">
        <f>IFERROR(__xludf.DUMMYFUNCTION("""COMPUTED_VALUE"""),3.0)</f>
        <v>3</v>
      </c>
      <c r="C126">
        <f>IFERROR(__xludf.DUMMYFUNCTION("""COMPUTED_VALUE"""),0.0)</f>
        <v>0</v>
      </c>
      <c r="D126">
        <f>IFERROR(__xludf.DUMMYFUNCTION("""COMPUTED_VALUE"""),0.0)</f>
        <v>0</v>
      </c>
      <c r="E126">
        <f>IFERROR(__xludf.DUMMYFUNCTION("""COMPUTED_VALUE"""),1.0)</f>
        <v>1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IFERROR(__xludf.DUMMYFUNCTION("""COMPUTED_VALUE"""),3.0)</f>
        <v>3</v>
      </c>
      <c r="I126">
        <f>IFERROR(__xludf.DUMMYFUNCTION("""COMPUTED_VALUE"""),1.0)</f>
        <v>1</v>
      </c>
      <c r="J126">
        <f>IFERROR(__xludf.DUMMYFUNCTION("""COMPUTED_VALUE"""),1.0)</f>
        <v>1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1">
        <v>-5.0</v>
      </c>
      <c r="B127">
        <f>IFERROR(__xludf.DUMMYFUNCTION("""COMPUTED_VALUE"""),2.0)</f>
        <v>2</v>
      </c>
      <c r="C127">
        <f>IFERROR(__xludf.DUMMYFUNCTION("""COMPUTED_VALUE"""),1.0)</f>
        <v>1</v>
      </c>
      <c r="D127">
        <f>IFERROR(__xludf.DUMMYFUNCTION("""COMPUTED_VALUE"""),0.0)</f>
        <v>0</v>
      </c>
      <c r="E127">
        <f>IFERROR(__xludf.DUMMYFUNCTION("""COMPUTED_VALUE"""),1.0)</f>
        <v>1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IFERROR(__xludf.DUMMYFUNCTION("""COMPUTED_VALUE"""),0.0)</f>
        <v>0</v>
      </c>
      <c r="I127">
        <f>IFERROR(__xludf.DUMMYFUNCTION("""COMPUTED_VALUE"""),0.0)</f>
        <v>0</v>
      </c>
      <c r="J127">
        <f>IFERROR(__xludf.DUMMYFUNCTION("""COMPUTED_VALUE"""),1.0)</f>
        <v>1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1" t="s">
        <v>3</v>
      </c>
      <c r="B128">
        <f>IFERROR(__xludf.DUMMYFUNCTION("""COMPUTED_VALUE"""),65.0)</f>
        <v>65</v>
      </c>
      <c r="C128">
        <f>IFERROR(__xludf.DUMMYFUNCTION("""COMPUTED_VALUE"""),10.0)</f>
        <v>10</v>
      </c>
      <c r="D128">
        <f>IFERROR(__xludf.DUMMYFUNCTION("""COMPUTED_VALUE"""),0.0)</f>
        <v>0</v>
      </c>
      <c r="E128">
        <f>IFERROR(__xludf.DUMMYFUNCTION("""COMPUTED_VALUE"""),35.0)</f>
        <v>35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IFERROR(__xludf.DUMMYFUNCTION("""COMPUTED_VALUE"""),75.0)</f>
        <v>75</v>
      </c>
      <c r="I128">
        <f>IFERROR(__xludf.DUMMYFUNCTION("""COMPUTED_VALUE"""),10.0)</f>
        <v>10</v>
      </c>
      <c r="J128">
        <f>IFERROR(__xludf.DUMMYFUNCTION("""COMPUTED_VALUE"""),35.0)</f>
        <v>35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2" t="str">
        <f>IFERROR(__xludf.DUMMYFUNCTION("IMPORTRANGE(""1Knt8XDGFY_MP2OzeadT1pDENTLOdk9Ab_Rd9IdW0kzc"",""Round 11!W1"")"),"Question: 21")</f>
        <v>Question: 21</v>
      </c>
      <c r="B129" s="3" t="s">
        <v>33</v>
      </c>
    </row>
    <row r="130">
      <c r="A130" s="2"/>
    </row>
    <row r="131">
      <c r="A131" s="1" t="s">
        <v>47</v>
      </c>
      <c r="B131" t="str">
        <f>IFERROR(__xludf.DUMMYFUNCTION("{IMPORTRANGE(""16i4gsLDaJasgGgtJt27HweoboYNaal3qpX3MtxIR2f0"",""Round 11!C1:H3""),IMPORTRANGE(""16i4gsLDaJasgGgtJt27HweoboYNaal3qpX3MtxIR2f0"",""Round 11!M1:R3"")}"),"Team A")</f>
        <v>Team A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IFERROR(__xludf.DUMMYFUNCTION("""COMPUTED_VALUE"""),"Team B")</f>
        <v>Team B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2" t="str">
        <f>IFERROR(__xludf.DUMMYFUNCTION("CONCAT(""A BP: "",IMPORTRANGE(""16i4gsLDaJasgGgtJt27HweoboYNaal3qpX3MtxIR2f0"",""Round 11!I32""))"),"A BP: 0")</f>
        <v>A BP: 0</v>
      </c>
      <c r="B132" t="str">
        <f>IFERROR(__xludf.DUMMYFUNCTION("""COMPUTED_VALUE"""),"Score: 0")</f>
        <v>Score: 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0")</f>
        <v>Score: 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2" t="str">
        <f>IFERROR(__xludf.DUMMYFUNCTION("CONCAT(""B BP: "",IMPORTRANGE(""16i4gsLDaJasgGgtJt27HweoboYNaal3qpX3MtxIR2f0"",""Round 11!S32""))"),"B BP: 0")</f>
        <v>B BP: 0</v>
      </c>
      <c r="B133" t="str">
        <f>IFERROR(__xludf.DUMMYFUNCTION("""COMPUTED_VALUE"""),"Player 1")</f>
        <v>Player 1</v>
      </c>
      <c r="C133" t="str">
        <f>IFERROR(__xludf.DUMMYFUNCTION("""COMPUTED_VALUE"""),"Player 2")</f>
        <v>Player 2</v>
      </c>
      <c r="D133" t="str">
        <f>IFERROR(__xludf.DUMMYFUNCTION("""COMPUTED_VALUE"""),"Player 3")</f>
        <v>Player 3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IFERROR(__xludf.DUMMYFUNCTION("""COMPUTED_VALUE"""),"Player 1")</f>
        <v>Player 1</v>
      </c>
      <c r="I133" t="str">
        <f>IFERROR(__xludf.DUMMYFUNCTION("""COMPUTED_VALUE"""),"Player 2")</f>
        <v>Player 2</v>
      </c>
      <c r="J133" t="str">
        <f>IFERROR(__xludf.DUMMYFUNCTION("""COMPUTED_VALUE"""),"Player 3")</f>
        <v>Player 3</v>
      </c>
      <c r="K133" t="str">
        <f>IFERROR(__xludf.DUMMYFUNCTION("""COMPUTED_VALUE"""),"Player 4")</f>
        <v>Player 4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1" t="s">
        <v>2</v>
      </c>
      <c r="B134">
        <f>IFERROR(__xludf.DUMMYFUNCTION("{IMPORTRANGE(""16i4gsLDaJasgGgtJt27HweoboYNaal3qpX3MtxIR2f0"",""Round 11!C32:H36""),IMPORTRANGE(""16i4gsLDaJasgGgtJt27HweoboYNaal3qpX3MtxIR2f0"",""Round 11!M32:R36"")}"),20.0)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1">
        <v>15.0</v>
      </c>
      <c r="B135">
        <f>IFERROR(__xludf.DUMMYFUNCTION("""COMPUTED_VALUE"""),0.0)</f>
        <v>0</v>
      </c>
      <c r="C135">
        <f>IFERROR(__xludf.DUMMYFUNCTION("""COMPUTED_VALUE"""),0.0)</f>
        <v>0</v>
      </c>
      <c r="D135">
        <f>IFERROR(__xludf.DUMMYFUNCTION("""COMPUTED_VALUE"""),0.0)</f>
        <v>0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IFERROR(__xludf.DUMMYFUNCTION("""COMPUTED_VALUE"""),0.0)</f>
        <v>0</v>
      </c>
      <c r="I135">
        <f>IFERROR(__xludf.DUMMYFUNCTION("""COMPUTED_VALUE"""),0.0)</f>
        <v>0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1">
        <v>10.0</v>
      </c>
      <c r="B136">
        <f>IFERROR(__xludf.DUMMYFUNCTION("""COMPUTED_VALUE"""),0.0)</f>
        <v>0</v>
      </c>
      <c r="C136">
        <f>IFERROR(__xludf.DUMMYFUNCTION("""COMPUTED_VALUE"""),0.0)</f>
        <v>0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IFERROR(__xludf.DUMMYFUNCTION("""COMPUTED_VALUE"""),0.0)</f>
        <v>0</v>
      </c>
      <c r="I136">
        <f>IFERROR(__xludf.DUMMYFUNCTION("""COMPUTED_VALUE"""),0.0)</f>
        <v>0</v>
      </c>
      <c r="J136">
        <f>IFERROR(__xludf.DUMMYFUNCTION("""COMPUTED_VALUE"""),0.0)</f>
        <v>0</v>
      </c>
      <c r="K136">
        <f>IFERROR(__xludf.DUMMYFUNCTION("""COMPUTED_VALUE"""),0.0)</f>
        <v>0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1">
        <v>-5.0</v>
      </c>
      <c r="B137">
        <f>IFERROR(__xludf.DUMMYFUNCTION("""COMPUTED_VALUE"""),0.0)</f>
        <v>0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IFERROR(__xludf.DUMMYFUNCTION("""COMPUTED_VALUE"""),0.0)</f>
        <v>0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1" t="s">
        <v>3</v>
      </c>
      <c r="B138">
        <f>IFERROR(__xludf.DUMMYFUNCTION("""COMPUTED_VALUE"""),0.0)</f>
        <v>0</v>
      </c>
      <c r="C138">
        <f>IFERROR(__xludf.DUMMYFUNCTION("""COMPUTED_VALUE"""),0.0)</f>
        <v>0</v>
      </c>
      <c r="D138">
        <f>IFERROR(__xludf.DUMMYFUNCTION("""COMPUTED_VALUE"""),0.0)</f>
        <v>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IFERROR(__xludf.DUMMYFUNCTION("""COMPUTED_VALUE"""),0.0)</f>
        <v>0</v>
      </c>
      <c r="I138">
        <f>IFERROR(__xludf.DUMMYFUNCTION("""COMPUTED_VALUE"""),0.0)</f>
        <v>0</v>
      </c>
      <c r="J138">
        <f>IFERROR(__xludf.DUMMYFUNCTION("""COMPUTED_VALUE"""),0.0)</f>
        <v>0</v>
      </c>
      <c r="K138">
        <f>IFERROR(__xludf.DUMMYFUNCTION("""COMPUTED_VALUE"""),0.0)</f>
        <v>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2" t="str">
        <f>IFERROR(__xludf.DUMMYFUNCTION("IMPORTRANGE(""16i4gsLDaJasgGgtJt27HweoboYNaal3qpX3MtxIR2f0"",""Round 11!W1"")"),"Question: 1")</f>
        <v>Question: 1</v>
      </c>
      <c r="B139" s="3" t="s">
        <v>35</v>
      </c>
    </row>
    <row r="140">
      <c r="A140" s="2"/>
    </row>
    <row r="141">
      <c r="A141" s="1" t="s">
        <v>48</v>
      </c>
      <c r="B141" t="str">
        <f>IFERROR(__xludf.DUMMYFUNCTION("{IMPORTRANGE(""1KRyI2c190uhOTF270Hsdzh1rgG565QIaE9TymteaGNY"",""Round 11!C1:H3""),IMPORTRANGE(""1KRyI2c190uhOTF270Hsdzh1rgG565QIaE9TymteaGNY"",""Round 11!M1:R3"")}"),"Team A")</f>
        <v>Team A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IFERROR(__xludf.DUMMYFUNCTION("""COMPUTED_VALUE"""),"Team B")</f>
        <v>Team B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2" t="str">
        <f>IFERROR(__xludf.DUMMYFUNCTION("CONCAT(""A BP: "",IMPORTRANGE(""1KRyI2c190uhOTF270Hsdzh1rgG565QIaE9TymteaGNY"",""Round 11!I32""))"),"A BP: 0")</f>
        <v>A BP: 0</v>
      </c>
      <c r="B142" t="str">
        <f>IFERROR(__xludf.DUMMYFUNCTION("""COMPUTED_VALUE"""),"Score: 0")</f>
        <v>Score: 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0")</f>
        <v>Score: 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2" t="str">
        <f>IFERROR(__xludf.DUMMYFUNCTION("CONCAT(""B BP: "",IMPORTRANGE(""1KRyI2c190uhOTF270Hsdzh1rgG565QIaE9TymteaGNY"",""Round 11!S32""))"),"B BP: 0")</f>
        <v>B BP: 0</v>
      </c>
      <c r="B143" t="str">
        <f>IFERROR(__xludf.DUMMYFUNCTION("""COMPUTED_VALUE"""),"Player 1")</f>
        <v>Player 1</v>
      </c>
      <c r="C143" t="str">
        <f>IFERROR(__xludf.DUMMYFUNCTION("""COMPUTED_VALUE"""),"Player 2")</f>
        <v>Player 2</v>
      </c>
      <c r="D143" t="str">
        <f>IFERROR(__xludf.DUMMYFUNCTION("""COMPUTED_VALUE"""),"Player 3")</f>
        <v>Player 3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IFERROR(__xludf.DUMMYFUNCTION("""COMPUTED_VALUE"""),"Player 1")</f>
        <v>Player 1</v>
      </c>
      <c r="I143" t="str">
        <f>IFERROR(__xludf.DUMMYFUNCTION("""COMPUTED_VALUE"""),"Player 2")</f>
        <v>Player 2</v>
      </c>
      <c r="J143" t="str">
        <f>IFERROR(__xludf.DUMMYFUNCTION("""COMPUTED_VALUE"""),"Player 3")</f>
        <v>Player 3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1" t="s">
        <v>2</v>
      </c>
      <c r="B144">
        <f>IFERROR(__xludf.DUMMYFUNCTION("{IMPORTRANGE(""1KRyI2c190uhOTF270Hsdzh1rgG565QIaE9TymteaGNY"",""Round 11!C32:H36""),IMPORTRANGE(""1KRyI2c190uhOTF270Hsdzh1rgG565QIaE9TymteaGNY"",""Round 11!M32:R36"")}"),20.0)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1">
        <v>15.0</v>
      </c>
      <c r="B145">
        <f>IFERROR(__xludf.DUMMYFUNCTION("""COMPUTED_VALUE"""),0.0)</f>
        <v>0</v>
      </c>
      <c r="C145">
        <f>IFERROR(__xludf.DUMMYFUNCTION("""COMPUTED_VALUE"""),0.0)</f>
        <v>0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1">
        <v>10.0</v>
      </c>
      <c r="B146">
        <f>IFERROR(__xludf.DUMMYFUNCTION("""COMPUTED_VALUE"""),0.0)</f>
        <v>0</v>
      </c>
      <c r="C146">
        <f>IFERROR(__xludf.DUMMYFUNCTION("""COMPUTED_VALUE"""),0.0)</f>
        <v>0</v>
      </c>
      <c r="D146">
        <f>IFERROR(__xludf.DUMMYFUNCTION("""COMPUTED_VALUE"""),0.0)</f>
        <v>0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IFERROR(__xludf.DUMMYFUNCTION("""COMPUTED_VALUE"""),0.0)</f>
        <v>0</v>
      </c>
      <c r="I146">
        <f>IFERROR(__xludf.DUMMYFUNCTION("""COMPUTED_VALUE"""),0.0)</f>
        <v>0</v>
      </c>
      <c r="J146">
        <f>IFERROR(__xludf.DUMMYFUNCTION("""COMPUTED_VALUE"""),0.0)</f>
        <v>0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1">
        <v>-5.0</v>
      </c>
      <c r="B147">
        <f>IFERROR(__xludf.DUMMYFUNCTION("""COMPUTED_VALUE"""),0.0)</f>
        <v>0</v>
      </c>
      <c r="C147">
        <f>IFERROR(__xludf.DUMMYFUNCTION("""COMPUTED_VALUE"""),0.0)</f>
        <v>0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IFERROR(__xludf.DUMMYFUNCTION("""COMPUTED_VALUE"""),0.0)</f>
        <v>0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1" t="s">
        <v>3</v>
      </c>
      <c r="B148">
        <f>IFERROR(__xludf.DUMMYFUNCTION("""COMPUTED_VALUE"""),0.0)</f>
        <v>0</v>
      </c>
      <c r="C148">
        <f>IFERROR(__xludf.DUMMYFUNCTION("""COMPUTED_VALUE"""),0.0)</f>
        <v>0</v>
      </c>
      <c r="D148">
        <f>IFERROR(__xludf.DUMMYFUNCTION("""COMPUTED_VALUE"""),0.0)</f>
        <v>0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IFERROR(__xludf.DUMMYFUNCTION("""COMPUTED_VALUE"""),0.0)</f>
        <v>0</v>
      </c>
      <c r="I148">
        <f>IFERROR(__xludf.DUMMYFUNCTION("""COMPUTED_VALUE"""),0.0)</f>
        <v>0</v>
      </c>
      <c r="J148">
        <f>IFERROR(__xludf.DUMMYFUNCTION("""COMPUTED_VALUE"""),0.0)</f>
        <v>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2" t="str">
        <f>IFERROR(__xludf.DUMMYFUNCTION("IMPORTRANGE(""1KRyI2c190uhOTF270Hsdzh1rgG565QIaE9TymteaGNY"",""Round 11!W1"")"),"Question: 1")</f>
        <v>Question: 1</v>
      </c>
      <c r="B149" s="3" t="s">
        <v>37</v>
      </c>
    </row>
    <row r="150">
      <c r="A150" s="2"/>
    </row>
    <row r="151">
      <c r="A151" s="1" t="s">
        <v>49</v>
      </c>
      <c r="B151" t="str">
        <f>IFERROR(__xludf.DUMMYFUNCTION("{IMPORTRANGE(""1zr0uYCpJ5izByVOUCsr6JXezthGEdLXnwOrjIKGx5XI"",""Round 11!C1:H3""),IMPORTRANGE(""1zr0uYCpJ5izByVOUCsr6JXezthGEdLXnwOrjIKGx5XI"",""Round 11!M1:R3"")}"),"Team A")</f>
        <v>Team A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IFERROR(__xludf.DUMMYFUNCTION("""COMPUTED_VALUE"""),"Team B")</f>
        <v>Team B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2" t="str">
        <f>IFERROR(__xludf.DUMMYFUNCTION("CONCAT(""A BP: "",IMPORTRANGE(""1zr0uYCpJ5izByVOUCsr6JXezthGEdLXnwOrjIKGx5XI"",""Round 11!I32""))"),"A BP: 0")</f>
        <v>A BP: 0</v>
      </c>
      <c r="B152" t="str">
        <f>IFERROR(__xludf.DUMMYFUNCTION("""COMPUTED_VALUE"""),"Score: 0")</f>
        <v>Score: 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0")</f>
        <v>Score: 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2" t="str">
        <f>IFERROR(__xludf.DUMMYFUNCTION("CONCAT(""B BP: "",IMPORTRANGE(""1zr0uYCpJ5izByVOUCsr6JXezthGEdLXnwOrjIKGx5XI"",""Round 11!S32""))"),"B BP: 0")</f>
        <v>B BP: 0</v>
      </c>
      <c r="B153" t="str">
        <f>IFERROR(__xludf.DUMMYFUNCTION("""COMPUTED_VALUE"""),"Player 1")</f>
        <v>Player 1</v>
      </c>
      <c r="C153" t="str">
        <f>IFERROR(__xludf.DUMMYFUNCTION("""COMPUTED_VALUE"""),"Player 2")</f>
        <v>Player 2</v>
      </c>
      <c r="D153" t="str">
        <f>IFERROR(__xludf.DUMMYFUNCTION("""COMPUTED_VALUE"""),"Player 3")</f>
        <v>Player 3</v>
      </c>
      <c r="E153" t="str">
        <f>IFERROR(__xludf.DUMMYFUNCTION("""COMPUTED_VALUE"""),"Player 4")</f>
        <v>Player 4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IFERROR(__xludf.DUMMYFUNCTION("""COMPUTED_VALUE"""),"Player 1")</f>
        <v>Player 1</v>
      </c>
      <c r="I153" t="str">
        <f>IFERROR(__xludf.DUMMYFUNCTION("""COMPUTED_VALUE"""),"Player 2")</f>
        <v>Player 2</v>
      </c>
      <c r="J153" t="str">
        <f>IFERROR(__xludf.DUMMYFUNCTION("""COMPUTED_VALUE"""),"Player 3")</f>
        <v>Player 3</v>
      </c>
      <c r="K153" t="str">
        <f>IFERROR(__xludf.DUMMYFUNCTION("""COMPUTED_VALUE"""),"Player 4")</f>
        <v>Player 4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1" t="s">
        <v>2</v>
      </c>
      <c r="B154">
        <f>IFERROR(__xludf.DUMMYFUNCTION("{IMPORTRANGE(""1zr0uYCpJ5izByVOUCsr6JXezthGEdLXnwOrjIKGx5XI"",""Round 11!C32:H36""),IMPORTRANGE(""1zr0uYCpJ5izByVOUCsr6JXezthGEdLXnwOrjIKGx5XI"",""Round 11!M32:R36"")}"),20.0)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1">
        <v>15.0</v>
      </c>
      <c r="B155">
        <f>IFERROR(__xludf.DUMMYFUNCTION("""COMPUTED_VALUE"""),0.0)</f>
        <v>0</v>
      </c>
      <c r="C155">
        <f>IFERROR(__xludf.DUMMYFUNCTION("""COMPUTED_VALUE"""),0.0)</f>
        <v>0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IFERROR(__xludf.DUMMYFUNCTION("""COMPUTED_VALUE"""),0.0)</f>
        <v>0</v>
      </c>
      <c r="I155">
        <f>IFERROR(__xludf.DUMMYFUNCTION("""COMPUTED_VALUE"""),0.0)</f>
        <v>0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1">
        <v>10.0</v>
      </c>
      <c r="B156">
        <f>IFERROR(__xludf.DUMMYFUNCTION("""COMPUTED_VALUE"""),0.0)</f>
        <v>0</v>
      </c>
      <c r="C156">
        <f>IFERROR(__xludf.DUMMYFUNCTION("""COMPUTED_VALUE"""),0.0)</f>
        <v>0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IFERROR(__xludf.DUMMYFUNCTION("""COMPUTED_VALUE"""),0.0)</f>
        <v>0</v>
      </c>
      <c r="I156">
        <f>IFERROR(__xludf.DUMMYFUNCTION("""COMPUTED_VALUE"""),0.0)</f>
        <v>0</v>
      </c>
      <c r="J156">
        <f>IFERROR(__xludf.DUMMYFUNCTION("""COMPUTED_VALUE"""),0.0)</f>
        <v>0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1">
        <v>-5.0</v>
      </c>
      <c r="B157">
        <f>IFERROR(__xludf.DUMMYFUNCTION("""COMPUTED_VALUE"""),0.0)</f>
        <v>0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IFERROR(__xludf.DUMMYFUNCTION("""COMPUTED_VALUE"""),0.0)</f>
        <v>0</v>
      </c>
      <c r="J157">
        <f>IFERROR(__xludf.DUMMYFUNCTION("""COMPUTED_VALUE"""),0.0)</f>
        <v>0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1" t="s">
        <v>3</v>
      </c>
      <c r="B158">
        <f>IFERROR(__xludf.DUMMYFUNCTION("""COMPUTED_VALUE"""),0.0)</f>
        <v>0</v>
      </c>
      <c r="C158">
        <f>IFERROR(__xludf.DUMMYFUNCTION("""COMPUTED_VALUE"""),0.0)</f>
        <v>0</v>
      </c>
      <c r="D158">
        <f>IFERROR(__xludf.DUMMYFUNCTION("""COMPUTED_VALUE"""),0.0)</f>
        <v>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IFERROR(__xludf.DUMMYFUNCTION("""COMPUTED_VALUE"""),0.0)</f>
        <v>0</v>
      </c>
      <c r="I158">
        <f>IFERROR(__xludf.DUMMYFUNCTION("""COMPUTED_VALUE"""),0.0)</f>
        <v>0</v>
      </c>
      <c r="J158">
        <f>IFERROR(__xludf.DUMMYFUNCTION("""COMPUTED_VALUE"""),0.0)</f>
        <v>0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2" t="str">
        <f>IFERROR(__xludf.DUMMYFUNCTION("IMPORTRANGE(""1zr0uYCpJ5izByVOUCsr6JXezthGEdLXnwOrjIKGx5XI"",""Round 11!W1"")"),"Question: 1")</f>
        <v>Question: 1</v>
      </c>
      <c r="B159" s="3" t="s">
        <v>39</v>
      </c>
    </row>
    <row r="160">
      <c r="A160" s="2"/>
    </row>
    <row r="161">
      <c r="A161" s="1" t="s">
        <v>50</v>
      </c>
      <c r="B161" t="str">
        <f>IFERROR(__xludf.DUMMYFUNCTION("{IMPORTRANGE(""1TVrjNI5RE1VozIr906BhaTKMFP0VPx8aUGpyt_loukE"",""Round 11!C1:H3""),IMPORTRANGE(""1TVrjNI5RE1VozIr906BhaTKMFP0VPx8aUGpyt_loukE"",""Round 11!M1:R3"")}"),"Team A")</f>
        <v>Team A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IFERROR(__xludf.DUMMYFUNCTION("""COMPUTED_VALUE"""),"Team B")</f>
        <v>Team B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2" t="str">
        <f>IFERROR(__xludf.DUMMYFUNCTION("CONCAT(""A BP: "",IMPORTRANGE(""1TVrjNI5RE1VozIr906BhaTKMFP0VPx8aUGpyt_loukE"",""Round 11!I32""))"),"A BP: 0")</f>
        <v>A BP: 0</v>
      </c>
      <c r="B162" t="str">
        <f>IFERROR(__xludf.DUMMYFUNCTION("""COMPUTED_VALUE"""),"Score: 0")</f>
        <v>Score: 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0")</f>
        <v>Score: 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2" t="str">
        <f>IFERROR(__xludf.DUMMYFUNCTION("CONCAT(""B BP: "",IMPORTRANGE(""1TVrjNI5RE1VozIr906BhaTKMFP0VPx8aUGpyt_loukE"",""Round 11!S32""))"),"B BP: 0")</f>
        <v>B BP: 0</v>
      </c>
      <c r="B163" t="str">
        <f>IFERROR(__xludf.DUMMYFUNCTION("""COMPUTED_VALUE"""),"Player 1")</f>
        <v>Player 1</v>
      </c>
      <c r="C163" t="str">
        <f>IFERROR(__xludf.DUMMYFUNCTION("""COMPUTED_VALUE"""),"Player 2")</f>
        <v>Player 2</v>
      </c>
      <c r="D163" t="str">
        <f>IFERROR(__xludf.DUMMYFUNCTION("""COMPUTED_VALUE"""),"Player 3")</f>
        <v>Player 3</v>
      </c>
      <c r="E163" t="str">
        <f>IFERROR(__xludf.DUMMYFUNCTION("""COMPUTED_VALUE"""),"Player 4")</f>
        <v>Player 4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IFERROR(__xludf.DUMMYFUNCTION("""COMPUTED_VALUE"""),"Player 1")</f>
        <v>Player 1</v>
      </c>
      <c r="I163" t="str">
        <f>IFERROR(__xludf.DUMMYFUNCTION("""COMPUTED_VALUE"""),"Player 2")</f>
        <v>Player 2</v>
      </c>
      <c r="J163" t="str">
        <f>IFERROR(__xludf.DUMMYFUNCTION("""COMPUTED_VALUE"""),"Player 3")</f>
        <v>Player 3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1" t="s">
        <v>2</v>
      </c>
      <c r="B164">
        <f>IFERROR(__xludf.DUMMYFUNCTION("{IMPORTRANGE(""1TVrjNI5RE1VozIr906BhaTKMFP0VPx8aUGpyt_loukE"",""Round 11!C32:H36""),IMPORTRANGE(""1TVrjNI5RE1VozIr906BhaTKMFP0VPx8aUGpyt_loukE"",""Round 11!M32:R36"")}"),20.0)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1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1">
        <v>10.0</v>
      </c>
      <c r="B166">
        <f>IFERROR(__xludf.DUMMYFUNCTION("""COMPUTED_VALUE"""),0.0)</f>
        <v>0</v>
      </c>
      <c r="C166">
        <f>IFERROR(__xludf.DUMMYFUNCTION("""COMPUTED_VALUE"""),0.0)</f>
        <v>0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IFERROR(__xludf.DUMMYFUNCTION("""COMPUTED_VALUE"""),0.0)</f>
        <v>0</v>
      </c>
      <c r="I166">
        <f>IFERROR(__xludf.DUMMYFUNCTION("""COMPUTED_VALUE"""),0.0)</f>
        <v>0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1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IFERROR(__xludf.DUMMYFUNCTION("""COMPUTED_VALUE"""),0.0)</f>
        <v>0</v>
      </c>
      <c r="I167">
        <f>IFERROR(__xludf.DUMMYFUNCTION("""COMPUTED_VALUE"""),0.0)</f>
        <v>0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1" t="s">
        <v>3</v>
      </c>
      <c r="B168">
        <f>IFERROR(__xludf.DUMMYFUNCTION("""COMPUTED_VALUE"""),0.0)</f>
        <v>0</v>
      </c>
      <c r="C168">
        <f>IFERROR(__xludf.DUMMYFUNCTION("""COMPUTED_VALUE"""),0.0)</f>
        <v>0</v>
      </c>
      <c r="D168">
        <f>IFERROR(__xludf.DUMMYFUNCTION("""COMPUTED_VALUE"""),0.0)</f>
        <v>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IFERROR(__xludf.DUMMYFUNCTION("""COMPUTED_VALUE"""),0.0)</f>
        <v>0</v>
      </c>
      <c r="I168">
        <f>IFERROR(__xludf.DUMMYFUNCTION("""COMPUTED_VALUE"""),0.0)</f>
        <v>0</v>
      </c>
      <c r="J168">
        <f>IFERROR(__xludf.DUMMYFUNCTION("""COMPUTED_VALUE"""),0.0)</f>
        <v>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2" t="str">
        <f>IFERROR(__xludf.DUMMYFUNCTION("IMPORTRANGE(""1TVrjNI5RE1VozIr906BhaTKMFP0VPx8aUGpyt_loukE"",""Round 11!W1"")"),"Question: 1")</f>
        <v>Question: 1</v>
      </c>
      <c r="B169" s="3" t="s">
        <v>41</v>
      </c>
    </row>
    <row r="170">
      <c r="A170" s="2"/>
    </row>
    <row r="171">
      <c r="A171" s="1" t="s">
        <v>42</v>
      </c>
      <c r="B171" t="str">
        <f>IFERROR(__xludf.DUMMYFUNCTION("{IMPORTRANGE(""1xRz0po-ejgp-QRvMkY44z3u2CePgTccasdyrrVALbmE"",""Round 11!C1:H3""),IMPORTRANGE(""1xRz0po-ejgp-QRvMkY44z3u2CePgTccasdyrrVALbmE"",""Round 11!M1:R3"")}"),"Team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2" t="str">
        <f>IFERROR(__xludf.DUMMYFUNCTION("CONCAT(""A BP: "",IMPORTRANGE(""1xRz0po-ejgp-QRvMkY44z3u2CePgTccasdyrrVALbmE"",""Round 11!I32""))"),"A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2" t="str">
        <f>IFERROR(__xludf.DUMMYFUNCTION("CONCAT(""B BP: "",IMPORTRANGE(""1xRz0po-ejgp-QRvMkY44z3u2CePgTccasdyrrVALbmE"",""Round 11!S32""))"),"B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1" t="s">
        <v>2</v>
      </c>
      <c r="B174">
        <f>IFERROR(__xludf.DUMMYFUNCTION("{IMPORTRANGE(""1xRz0po-ejgp-QRvMkY44z3u2CePgTccasdyrrVALbmE"",""Round 11!C32:H36""),IMPORTRANGE(""1xRz0po-ejgp-QRvMkY44z3u2CePgTccasdyrrVALbmE"",""Round 11!M32:R36"")}"),20.0)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1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1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1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1" t="s">
        <v>3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2" t="str">
        <f>IFERROR(__xludf.DUMMYFUNCTION("IMPORTRANGE(""1xRz0po-ejgp-QRvMkY44z3u2CePgTccasdyrrVALbmE"",""Round 11!W1"")"),"Question: 1")</f>
        <v>Question: 1</v>
      </c>
      <c r="B179" s="3" t="s">
        <v>43</v>
      </c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 t="s">
        <v>0</v>
      </c>
      <c r="B1" t="str">
        <f>IFERROR(__xludf.DUMMYFUNCTION("{IMPORTRANGE(""1JXwZ4AjXctyKvWy9qFKCX518NRYJYhSX9Jii0HPBCUs"",""Round 12!C1:H3""),IMPORTRANGE(""1JXwZ4AjXctyKvWy9qFKCX518NRYJYhSX9Jii0HPBCUs"",""Round 12!M1:R3"")}"),"Team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2" t="str">
        <f>IFERROR(__xludf.DUMMYFUNCTION("CONCAT(""A BP: "",IMPORTRANGE(""1JXwZ4AjXctyKvWy9qFKCX518NRYJYhSX9Jii0HPBCUs"",""Round 12!I32""))"),"A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2" t="str">
        <f>IFERROR(__xludf.DUMMYFUNCTION("CONCAT(""B BP: "",IMPORTRANGE(""1JXwZ4AjXctyKvWy9qFKCX518NRYJYhSX9Jii0HPBCUs"",""Round 12!S32""))"),"B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1" t="s">
        <v>2</v>
      </c>
      <c r="B4">
        <f>IFERROR(__xludf.DUMMYFUNCTION("{IMPORTRANGE(""1JXwZ4AjXctyKvWy9qFKCX518NRYJYhSX9Jii0HPBCUs"",""Round 12!C32:H36""),IMPORTRANGE(""1JXwZ4AjXctyKvWy9qFKCX518NRYJYhSX9Jii0HPBCUs"",""Round 12!M32:R36"")}"),20.0)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1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1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1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1" t="s">
        <v>3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2" t="str">
        <f>IFERROR(__xludf.DUMMYFUNCTION("IMPORTRANGE(""1JXwZ4AjXctyKvWy9qFKCX518NRYJYhSX9Jii0HPBCUs"",""Round 12!W1"")"),"Question: 1")</f>
        <v>Question: 1</v>
      </c>
      <c r="B9" s="3" t="s">
        <v>4</v>
      </c>
    </row>
    <row r="10">
      <c r="A10" s="1"/>
    </row>
    <row r="11">
      <c r="A11" s="1" t="s">
        <v>5</v>
      </c>
      <c r="B11" t="str">
        <f>IFERROR(__xludf.DUMMYFUNCTION("{IMPORTRANGE(""1GBDUn_ZojNLX5OJCVBEhvJbdm0c55Z7lPcE4L6WH89o"",""Round 12!C1:H3""),IMPORTRANGE(""1GBDUn_ZojNLX5OJCVBEhvJbdm0c55Z7lPcE4L6WH89o"",""Round 12!M1:R3"")}"),"Team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2" t="str">
        <f>IFERROR(__xludf.DUMMYFUNCTION("CONCAT(""A BP: "",IMPORTRANGE(""1GBDUn_ZojNLX5OJCVBEhvJbdm0c55Z7lPcE4L6WH89o"",""Round 12!I32""))"),"A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2" t="str">
        <f>IFERROR(__xludf.DUMMYFUNCTION("CONCAT(""B BP: "",IMPORTRANGE(""1GBDUn_ZojNLX5OJCVBEhvJbdm0c55Z7lPcE4L6WH89o"",""Round 12!S32""))"),"B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1" t="s">
        <v>2</v>
      </c>
      <c r="B14">
        <f>IFERROR(__xludf.DUMMYFUNCTION("{IMPORTRANGE(""1GBDUn_ZojNLX5OJCVBEhvJbdm0c55Z7lPcE4L6WH89o"",""Round 12!C32:H36""),IMPORTRANGE(""1GBDUn_ZojNLX5OJCVBEhvJbdm0c55Z7lPcE4L6WH89o"",""Round 12!M32:R36"")}"),20.0)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1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1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1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1" t="s">
        <v>3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2" t="str">
        <f>IFERROR(__xludf.DUMMYFUNCTION("IMPORTRANGE(""1GBDUn_ZojNLX5OJCVBEhvJbdm0c55Z7lPcE4L6WH89o"",""Round 12!W1"")"),"Question: 1")</f>
        <v>Question: 1</v>
      </c>
      <c r="B19" s="3" t="s">
        <v>6</v>
      </c>
    </row>
    <row r="20">
      <c r="A20" s="2"/>
    </row>
    <row r="21">
      <c r="A21" s="1" t="s">
        <v>7</v>
      </c>
      <c r="B21" t="str">
        <f>IFERROR(__xludf.DUMMYFUNCTION("{IMPORTRANGE(""19Dum1qlL_dEwf1AEniLf02Eg9XaNXi1GMkI5M4_Ei6w"",""Round 12!C1:H3""),IMPORTRANGE(""19Dum1qlL_dEwf1AEniLf02Eg9XaNXi1GMkI5M4_Ei6w"",""Round 12!M1:R3"")}"),"Team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2" t="str">
        <f>IFERROR(__xludf.DUMMYFUNCTION("CONCAT(""A BP: "",IMPORTRANGE(""19Dum1qlL_dEwf1AEniLf02Eg9XaNXi1GMkI5M4_Ei6w"",""Round 12!I32""))"),"A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2" t="str">
        <f>IFERROR(__xludf.DUMMYFUNCTION("CONCAT(""B BP: "",IMPORTRANGE(""19Dum1qlL_dEwf1AEniLf02Eg9XaNXi1GMkI5M4_Ei6w"",""Round 12!S32""))"),"B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1" t="s">
        <v>2</v>
      </c>
      <c r="B24">
        <f>IFERROR(__xludf.DUMMYFUNCTION("{IMPORTRANGE(""19Dum1qlL_dEwf1AEniLf02Eg9XaNXi1GMkI5M4_Ei6w"",""Round 12!C32:H36""),IMPORTRANGE(""19Dum1qlL_dEwf1AEniLf02Eg9XaNXi1GMkI5M4_Ei6w"",""Round 12!M32:R36"")}"),20.0)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1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1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1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1" t="s">
        <v>3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2" t="str">
        <f>IFERROR(__xludf.DUMMYFUNCTION("IMPORTRANGE(""19Dum1qlL_dEwf1AEniLf02Eg9XaNXi1GMkI5M4_Ei6w"",""Round 12!W1"")"),"Question: 1")</f>
        <v>Question: 1</v>
      </c>
      <c r="B29" s="3" t="s">
        <v>8</v>
      </c>
    </row>
    <row r="30">
      <c r="A30" s="2"/>
    </row>
    <row r="31">
      <c r="A31" s="1" t="s">
        <v>44</v>
      </c>
      <c r="B31" t="str">
        <f>IFERROR(__xludf.DUMMYFUNCTION("{IMPORTRANGE(""18KjuM_F6goZYnozVb7folIb5Hw_mfKQrNdVWKGx6j4s"",""Round 12!C1:H3""),IMPORTRANGE(""18KjuM_F6goZYnozVb7folIb5Hw_mfKQrNdVWKGx6j4s"",""Round 12!M1:R3"")}"),"Team A")</f>
        <v>Team A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IFERROR(__xludf.DUMMYFUNCTION("""COMPUTED_VALUE"""),"Team B")</f>
        <v>Team B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2" t="str">
        <f>IFERROR(__xludf.DUMMYFUNCTION("CONCAT(""A BP: "",IMPORTRANGE(""18KjuM_F6goZYnozVb7folIb5Hw_mfKQrNdVWKGx6j4s"",""Round 12!I32""))"),"A BP: 0")</f>
        <v>A BP: 0</v>
      </c>
      <c r="B32" t="str">
        <f>IFERROR(__xludf.DUMMYFUNCTION("""COMPUTED_VALUE"""),"Score: 0")</f>
        <v>Score: 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0")</f>
        <v>Score: 0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2" t="str">
        <f>IFERROR(__xludf.DUMMYFUNCTION("CONCAT(""B BP: "",IMPORTRANGE(""18KjuM_F6goZYnozVb7folIb5Hw_mfKQrNdVWKGx6j4s"",""Round 12!S32""))"),"B BP: 0")</f>
        <v>B BP: 0</v>
      </c>
      <c r="B33" t="str">
        <f>IFERROR(__xludf.DUMMYFUNCTION("""COMPUTED_VALUE"""),"Player 1")</f>
        <v>Player 1</v>
      </c>
      <c r="C33" t="str">
        <f>IFERROR(__xludf.DUMMYFUNCTION("""COMPUTED_VALUE"""),"Player 2")</f>
        <v>Player 2</v>
      </c>
      <c r="D33" t="str">
        <f>IFERROR(__xludf.DUMMYFUNCTION("""COMPUTED_VALUE"""),"Player 3")</f>
        <v>Player 3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IFERROR(__xludf.DUMMYFUNCTION("""COMPUTED_VALUE"""),"Player 1")</f>
        <v>Player 1</v>
      </c>
      <c r="I33" t="str">
        <f>IFERROR(__xludf.DUMMYFUNCTION("""COMPUTED_VALUE"""),"Player 2")</f>
        <v>Player 2</v>
      </c>
      <c r="J33" t="str">
        <f>IFERROR(__xludf.DUMMYFUNCTION("""COMPUTED_VALUE"""),"Player 3")</f>
        <v>Player 3</v>
      </c>
      <c r="K33" t="str">
        <f>IFERROR(__xludf.DUMMYFUNCTION("""COMPUTED_VALUE"""),"Player 4")</f>
        <v>Player 4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1" t="s">
        <v>2</v>
      </c>
      <c r="B34">
        <f>IFERROR(__xludf.DUMMYFUNCTION("{IMPORTRANGE(""18KjuM_F6goZYnozVb7folIb5Hw_mfKQrNdVWKGx6j4s"",""Round 12!C32:H36""),IMPORTRANGE(""18KjuM_F6goZYnozVb7folIb5Hw_mfKQrNdVWKGx6j4s"",""Round 12!M32:R36"")}"),20.0)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1">
        <v>15.0</v>
      </c>
      <c r="B35">
        <f>IFERROR(__xludf.DUMMYFUNCTION("""COMPUTED_VALUE"""),0.0)</f>
        <v>0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IFERROR(__xludf.DUMMYFUNCTION("""COMPUTED_VALUE"""),0.0)</f>
        <v>0</v>
      </c>
      <c r="J35">
        <f>IFERROR(__xludf.DUMMYFUNCTION("""COMPUTED_VALUE"""),0.0)</f>
        <v>0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1">
        <v>10.0</v>
      </c>
      <c r="B36">
        <f>IFERROR(__xludf.DUMMYFUNCTION("""COMPUTED_VALUE"""),0.0)</f>
        <v>0</v>
      </c>
      <c r="C36">
        <f>IFERROR(__xludf.DUMMYFUNCTION("""COMPUTED_VALUE"""),0.0)</f>
        <v>0</v>
      </c>
      <c r="D36">
        <f>IFERROR(__xludf.DUMMYFUNCTION("""COMPUTED_VALUE"""),0.0)</f>
        <v>0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IFERROR(__xludf.DUMMYFUNCTION("""COMPUTED_VALUE"""),0.0)</f>
        <v>0</v>
      </c>
      <c r="I36">
        <f>IFERROR(__xludf.DUMMYFUNCTION("""COMPUTED_VALUE"""),0.0)</f>
        <v>0</v>
      </c>
      <c r="J36">
        <f>IFERROR(__xludf.DUMMYFUNCTION("""COMPUTED_VALUE"""),0.0)</f>
        <v>0</v>
      </c>
      <c r="K36">
        <f>IFERROR(__xludf.DUMMYFUNCTION("""COMPUTED_VALUE"""),0.0)</f>
        <v>0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1">
        <v>-5.0</v>
      </c>
      <c r="B37">
        <f>IFERROR(__xludf.DUMMYFUNCTION("""COMPUTED_VALUE"""),0.0)</f>
        <v>0</v>
      </c>
      <c r="C37">
        <f>IFERROR(__xludf.DUMMYFUNCTION("""COMPUTED_VALUE"""),0.0)</f>
        <v>0</v>
      </c>
      <c r="D37">
        <f>IFERROR(__xludf.DUMMYFUNCTION("""COMPUTED_VALUE"""),0.0)</f>
        <v>0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IFERROR(__xludf.DUMMYFUNCTION("""COMPUTED_VALUE"""),0.0)</f>
        <v>0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1" t="s">
        <v>3</v>
      </c>
      <c r="B38">
        <f>IFERROR(__xludf.DUMMYFUNCTION("""COMPUTED_VALUE"""),0.0)</f>
        <v>0</v>
      </c>
      <c r="C38">
        <f>IFERROR(__xludf.DUMMYFUNCTION("""COMPUTED_VALUE"""),0.0)</f>
        <v>0</v>
      </c>
      <c r="D38">
        <f>IFERROR(__xludf.DUMMYFUNCTION("""COMPUTED_VALUE"""),0.0)</f>
        <v>0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IFERROR(__xludf.DUMMYFUNCTION("""COMPUTED_VALUE"""),0.0)</f>
        <v>0</v>
      </c>
      <c r="I38">
        <f>IFERROR(__xludf.DUMMYFUNCTION("""COMPUTED_VALUE"""),0.0)</f>
        <v>0</v>
      </c>
      <c r="J38">
        <f>IFERROR(__xludf.DUMMYFUNCTION("""COMPUTED_VALUE"""),0.0)</f>
        <v>0</v>
      </c>
      <c r="K38">
        <f>IFERROR(__xludf.DUMMYFUNCTION("""COMPUTED_VALUE"""),0.0)</f>
        <v>0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2" t="str">
        <f>IFERROR(__xludf.DUMMYFUNCTION("IMPORTRANGE(""18KjuM_F6goZYnozVb7folIb5Hw_mfKQrNdVWKGx6j4s"",""Round 12!W1"")"),"Question: 1")</f>
        <v>Question: 1</v>
      </c>
      <c r="B39" s="3" t="s">
        <v>10</v>
      </c>
    </row>
    <row r="40">
      <c r="A40" s="2"/>
    </row>
    <row r="41">
      <c r="A41" s="1" t="s">
        <v>12</v>
      </c>
      <c r="B41" t="str">
        <f>IFERROR(__xludf.DUMMYFUNCTION("{IMPORTRANGE(""1_YEY20HiFjspjicPICCMlL_lQXsksdB6d3m5vzHwuOI"",""Round 12!C1:H3""),IMPORTRANGE(""1_YEY20HiFjspjicPICCMlL_lQXsksdB6d3m5vzHwuOI"",""Round 12!M1:R3"")}"),"Team A")</f>
        <v>Team A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IFERROR(__xludf.DUMMYFUNCTION("""COMPUTED_VALUE"""),"Team B")</f>
        <v>Team B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2" t="str">
        <f>IFERROR(__xludf.DUMMYFUNCTION("CONCAT(""A BP: "",IMPORTRANGE(""1_YEY20HiFjspjicPICCMlL_lQXsksdB6d3m5vzHwuOI"",""Round 12!I32""))"),"A BP: 0")</f>
        <v>A BP: 0</v>
      </c>
      <c r="B42" t="str">
        <f>IFERROR(__xludf.DUMMYFUNCTION("""COMPUTED_VALUE"""),"Score: 0")</f>
        <v>Score: 0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0")</f>
        <v>Score: 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2" t="str">
        <f>IFERROR(__xludf.DUMMYFUNCTION("CONCAT(""B BP: "",IMPORTRANGE(""1_YEY20HiFjspjicPICCMlL_lQXsksdB6d3m5vzHwuOI"",""Round 12!S32""))"),"B BP: 0")</f>
        <v>B BP: 0</v>
      </c>
      <c r="B43" t="str">
        <f>IFERROR(__xludf.DUMMYFUNCTION("""COMPUTED_VALUE"""),"Player 1")</f>
        <v>Player 1</v>
      </c>
      <c r="C43" t="str">
        <f>IFERROR(__xludf.DUMMYFUNCTION("""COMPUTED_VALUE"""),"Player 2")</f>
        <v>Player 2</v>
      </c>
      <c r="D43" t="str">
        <f>IFERROR(__xludf.DUMMYFUNCTION("""COMPUTED_VALUE"""),"Player 3")</f>
        <v>Player 3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IFERROR(__xludf.DUMMYFUNCTION("""COMPUTED_VALUE"""),"Player 1")</f>
        <v>Player 1</v>
      </c>
      <c r="I43" t="str">
        <f>IFERROR(__xludf.DUMMYFUNCTION("""COMPUTED_VALUE"""),"Player 2")</f>
        <v>Player 2</v>
      </c>
      <c r="J43" t="str">
        <f>IFERROR(__xludf.DUMMYFUNCTION("""COMPUTED_VALUE"""),"Player 3")</f>
        <v>Player 3</v>
      </c>
      <c r="K43" t="str">
        <f>IFERROR(__xludf.DUMMYFUNCTION("""COMPUTED_VALUE"""),"Player 4")</f>
        <v>Player 4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1" t="s">
        <v>2</v>
      </c>
      <c r="B44">
        <f>IFERROR(__xludf.DUMMYFUNCTION("{IMPORTRANGE(""1_YEY20HiFjspjicPICCMlL_lQXsksdB6d3m5vzHwuOI"",""Round 12!C32:H36""),IMPORTRANGE(""1_YEY20HiFjspjicPICCMlL_lQXsksdB6d3m5vzHwuOI"",""Round 12!M32:R36"")}"),20.0)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1">
        <v>15.0</v>
      </c>
      <c r="B45">
        <f>IFERROR(__xludf.DUMMYFUNCTION("""COMPUTED_VALUE"""),0.0)</f>
        <v>0</v>
      </c>
      <c r="C45">
        <f>IFERROR(__xludf.DUMMYFUNCTION("""COMPUTED_VALUE"""),0.0)</f>
        <v>0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IFERROR(__xludf.DUMMYFUNCTION("""COMPUTED_VALUE"""),0.0)</f>
        <v>0</v>
      </c>
      <c r="I45">
        <f>IFERROR(__xludf.DUMMYFUNCTION("""COMPUTED_VALUE"""),0.0)</f>
        <v>0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1">
        <v>10.0</v>
      </c>
      <c r="B46">
        <f>IFERROR(__xludf.DUMMYFUNCTION("""COMPUTED_VALUE"""),0.0)</f>
        <v>0</v>
      </c>
      <c r="C46">
        <f>IFERROR(__xludf.DUMMYFUNCTION("""COMPUTED_VALUE"""),0.0)</f>
        <v>0</v>
      </c>
      <c r="D46">
        <f>IFERROR(__xludf.DUMMYFUNCTION("""COMPUTED_VALUE"""),0.0)</f>
        <v>0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IFERROR(__xludf.DUMMYFUNCTION("""COMPUTED_VALUE"""),0.0)</f>
        <v>0</v>
      </c>
      <c r="I46">
        <f>IFERROR(__xludf.DUMMYFUNCTION("""COMPUTED_VALUE"""),0.0)</f>
        <v>0</v>
      </c>
      <c r="J46">
        <f>IFERROR(__xludf.DUMMYFUNCTION("""COMPUTED_VALUE"""),0.0)</f>
        <v>0</v>
      </c>
      <c r="K46">
        <f>IFERROR(__xludf.DUMMYFUNCTION("""COMPUTED_VALUE"""),0.0)</f>
        <v>0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1">
        <v>-5.0</v>
      </c>
      <c r="B47">
        <f>IFERROR(__xludf.DUMMYFUNCTION("""COMPUTED_VALUE"""),0.0)</f>
        <v>0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1" t="s">
        <v>3</v>
      </c>
      <c r="B48">
        <f>IFERROR(__xludf.DUMMYFUNCTION("""COMPUTED_VALUE"""),0.0)</f>
        <v>0</v>
      </c>
      <c r="C48">
        <f>IFERROR(__xludf.DUMMYFUNCTION("""COMPUTED_VALUE"""),0.0)</f>
        <v>0</v>
      </c>
      <c r="D48">
        <f>IFERROR(__xludf.DUMMYFUNCTION("""COMPUTED_VALUE"""),0.0)</f>
        <v>0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IFERROR(__xludf.DUMMYFUNCTION("""COMPUTED_VALUE"""),0.0)</f>
        <v>0</v>
      </c>
      <c r="I48">
        <f>IFERROR(__xludf.DUMMYFUNCTION("""COMPUTED_VALUE"""),0.0)</f>
        <v>0</v>
      </c>
      <c r="J48">
        <f>IFERROR(__xludf.DUMMYFUNCTION("""COMPUTED_VALUE"""),0.0)</f>
        <v>0</v>
      </c>
      <c r="K48">
        <f>IFERROR(__xludf.DUMMYFUNCTION("""COMPUTED_VALUE"""),0.0)</f>
        <v>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2" t="str">
        <f>IFERROR(__xludf.DUMMYFUNCTION("IMPORTRANGE(""1_YEY20HiFjspjicPICCMlL_lQXsksdB6d3m5vzHwuOI"",""Round 12!W1"")"),"Question: 1")</f>
        <v>Question: 1</v>
      </c>
      <c r="B49" s="3" t="s">
        <v>13</v>
      </c>
    </row>
    <row r="50">
      <c r="A50" s="2"/>
    </row>
    <row r="51">
      <c r="A51" s="1" t="s">
        <v>15</v>
      </c>
      <c r="B51" t="str">
        <f>IFERROR(__xludf.DUMMYFUNCTION("{IMPORTRANGE(""1SYS5Ef48991ZUgqcGqj51eX2YgqKCzfrEZ_pUY01Lwo"",""Round 12!C1:H3""),IMPORTRANGE(""1SYS5Ef48991ZUgqcGqj51eX2YgqKCzfrEZ_pUY01Lwo"",""Round 12!M1:R3"")}"),"Team A")</f>
        <v>Team A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IFERROR(__xludf.DUMMYFUNCTION("""COMPUTED_VALUE"""),"Team B")</f>
        <v>Team B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2" t="str">
        <f>IFERROR(__xludf.DUMMYFUNCTION("CONCAT(""A BP: "",IMPORTRANGE(""1SYS5Ef48991ZUgqcGqj51eX2YgqKCzfrEZ_pUY01Lwo"",""Round 12!I32""))"),"A BP: 0")</f>
        <v>A BP: 0</v>
      </c>
      <c r="B52" t="str">
        <f>IFERROR(__xludf.DUMMYFUNCTION("""COMPUTED_VALUE"""),"Score: 0")</f>
        <v>Score: 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0")</f>
        <v>Score: 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2" t="str">
        <f>IFERROR(__xludf.DUMMYFUNCTION("CONCAT(""B BP: "",IMPORTRANGE(""1SYS5Ef48991ZUgqcGqj51eX2YgqKCzfrEZ_pUY01Lwo"",""Round 12!S32""))"),"B BP: 0")</f>
        <v>B BP: 0</v>
      </c>
      <c r="B53" t="str">
        <f>IFERROR(__xludf.DUMMYFUNCTION("""COMPUTED_VALUE"""),"Player 1")</f>
        <v>Player 1</v>
      </c>
      <c r="C53" t="str">
        <f>IFERROR(__xludf.DUMMYFUNCTION("""COMPUTED_VALUE"""),"Player 2")</f>
        <v>Player 2</v>
      </c>
      <c r="D53" t="str">
        <f>IFERROR(__xludf.DUMMYFUNCTION("""COMPUTED_VALUE"""),"Player 3")</f>
        <v>Player 3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IFERROR(__xludf.DUMMYFUNCTION("""COMPUTED_VALUE"""),"Player 1")</f>
        <v>Player 1</v>
      </c>
      <c r="I53" t="str">
        <f>IFERROR(__xludf.DUMMYFUNCTION("""COMPUTED_VALUE"""),"Player 2")</f>
        <v>Player 2</v>
      </c>
      <c r="J53" t="str">
        <f>IFERROR(__xludf.DUMMYFUNCTION("""COMPUTED_VALUE"""),"Player 3")</f>
        <v>Player 3</v>
      </c>
      <c r="K53" t="str">
        <f>IFERROR(__xludf.DUMMYFUNCTION("""COMPUTED_VALUE"""),"Player 4")</f>
        <v>Player 4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1" t="s">
        <v>2</v>
      </c>
      <c r="B54">
        <f>IFERROR(__xludf.DUMMYFUNCTION("{IMPORTRANGE(""1SYS5Ef48991ZUgqcGqj51eX2YgqKCzfrEZ_pUY01Lwo"",""Round 12!C32:H36""),IMPORTRANGE(""1SYS5Ef48991ZUgqcGqj51eX2YgqKCzfrEZ_pUY01Lwo"",""Round 12!M32:R36"")}"),20.0)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1">
        <v>15.0</v>
      </c>
      <c r="B55">
        <f>IFERROR(__xludf.DUMMYFUNCTION("""COMPUTED_VALUE"""),0.0)</f>
        <v>0</v>
      </c>
      <c r="C55">
        <f>IFERROR(__xludf.DUMMYFUNCTION("""COMPUTED_VALUE"""),0.0)</f>
        <v>0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IFERROR(__xludf.DUMMYFUNCTION("""COMPUTED_VALUE"""),0.0)</f>
        <v>0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1">
        <v>10.0</v>
      </c>
      <c r="B56">
        <f>IFERROR(__xludf.DUMMYFUNCTION("""COMPUTED_VALUE"""),0.0)</f>
        <v>0</v>
      </c>
      <c r="C56">
        <f>IFERROR(__xludf.DUMMYFUNCTION("""COMPUTED_VALUE"""),0.0)</f>
        <v>0</v>
      </c>
      <c r="D56">
        <f>IFERROR(__xludf.DUMMYFUNCTION("""COMPUTED_VALUE"""),0.0)</f>
        <v>0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IFERROR(__xludf.DUMMYFUNCTION("""COMPUTED_VALUE"""),0.0)</f>
        <v>0</v>
      </c>
      <c r="I56">
        <f>IFERROR(__xludf.DUMMYFUNCTION("""COMPUTED_VALUE"""),0.0)</f>
        <v>0</v>
      </c>
      <c r="J56">
        <f>IFERROR(__xludf.DUMMYFUNCTION("""COMPUTED_VALUE"""),0.0)</f>
        <v>0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1">
        <v>-5.0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IFERROR(__xludf.DUMMYFUNCTION("""COMPUTED_VALUE"""),0.0)</f>
        <v>0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1" t="s">
        <v>3</v>
      </c>
      <c r="B58">
        <f>IFERROR(__xludf.DUMMYFUNCTION("""COMPUTED_VALUE"""),0.0)</f>
        <v>0</v>
      </c>
      <c r="C58">
        <f>IFERROR(__xludf.DUMMYFUNCTION("""COMPUTED_VALUE"""),0.0)</f>
        <v>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IFERROR(__xludf.DUMMYFUNCTION("""COMPUTED_VALUE"""),0.0)</f>
        <v>0</v>
      </c>
      <c r="I58">
        <f>IFERROR(__xludf.DUMMYFUNCTION("""COMPUTED_VALUE"""),0.0)</f>
        <v>0</v>
      </c>
      <c r="J58">
        <f>IFERROR(__xludf.DUMMYFUNCTION("""COMPUTED_VALUE"""),0.0)</f>
        <v>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2" t="str">
        <f>IFERROR(__xludf.DUMMYFUNCTION("IMPORTRANGE(""1SYS5Ef48991ZUgqcGqj51eX2YgqKCzfrEZ_pUY01Lwo"",""Round 12!W1"")"),"Question: 1")</f>
        <v>Question: 1</v>
      </c>
      <c r="B59" s="3" t="s">
        <v>16</v>
      </c>
    </row>
    <row r="60">
      <c r="A60" s="2"/>
    </row>
    <row r="61">
      <c r="A61" s="1" t="s">
        <v>17</v>
      </c>
      <c r="B61" t="str">
        <f>IFERROR(__xludf.DUMMYFUNCTION("{IMPORTRANGE(""1UJlRLlhI2Hg_SAQqQOg0JGdwHhiagF7EVAtCX8UOYFc"",""Round 12!C1:H3""),IMPORTRANGE(""1UJlRLlhI2Hg_SAQqQOg0JGdwHhiagF7EVAtCX8UOYFc"",""Round 12!M1:R3"")}"),"Team A")</f>
        <v>Team A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IFERROR(__xludf.DUMMYFUNCTION("""COMPUTED_VALUE"""),"Team B")</f>
        <v>Team B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2" t="str">
        <f>IFERROR(__xludf.DUMMYFUNCTION("CONCAT(""A BP: "",IMPORTRANGE(""1UJlRLlhI2Hg_SAQqQOg0JGdwHhiagF7EVAtCX8UOYFc"",""Round 12!I32""))"),"A BP: 0")</f>
        <v>A BP: 0</v>
      </c>
      <c r="B62" t="str">
        <f>IFERROR(__xludf.DUMMYFUNCTION("""COMPUTED_VALUE"""),"Score: 0")</f>
        <v>Score: 0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0")</f>
        <v>Score: 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2" t="str">
        <f>IFERROR(__xludf.DUMMYFUNCTION("CONCAT(""B BP: "",IMPORTRANGE(""1UJlRLlhI2Hg_SAQqQOg0JGdwHhiagF7EVAtCX8UOYFc"",""Round 12!S32""))"),"B BP: 0")</f>
        <v>B BP: 0</v>
      </c>
      <c r="B63" t="str">
        <f>IFERROR(__xludf.DUMMYFUNCTION("""COMPUTED_VALUE"""),"Player 1")</f>
        <v>Player 1</v>
      </c>
      <c r="C63" t="str">
        <f>IFERROR(__xludf.DUMMYFUNCTION("""COMPUTED_VALUE"""),"Player 2")</f>
        <v>Player 2</v>
      </c>
      <c r="D63" t="str">
        <f>IFERROR(__xludf.DUMMYFUNCTION("""COMPUTED_VALUE"""),"Player 3")</f>
        <v>Player 3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IFERROR(__xludf.DUMMYFUNCTION("""COMPUTED_VALUE"""),"Player 1")</f>
        <v>Player 1</v>
      </c>
      <c r="I63" t="str">
        <f>IFERROR(__xludf.DUMMYFUNCTION("""COMPUTED_VALUE"""),"Player 2")</f>
        <v>Player 2</v>
      </c>
      <c r="J63" t="str">
        <f>IFERROR(__xludf.DUMMYFUNCTION("""COMPUTED_VALUE"""),"Player 3")</f>
        <v>Player 3</v>
      </c>
      <c r="K63" t="str">
        <f>IFERROR(__xludf.DUMMYFUNCTION("""COMPUTED_VALUE"""),"Player 4")</f>
        <v>Player 4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1" t="s">
        <v>2</v>
      </c>
      <c r="B64">
        <f>IFERROR(__xludf.DUMMYFUNCTION("{IMPORTRANGE(""1UJlRLlhI2Hg_SAQqQOg0JGdwHhiagF7EVAtCX8UOYFc"",""Round 12!C32:H36""),IMPORTRANGE(""1UJlRLlhI2Hg_SAQqQOg0JGdwHhiagF7EVAtCX8UOYFc"",""Round 12!M32:R36"")}"),20.0)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1">
        <v>15.0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IFERROR(__xludf.DUMMYFUNCTION("""COMPUTED_VALUE"""),0.0)</f>
        <v>0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1">
        <v>10.0</v>
      </c>
      <c r="B66">
        <f>IFERROR(__xludf.DUMMYFUNCTION("""COMPUTED_VALUE"""),0.0)</f>
        <v>0</v>
      </c>
      <c r="C66">
        <f>IFERROR(__xludf.DUMMYFUNCTION("""COMPUTED_VALUE"""),0.0)</f>
        <v>0</v>
      </c>
      <c r="D66">
        <f>IFERROR(__xludf.DUMMYFUNCTION("""COMPUTED_VALUE"""),0.0)</f>
        <v>0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IFERROR(__xludf.DUMMYFUNCTION("""COMPUTED_VALUE"""),0.0)</f>
        <v>0</v>
      </c>
      <c r="I66">
        <f>IFERROR(__xludf.DUMMYFUNCTION("""COMPUTED_VALUE"""),0.0)</f>
        <v>0</v>
      </c>
      <c r="J66">
        <f>IFERROR(__xludf.DUMMYFUNCTION("""COMPUTED_VALUE"""),0.0)</f>
        <v>0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1">
        <v>-5.0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IFERROR(__xludf.DUMMYFUNCTION("""COMPUTED_VALUE"""),0.0)</f>
        <v>0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1" t="s">
        <v>3</v>
      </c>
      <c r="B68">
        <f>IFERROR(__xludf.DUMMYFUNCTION("""COMPUTED_VALUE"""),0.0)</f>
        <v>0</v>
      </c>
      <c r="C68">
        <f>IFERROR(__xludf.DUMMYFUNCTION("""COMPUTED_VALUE"""),0.0)</f>
        <v>0</v>
      </c>
      <c r="D68">
        <f>IFERROR(__xludf.DUMMYFUNCTION("""COMPUTED_VALUE"""),0.0)</f>
        <v>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IFERROR(__xludf.DUMMYFUNCTION("""COMPUTED_VALUE"""),0.0)</f>
        <v>0</v>
      </c>
      <c r="I68">
        <f>IFERROR(__xludf.DUMMYFUNCTION("""COMPUTED_VALUE"""),0.0)</f>
        <v>0</v>
      </c>
      <c r="J68">
        <f>IFERROR(__xludf.DUMMYFUNCTION("""COMPUTED_VALUE"""),0.0)</f>
        <v>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2" t="str">
        <f>IFERROR(__xludf.DUMMYFUNCTION("IMPORTRANGE(""1UJlRLlhI2Hg_SAQqQOg0JGdwHhiagF7EVAtCX8UOYFc"",""Round 12!W1"")"),"Question: 1")</f>
        <v>Question: 1</v>
      </c>
      <c r="B69" s="3" t="s">
        <v>19</v>
      </c>
    </row>
    <row r="70">
      <c r="A70" s="2"/>
    </row>
    <row r="71">
      <c r="A71" s="1" t="s">
        <v>20</v>
      </c>
      <c r="B71" t="str">
        <f>IFERROR(__xludf.DUMMYFUNCTION("{IMPORTRANGE(""1jA96n0qbauznSt6-hkr51AslpxJqfrWgkafVtMV8_xU"",""Round 12!C1:H3""),IMPORTRANGE(""1jA96n0qbauznSt6-hkr51AslpxJqfrWgkafVtMV8_xU"",""Round 12!M1:R3"")}"),"Team A")</f>
        <v>Team A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IFERROR(__xludf.DUMMYFUNCTION("""COMPUTED_VALUE"""),"Team B")</f>
        <v>Team B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2" t="str">
        <f>IFERROR(__xludf.DUMMYFUNCTION("CONCAT(""A BP: "",IMPORTRANGE(""1jA96n0qbauznSt6-hkr51AslpxJqfrWgkafVtMV8_xU"",""Round 12!I32""))"),"A BP: 0")</f>
        <v>A BP: 0</v>
      </c>
      <c r="B72" t="str">
        <f>IFERROR(__xludf.DUMMYFUNCTION("""COMPUTED_VALUE"""),"Score: 0")</f>
        <v>Score: 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0")</f>
        <v>Score: 0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2" t="str">
        <f>IFERROR(__xludf.DUMMYFUNCTION("CONCAT(""B BP: "",IMPORTRANGE(""1jA96n0qbauznSt6-hkr51AslpxJqfrWgkafVtMV8_xU"",""Round 12!S32""))"),"B BP: 0")</f>
        <v>B BP: 0</v>
      </c>
      <c r="B73" t="str">
        <f>IFERROR(__xludf.DUMMYFUNCTION("""COMPUTED_VALUE"""),"Player 1")</f>
        <v>Player 1</v>
      </c>
      <c r="C73" t="str">
        <f>IFERROR(__xludf.DUMMYFUNCTION("""COMPUTED_VALUE"""),"Player 2")</f>
        <v>Player 2</v>
      </c>
      <c r="D73" t="str">
        <f>IFERROR(__xludf.DUMMYFUNCTION("""COMPUTED_VALUE"""),"Player 3")</f>
        <v>Player 3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IFERROR(__xludf.DUMMYFUNCTION("""COMPUTED_VALUE"""),"Player 1")</f>
        <v>Player 1</v>
      </c>
      <c r="I73" t="str">
        <f>IFERROR(__xludf.DUMMYFUNCTION("""COMPUTED_VALUE"""),"Player 2")</f>
        <v>Player 2</v>
      </c>
      <c r="J73" t="str">
        <f>IFERROR(__xludf.DUMMYFUNCTION("""COMPUTED_VALUE"""),"Player 3")</f>
        <v>Player 3</v>
      </c>
      <c r="K73" t="str">
        <f>IFERROR(__xludf.DUMMYFUNCTION("""COMPUTED_VALUE"""),"Player 4")</f>
        <v>Player 4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1" t="s">
        <v>2</v>
      </c>
      <c r="B74">
        <f>IFERROR(__xludf.DUMMYFUNCTION("{IMPORTRANGE(""1jA96n0qbauznSt6-hkr51AslpxJqfrWgkafVtMV8_xU"",""Round 12!C32:H36""),IMPORTRANGE(""1jA96n0qbauznSt6-hkr51AslpxJqfrWgkafVtMV8_xU"",""Round 12!M32:R36"")}"),20.0)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1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IFERROR(__xludf.DUMMYFUNCTION("""COMPUTED_VALUE"""),0.0)</f>
        <v>0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1">
        <v>10.0</v>
      </c>
      <c r="B76">
        <f>IFERROR(__xludf.DUMMYFUNCTION("""COMPUTED_VALUE"""),0.0)</f>
        <v>0</v>
      </c>
      <c r="C76">
        <f>IFERROR(__xludf.DUMMYFUNCTION("""COMPUTED_VALUE"""),0.0)</f>
        <v>0</v>
      </c>
      <c r="D76">
        <f>IFERROR(__xludf.DUMMYFUNCTION("""COMPUTED_VALUE"""),0.0)</f>
        <v>0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IFERROR(__xludf.DUMMYFUNCTION("""COMPUTED_VALUE"""),0.0)</f>
        <v>0</v>
      </c>
      <c r="I76">
        <f>IFERROR(__xludf.DUMMYFUNCTION("""COMPUTED_VALUE"""),0.0)</f>
        <v>0</v>
      </c>
      <c r="J76">
        <f>IFERROR(__xludf.DUMMYFUNCTION("""COMPUTED_VALUE"""),0.0)</f>
        <v>0</v>
      </c>
      <c r="K76">
        <f>IFERROR(__xludf.DUMMYFUNCTION("""COMPUTED_VALUE"""),0.0)</f>
        <v>0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1">
        <v>-5.0</v>
      </c>
      <c r="B77">
        <f>IFERROR(__xludf.DUMMYFUNCTION("""COMPUTED_VALUE"""),0.0)</f>
        <v>0</v>
      </c>
      <c r="C77">
        <f>IFERROR(__xludf.DUMMYFUNCTION("""COMPUTED_VALUE"""),0.0)</f>
        <v>0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1" t="s">
        <v>3</v>
      </c>
      <c r="B78">
        <f>IFERROR(__xludf.DUMMYFUNCTION("""COMPUTED_VALUE"""),0.0)</f>
        <v>0</v>
      </c>
      <c r="C78">
        <f>IFERROR(__xludf.DUMMYFUNCTION("""COMPUTED_VALUE"""),0.0)</f>
        <v>0</v>
      </c>
      <c r="D78">
        <f>IFERROR(__xludf.DUMMYFUNCTION("""COMPUTED_VALUE"""),0.0)</f>
        <v>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IFERROR(__xludf.DUMMYFUNCTION("""COMPUTED_VALUE"""),0.0)</f>
        <v>0</v>
      </c>
      <c r="I78">
        <f>IFERROR(__xludf.DUMMYFUNCTION("""COMPUTED_VALUE"""),0.0)</f>
        <v>0</v>
      </c>
      <c r="J78">
        <f>IFERROR(__xludf.DUMMYFUNCTION("""COMPUTED_VALUE"""),0.0)</f>
        <v>0</v>
      </c>
      <c r="K78">
        <f>IFERROR(__xludf.DUMMYFUNCTION("""COMPUTED_VALUE"""),0.0)</f>
        <v>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2" t="str">
        <f>IFERROR(__xludf.DUMMYFUNCTION("IMPORTRANGE(""1jA96n0qbauznSt6-hkr51AslpxJqfrWgkafVtMV8_xU"",""Round 12!W1"")"),"Question: 1")</f>
        <v>Question: 1</v>
      </c>
      <c r="B79" s="3" t="s">
        <v>22</v>
      </c>
    </row>
    <row r="80">
      <c r="A80" s="2"/>
    </row>
    <row r="81">
      <c r="A81" s="1" t="s">
        <v>23</v>
      </c>
      <c r="B81" t="str">
        <f>IFERROR(__xludf.DUMMYFUNCTION("{IMPORTRANGE(""1xw1EOjVhrK1PNJfOYiUsuJNrlpV53SmfJxYsFFolQ3s"",""Round 12!C1:H3""),IMPORTRANGE(""1xw1EOjVhrK1PNJfOYiUsuJNrlpV53SmfJxYsFFolQ3s"",""Round 12!M1:R3"")}"),"Team A")</f>
        <v>Team A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IFERROR(__xludf.DUMMYFUNCTION("""COMPUTED_VALUE"""),"Team B")</f>
        <v>Team B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2" t="str">
        <f>IFERROR(__xludf.DUMMYFUNCTION("CONCAT(""A BP: "",IMPORTRANGE(""1xw1EOjVhrK1PNJfOYiUsuJNrlpV53SmfJxYsFFolQ3s"",""Round 12!I32""))"),"A BP: 0")</f>
        <v>A BP: 0</v>
      </c>
      <c r="B82" t="str">
        <f>IFERROR(__xludf.DUMMYFUNCTION("""COMPUTED_VALUE"""),"Score: 0")</f>
        <v>Score: 0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0")</f>
        <v>Score: 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2" t="str">
        <f>IFERROR(__xludf.DUMMYFUNCTION("CONCAT(""B BP: "",IMPORTRANGE(""1xw1EOjVhrK1PNJfOYiUsuJNrlpV53SmfJxYsFFolQ3s"",""Round 12!S32""))"),"B BP: 0")</f>
        <v>B BP: 0</v>
      </c>
      <c r="B83" t="str">
        <f>IFERROR(__xludf.DUMMYFUNCTION("""COMPUTED_VALUE"""),"Player 1")</f>
        <v>Player 1</v>
      </c>
      <c r="C83" t="str">
        <f>IFERROR(__xludf.DUMMYFUNCTION("""COMPUTED_VALUE"""),"Player 2")</f>
        <v>Player 2</v>
      </c>
      <c r="D83" t="str">
        <f>IFERROR(__xludf.DUMMYFUNCTION("""COMPUTED_VALUE"""),"Player 3")</f>
        <v>Player 3</v>
      </c>
      <c r="E83" t="str">
        <f>IFERROR(__xludf.DUMMYFUNCTION("""COMPUTED_VALUE"""),"Player 4")</f>
        <v>Player 4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IFERROR(__xludf.DUMMYFUNCTION("""COMPUTED_VALUE"""),"Player 1")</f>
        <v>Player 1</v>
      </c>
      <c r="I83" t="str">
        <f>IFERROR(__xludf.DUMMYFUNCTION("""COMPUTED_VALUE"""),"Player 2")</f>
        <v>Player 2</v>
      </c>
      <c r="J83" t="str">
        <f>IFERROR(__xludf.DUMMYFUNCTION("""COMPUTED_VALUE"""),"Player 3")</f>
        <v>Player 3</v>
      </c>
      <c r="K83" t="str">
        <f>IFERROR(__xludf.DUMMYFUNCTION("""COMPUTED_VALUE"""),"Player 4")</f>
        <v>Player 4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1" t="s">
        <v>2</v>
      </c>
      <c r="B84">
        <f>IFERROR(__xludf.DUMMYFUNCTION("{IMPORTRANGE(""1xw1EOjVhrK1PNJfOYiUsuJNrlpV53SmfJxYsFFolQ3s"",""Round 12!C32:H36""),IMPORTRANGE(""1xw1EOjVhrK1PNJfOYiUsuJNrlpV53SmfJxYsFFolQ3s"",""Round 12!M32:R36"")}"),20.0)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1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IFERROR(__xludf.DUMMYFUNCTION("""COMPUTED_VALUE"""),0.0)</f>
        <v>0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1">
        <v>10.0</v>
      </c>
      <c r="B86">
        <f>IFERROR(__xludf.DUMMYFUNCTION("""COMPUTED_VALUE"""),0.0)</f>
        <v>0</v>
      </c>
      <c r="C86">
        <f>IFERROR(__xludf.DUMMYFUNCTION("""COMPUTED_VALUE"""),0.0)</f>
        <v>0</v>
      </c>
      <c r="D86">
        <f>IFERROR(__xludf.DUMMYFUNCTION("""COMPUTED_VALUE"""),0.0)</f>
        <v>0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IFERROR(__xludf.DUMMYFUNCTION("""COMPUTED_VALUE"""),0.0)</f>
        <v>0</v>
      </c>
      <c r="I86">
        <f>IFERROR(__xludf.DUMMYFUNCTION("""COMPUTED_VALUE"""),0.0)</f>
        <v>0</v>
      </c>
      <c r="J86">
        <f>IFERROR(__xludf.DUMMYFUNCTION("""COMPUTED_VALUE"""),0.0)</f>
        <v>0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1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IFERROR(__xludf.DUMMYFUNCTION("""COMPUTED_VALUE"""),0.0)</f>
        <v>0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1" t="s">
        <v>3</v>
      </c>
      <c r="B88">
        <f>IFERROR(__xludf.DUMMYFUNCTION("""COMPUTED_VALUE"""),0.0)</f>
        <v>0</v>
      </c>
      <c r="C88">
        <f>IFERROR(__xludf.DUMMYFUNCTION("""COMPUTED_VALUE"""),0.0)</f>
        <v>0</v>
      </c>
      <c r="D88">
        <f>IFERROR(__xludf.DUMMYFUNCTION("""COMPUTED_VALUE"""),0.0)</f>
        <v>0</v>
      </c>
      <c r="E88">
        <f>IFERROR(__xludf.DUMMYFUNCTION("""COMPUTED_VALUE"""),0.0)</f>
        <v>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IFERROR(__xludf.DUMMYFUNCTION("""COMPUTED_VALUE"""),0.0)</f>
        <v>0</v>
      </c>
      <c r="I88">
        <f>IFERROR(__xludf.DUMMYFUNCTION("""COMPUTED_VALUE"""),0.0)</f>
        <v>0</v>
      </c>
      <c r="J88">
        <f>IFERROR(__xludf.DUMMYFUNCTION("""COMPUTED_VALUE"""),0.0)</f>
        <v>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2" t="str">
        <f>IFERROR(__xludf.DUMMYFUNCTION("IMPORTRANGE(""1xw1EOjVhrK1PNJfOYiUsuJNrlpV53SmfJxYsFFolQ3s"",""Round 12!W1"")"),"Question: 1")</f>
        <v>Question: 1</v>
      </c>
      <c r="B89" s="3" t="s">
        <v>25</v>
      </c>
    </row>
    <row r="90">
      <c r="A90" s="2"/>
    </row>
    <row r="91">
      <c r="A91" s="1" t="s">
        <v>26</v>
      </c>
      <c r="B91" t="str">
        <f>IFERROR(__xludf.DUMMYFUNCTION("{IMPORTRANGE(""15wOrdFuJAb1a4MoX5CG4apiBD2jUJ7mBu58Uk-8Mo7s"",""Round 12!C1:H3""),IMPORTRANGE(""15wOrdFuJAb1a4MoX5CG4apiBD2jUJ7mBu58Uk-8Mo7s"",""Round 12!M1:R3"")}"),"Team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2" t="str">
        <f>IFERROR(__xludf.DUMMYFUNCTION("CONCAT(""A BP: "",IMPORTRANGE(""15wOrdFuJAb1a4MoX5CG4apiBD2jUJ7mBu58Uk-8Mo7s"",""Round 12!I32""))"),"A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2" t="str">
        <f>IFERROR(__xludf.DUMMYFUNCTION("CONCAT(""B BP: "",IMPORTRANGE(""15wOrdFuJAb1a4MoX5CG4apiBD2jUJ7mBu58Uk-8Mo7s"",""Round 12!S32""))"),"B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1" t="s">
        <v>2</v>
      </c>
      <c r="B94">
        <f>IFERROR(__xludf.DUMMYFUNCTION("{IMPORTRANGE(""15wOrdFuJAb1a4MoX5CG4apiBD2jUJ7mBu58Uk-8Mo7s"",""Round 12!C32:H36""),IMPORTRANGE(""15wOrdFuJAb1a4MoX5CG4apiBD2jUJ7mBu58Uk-8Mo7s"",""Round 12!M32:R36"")}"),20.0)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1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1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1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1" t="s">
        <v>3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2" t="str">
        <f>IFERROR(__xludf.DUMMYFUNCTION("IMPORTRANGE(""15wOrdFuJAb1a4MoX5CG4apiBD2jUJ7mBu58Uk-8Mo7s"",""Round 12!W1"")"),"Question: 1")</f>
        <v>Question: 1</v>
      </c>
      <c r="B99" s="3" t="s">
        <v>27</v>
      </c>
    </row>
    <row r="100">
      <c r="A100" s="2"/>
    </row>
    <row r="101">
      <c r="A101" s="1" t="s">
        <v>28</v>
      </c>
      <c r="B101" t="str">
        <f>IFERROR(__xludf.DUMMYFUNCTION("{IMPORTRANGE(""1GfJqS1rsy-VutTmPVnm9E2VdinIG-GnQO5b3bhaiX1s"",""Round 12!C1:H3""),IMPORTRANGE(""1GfJqS1rsy-VutTmPVnm9E2VdinIG-GnQO5b3bhaiX1s"",""Round 12!M1:R3"")}"),"Team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2" t="str">
        <f>IFERROR(__xludf.DUMMYFUNCTION("CONCAT(""A BP: "",IMPORTRANGE(""1GfJqS1rsy-VutTmPVnm9E2VdinIG-GnQO5b3bhaiX1s"",""Round 12!I32""))"),"A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2" t="str">
        <f>IFERROR(__xludf.DUMMYFUNCTION("CONCAT(""B BP: "",IMPORTRANGE(""1GfJqS1rsy-VutTmPVnm9E2VdinIG-GnQO5b3bhaiX1s"",""Round 12!S32""))"),"B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1" t="s">
        <v>2</v>
      </c>
      <c r="B104">
        <f>IFERROR(__xludf.DUMMYFUNCTION("{IMPORTRANGE(""1GfJqS1rsy-VutTmPVnm9E2VdinIG-GnQO5b3bhaiX1s"",""Round 12!C32:H36""),IMPORTRANGE(""1GfJqS1rsy-VutTmPVnm9E2VdinIG-GnQO5b3bhaiX1s"",""Round 12!M32:R36"")}"),20.0)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1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1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1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1" t="s">
        <v>3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2" t="str">
        <f>IFERROR(__xludf.DUMMYFUNCTION("IMPORTRANGE(""1GfJqS1rsy-VutTmPVnm9E2VdinIG-GnQO5b3bhaiX1s"",""Round 12!W1"")"),"Question: 1")</f>
        <v>Question: 1</v>
      </c>
      <c r="B109" s="3" t="s">
        <v>29</v>
      </c>
    </row>
    <row r="110">
      <c r="A110" s="2"/>
    </row>
    <row r="111">
      <c r="A111" s="1" t="s">
        <v>45</v>
      </c>
      <c r="B111" t="str">
        <f>IFERROR(__xludf.DUMMYFUNCTION("{IMPORTRANGE(""17CLUEFflDBSa8dyH5vsXfHme4RV8IhzD-mxe9_c9I5k"",""Round 12!C1:H3""),IMPORTRANGE(""17CLUEFflDBSa8dyH5vsXfHme4RV8IhzD-mxe9_c9I5k"",""Round 12!M1:R3"")}"),"Team A")</f>
        <v>Team A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IFERROR(__xludf.DUMMYFUNCTION("""COMPUTED_VALUE"""),"Team B")</f>
        <v>Team B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2" t="str">
        <f>IFERROR(__xludf.DUMMYFUNCTION("CONCAT(""A BP: "",IMPORTRANGE(""17CLUEFflDBSa8dyH5vsXfHme4RV8IhzD-mxe9_c9I5k"",""Round 12!I32""))"),"A BP: 0")</f>
        <v>A BP: 0</v>
      </c>
      <c r="B112" t="str">
        <f>IFERROR(__xludf.DUMMYFUNCTION("""COMPUTED_VALUE"""),"Score: 0")</f>
        <v>Score: 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0")</f>
        <v>Score: 0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2" t="str">
        <f>IFERROR(__xludf.DUMMYFUNCTION("CONCAT(""B BP: "",IMPORTRANGE(""17CLUEFflDBSa8dyH5vsXfHme4RV8IhzD-mxe9_c9I5k"",""Round 12!S32""))"),"B BP: 0")</f>
        <v>B BP: 0</v>
      </c>
      <c r="B113" t="str">
        <f>IFERROR(__xludf.DUMMYFUNCTION("""COMPUTED_VALUE"""),"Player 1")</f>
        <v>Player 1</v>
      </c>
      <c r="C113" t="str">
        <f>IFERROR(__xludf.DUMMYFUNCTION("""COMPUTED_VALUE"""),"Player 2")</f>
        <v>Player 2</v>
      </c>
      <c r="D113" t="str">
        <f>IFERROR(__xludf.DUMMYFUNCTION("""COMPUTED_VALUE"""),"Player 3")</f>
        <v>Player 3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IFERROR(__xludf.DUMMYFUNCTION("""COMPUTED_VALUE"""),"Player 1")</f>
        <v>Player 1</v>
      </c>
      <c r="I113" t="str">
        <f>IFERROR(__xludf.DUMMYFUNCTION("""COMPUTED_VALUE"""),"Player 2")</f>
        <v>Player 2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1" t="s">
        <v>2</v>
      </c>
      <c r="B114">
        <f>IFERROR(__xludf.DUMMYFUNCTION("{IMPORTRANGE(""17CLUEFflDBSa8dyH5vsXfHme4RV8IhzD-mxe9_c9I5k"",""Round 12!C32:H36""),IMPORTRANGE(""17CLUEFflDBSa8dyH5vsXfHme4RV8IhzD-mxe9_c9I5k"",""Round 12!M32:R36"")}"),20.0)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1">
        <v>15.0</v>
      </c>
      <c r="B115">
        <f>IFERROR(__xludf.DUMMYFUNCTION("""COMPUTED_VALUE"""),0.0)</f>
        <v>0</v>
      </c>
      <c r="C115">
        <f>IFERROR(__xludf.DUMMYFUNCTION("""COMPUTED_VALUE"""),0.0)</f>
        <v>0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IFERROR(__xludf.DUMMYFUNCTION("""COMPUTED_VALUE"""),0.0)</f>
        <v>0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1">
        <v>10.0</v>
      </c>
      <c r="B116">
        <f>IFERROR(__xludf.DUMMYFUNCTION("""COMPUTED_VALUE"""),0.0)</f>
        <v>0</v>
      </c>
      <c r="C116">
        <f>IFERROR(__xludf.DUMMYFUNCTION("""COMPUTED_VALUE"""),0.0)</f>
        <v>0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IFERROR(__xludf.DUMMYFUNCTION("""COMPUTED_VALUE"""),0.0)</f>
        <v>0</v>
      </c>
      <c r="I116">
        <f>IFERROR(__xludf.DUMMYFUNCTION("""COMPUTED_VALUE"""),0.0)</f>
        <v>0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1">
        <v>-5.0</v>
      </c>
      <c r="B117">
        <f>IFERROR(__xludf.DUMMYFUNCTION("""COMPUTED_VALUE"""),0.0)</f>
        <v>0</v>
      </c>
      <c r="C117">
        <f>IFERROR(__xludf.DUMMYFUNCTION("""COMPUTED_VALUE"""),0.0)</f>
        <v>0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IFERROR(__xludf.DUMMYFUNCTION("""COMPUTED_VALUE"""),0.0)</f>
        <v>0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1" t="s">
        <v>3</v>
      </c>
      <c r="B118">
        <f>IFERROR(__xludf.DUMMYFUNCTION("""COMPUTED_VALUE"""),0.0)</f>
        <v>0</v>
      </c>
      <c r="C118">
        <f>IFERROR(__xludf.DUMMYFUNCTION("""COMPUTED_VALUE"""),0.0)</f>
        <v>0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IFERROR(__xludf.DUMMYFUNCTION("""COMPUTED_VALUE"""),0.0)</f>
        <v>0</v>
      </c>
      <c r="I118">
        <f>IFERROR(__xludf.DUMMYFUNCTION("""COMPUTED_VALUE"""),0.0)</f>
        <v>0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2" t="str">
        <f>IFERROR(__xludf.DUMMYFUNCTION("IMPORTRANGE(""17CLUEFflDBSa8dyH5vsXfHme4RV8IhzD-mxe9_c9I5k"",""Round 12!W1"")"),"Question: 1")</f>
        <v>Question: 1</v>
      </c>
      <c r="B119" s="3" t="s">
        <v>31</v>
      </c>
    </row>
    <row r="120">
      <c r="A120" s="2"/>
    </row>
    <row r="121">
      <c r="A121" s="1" t="s">
        <v>46</v>
      </c>
      <c r="B121" t="str">
        <f>IFERROR(__xludf.DUMMYFUNCTION("{IMPORTRANGE(""1Knt8XDGFY_MP2OzeadT1pDENTLOdk9Ab_Rd9IdW0kzc"",""Round 12!C1:H3""),IMPORTRANGE(""1Knt8XDGFY_MP2OzeadT1pDENTLOdk9Ab_Rd9IdW0kzc"",""Round 12!M1:R3"")}"),"Team A")</f>
        <v>Team A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IFERROR(__xludf.DUMMYFUNCTION("""COMPUTED_VALUE"""),"Team B")</f>
        <v>Team B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2" t="str">
        <f>IFERROR(__xludf.DUMMYFUNCTION("CONCAT(""A BP: "",IMPORTRANGE(""1Knt8XDGFY_MP2OzeadT1pDENTLOdk9Ab_Rd9IdW0kzc"",""Round 12!I32""))"),"A BP: 0")</f>
        <v>A BP: 0</v>
      </c>
      <c r="B122" t="str">
        <f>IFERROR(__xludf.DUMMYFUNCTION("""COMPUTED_VALUE"""),"Score: 0")</f>
        <v>Score: 0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0")</f>
        <v>Score: 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2" t="str">
        <f>IFERROR(__xludf.DUMMYFUNCTION("CONCAT(""B BP: "",IMPORTRANGE(""1Knt8XDGFY_MP2OzeadT1pDENTLOdk9Ab_Rd9IdW0kzc"",""Round 12!S32""))"),"B BP: 0")</f>
        <v>B BP: 0</v>
      </c>
      <c r="B123" t="str">
        <f>IFERROR(__xludf.DUMMYFUNCTION("""COMPUTED_VALUE"""),"Player 1")</f>
        <v>Player 1</v>
      </c>
      <c r="C123" t="str">
        <f>IFERROR(__xludf.DUMMYFUNCTION("""COMPUTED_VALUE"""),"Player 2")</f>
        <v>Player 2</v>
      </c>
      <c r="D123" t="str">
        <f>IFERROR(__xludf.DUMMYFUNCTION("""COMPUTED_VALUE"""),"Player 3")</f>
        <v>Player 3</v>
      </c>
      <c r="E123" t="str">
        <f>IFERROR(__xludf.DUMMYFUNCTION("""COMPUTED_VALUE"""),"Player 4")</f>
        <v>Player 4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IFERROR(__xludf.DUMMYFUNCTION("""COMPUTED_VALUE"""),"Player 1")</f>
        <v>Player 1</v>
      </c>
      <c r="I123" t="str">
        <f>IFERROR(__xludf.DUMMYFUNCTION("""COMPUTED_VALUE"""),"Player 2")</f>
        <v>Player 2</v>
      </c>
      <c r="J123" t="str">
        <f>IFERROR(__xludf.DUMMYFUNCTION("""COMPUTED_VALUE"""),"Player 3")</f>
        <v>Player 3</v>
      </c>
      <c r="K123" t="str">
        <f>IFERROR(__xludf.DUMMYFUNCTION("""COMPUTED_VALUE"""),"Player 4")</f>
        <v>Player 4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1" t="s">
        <v>2</v>
      </c>
      <c r="B124">
        <f>IFERROR(__xludf.DUMMYFUNCTION("{IMPORTRANGE(""1Knt8XDGFY_MP2OzeadT1pDENTLOdk9Ab_Rd9IdW0kzc"",""Round 12!C32:H36""),IMPORTRANGE(""1Knt8XDGFY_MP2OzeadT1pDENTLOdk9Ab_Rd9IdW0kzc"",""Round 12!M32:R36"")}"),20.0)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1">
        <v>15.0</v>
      </c>
      <c r="B125">
        <f>IFERROR(__xludf.DUMMYFUNCTION("""COMPUTED_VALUE"""),0.0)</f>
        <v>0</v>
      </c>
      <c r="C125">
        <f>IFERROR(__xludf.DUMMYFUNCTION("""COMPUTED_VALUE"""),0.0)</f>
        <v>0</v>
      </c>
      <c r="D125">
        <f>IFERROR(__xludf.DUMMYFUNCTION("""COMPUTED_VALUE"""),0.0)</f>
        <v>0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1">
        <v>10.0</v>
      </c>
      <c r="B126">
        <f>IFERROR(__xludf.DUMMYFUNCTION("""COMPUTED_VALUE"""),0.0)</f>
        <v>0</v>
      </c>
      <c r="C126">
        <f>IFERROR(__xludf.DUMMYFUNCTION("""COMPUTED_VALUE"""),0.0)</f>
        <v>0</v>
      </c>
      <c r="D126">
        <f>IFERROR(__xludf.DUMMYFUNCTION("""COMPUTED_VALUE"""),0.0)</f>
        <v>0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IFERROR(__xludf.DUMMYFUNCTION("""COMPUTED_VALUE"""),0.0)</f>
        <v>0</v>
      </c>
      <c r="I126">
        <f>IFERROR(__xludf.DUMMYFUNCTION("""COMPUTED_VALUE"""),0.0)</f>
        <v>0</v>
      </c>
      <c r="J126">
        <f>IFERROR(__xludf.DUMMYFUNCTION("""COMPUTED_VALUE"""),0.0)</f>
        <v>0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1">
        <v>-5.0</v>
      </c>
      <c r="B127">
        <f>IFERROR(__xludf.DUMMYFUNCTION("""COMPUTED_VALUE"""),0.0)</f>
        <v>0</v>
      </c>
      <c r="C127">
        <f>IFERROR(__xludf.DUMMYFUNCTION("""COMPUTED_VALUE"""),0.0)</f>
        <v>0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IFERROR(__xludf.DUMMYFUNCTION("""COMPUTED_VALUE"""),0.0)</f>
        <v>0</v>
      </c>
      <c r="I127">
        <f>IFERROR(__xludf.DUMMYFUNCTION("""COMPUTED_VALUE"""),0.0)</f>
        <v>0</v>
      </c>
      <c r="J127">
        <f>IFERROR(__xludf.DUMMYFUNCTION("""COMPUTED_VALUE"""),0.0)</f>
        <v>0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1" t="s">
        <v>3</v>
      </c>
      <c r="B128">
        <f>IFERROR(__xludf.DUMMYFUNCTION("""COMPUTED_VALUE"""),0.0)</f>
        <v>0</v>
      </c>
      <c r="C128">
        <f>IFERROR(__xludf.DUMMYFUNCTION("""COMPUTED_VALUE"""),0.0)</f>
        <v>0</v>
      </c>
      <c r="D128">
        <f>IFERROR(__xludf.DUMMYFUNCTION("""COMPUTED_VALUE"""),0.0)</f>
        <v>0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IFERROR(__xludf.DUMMYFUNCTION("""COMPUTED_VALUE"""),0.0)</f>
        <v>0</v>
      </c>
      <c r="I128">
        <f>IFERROR(__xludf.DUMMYFUNCTION("""COMPUTED_VALUE"""),0.0)</f>
        <v>0</v>
      </c>
      <c r="J128">
        <f>IFERROR(__xludf.DUMMYFUNCTION("""COMPUTED_VALUE"""),0.0)</f>
        <v>0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2" t="str">
        <f>IFERROR(__xludf.DUMMYFUNCTION("IMPORTRANGE(""1Knt8XDGFY_MP2OzeadT1pDENTLOdk9Ab_Rd9IdW0kzc"",""Round 12!W1"")"),"Question: 1")</f>
        <v>Question: 1</v>
      </c>
      <c r="B129" s="3" t="s">
        <v>33</v>
      </c>
    </row>
    <row r="130">
      <c r="A130" s="2"/>
    </row>
    <row r="131">
      <c r="A131" s="1" t="s">
        <v>47</v>
      </c>
      <c r="B131" t="str">
        <f>IFERROR(__xludf.DUMMYFUNCTION("{IMPORTRANGE(""16i4gsLDaJasgGgtJt27HweoboYNaal3qpX3MtxIR2f0"",""Round 12!C1:H3""),IMPORTRANGE(""16i4gsLDaJasgGgtJt27HweoboYNaal3qpX3MtxIR2f0"",""Round 12!M1:R3"")}"),"Team A")</f>
        <v>Team A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IFERROR(__xludf.DUMMYFUNCTION("""COMPUTED_VALUE"""),"Team B")</f>
        <v>Team B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2" t="str">
        <f>IFERROR(__xludf.DUMMYFUNCTION("CONCAT(""A BP: "",IMPORTRANGE(""16i4gsLDaJasgGgtJt27HweoboYNaal3qpX3MtxIR2f0"",""Round 12!I32""))"),"A BP: 0")</f>
        <v>A BP: 0</v>
      </c>
      <c r="B132" t="str">
        <f>IFERROR(__xludf.DUMMYFUNCTION("""COMPUTED_VALUE"""),"Score: 0")</f>
        <v>Score: 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0")</f>
        <v>Score: 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2" t="str">
        <f>IFERROR(__xludf.DUMMYFUNCTION("CONCAT(""B BP: "",IMPORTRANGE(""16i4gsLDaJasgGgtJt27HweoboYNaal3qpX3MtxIR2f0"",""Round 12!S32""))"),"B BP: 0")</f>
        <v>B BP: 0</v>
      </c>
      <c r="B133" t="str">
        <f>IFERROR(__xludf.DUMMYFUNCTION("""COMPUTED_VALUE"""),"Player 1")</f>
        <v>Player 1</v>
      </c>
      <c r="C133" t="str">
        <f>IFERROR(__xludf.DUMMYFUNCTION("""COMPUTED_VALUE"""),"Player 2")</f>
        <v>Player 2</v>
      </c>
      <c r="D133" t="str">
        <f>IFERROR(__xludf.DUMMYFUNCTION("""COMPUTED_VALUE"""),"Player 3")</f>
        <v>Player 3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IFERROR(__xludf.DUMMYFUNCTION("""COMPUTED_VALUE"""),"Player 1")</f>
        <v>Player 1</v>
      </c>
      <c r="I133" t="str">
        <f>IFERROR(__xludf.DUMMYFUNCTION("""COMPUTED_VALUE"""),"Player 2")</f>
        <v>Player 2</v>
      </c>
      <c r="J133" t="str">
        <f>IFERROR(__xludf.DUMMYFUNCTION("""COMPUTED_VALUE"""),"Player 3")</f>
        <v>Player 3</v>
      </c>
      <c r="K133" t="str">
        <f>IFERROR(__xludf.DUMMYFUNCTION("""COMPUTED_VALUE"""),"Player 4")</f>
        <v>Player 4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1" t="s">
        <v>2</v>
      </c>
      <c r="B134">
        <f>IFERROR(__xludf.DUMMYFUNCTION("{IMPORTRANGE(""16i4gsLDaJasgGgtJt27HweoboYNaal3qpX3MtxIR2f0"",""Round 12!C32:H36""),IMPORTRANGE(""16i4gsLDaJasgGgtJt27HweoboYNaal3qpX3MtxIR2f0"",""Round 12!M32:R36"")}"),20.0)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1">
        <v>15.0</v>
      </c>
      <c r="B135">
        <f>IFERROR(__xludf.DUMMYFUNCTION("""COMPUTED_VALUE"""),0.0)</f>
        <v>0</v>
      </c>
      <c r="C135">
        <f>IFERROR(__xludf.DUMMYFUNCTION("""COMPUTED_VALUE"""),0.0)</f>
        <v>0</v>
      </c>
      <c r="D135">
        <f>IFERROR(__xludf.DUMMYFUNCTION("""COMPUTED_VALUE"""),0.0)</f>
        <v>0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IFERROR(__xludf.DUMMYFUNCTION("""COMPUTED_VALUE"""),0.0)</f>
        <v>0</v>
      </c>
      <c r="I135">
        <f>IFERROR(__xludf.DUMMYFUNCTION("""COMPUTED_VALUE"""),0.0)</f>
        <v>0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1">
        <v>10.0</v>
      </c>
      <c r="B136">
        <f>IFERROR(__xludf.DUMMYFUNCTION("""COMPUTED_VALUE"""),0.0)</f>
        <v>0</v>
      </c>
      <c r="C136">
        <f>IFERROR(__xludf.DUMMYFUNCTION("""COMPUTED_VALUE"""),0.0)</f>
        <v>0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IFERROR(__xludf.DUMMYFUNCTION("""COMPUTED_VALUE"""),0.0)</f>
        <v>0</v>
      </c>
      <c r="I136">
        <f>IFERROR(__xludf.DUMMYFUNCTION("""COMPUTED_VALUE"""),0.0)</f>
        <v>0</v>
      </c>
      <c r="J136">
        <f>IFERROR(__xludf.DUMMYFUNCTION("""COMPUTED_VALUE"""),0.0)</f>
        <v>0</v>
      </c>
      <c r="K136">
        <f>IFERROR(__xludf.DUMMYFUNCTION("""COMPUTED_VALUE"""),0.0)</f>
        <v>0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1">
        <v>-5.0</v>
      </c>
      <c r="B137">
        <f>IFERROR(__xludf.DUMMYFUNCTION("""COMPUTED_VALUE"""),0.0)</f>
        <v>0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IFERROR(__xludf.DUMMYFUNCTION("""COMPUTED_VALUE"""),0.0)</f>
        <v>0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1" t="s">
        <v>3</v>
      </c>
      <c r="B138">
        <f>IFERROR(__xludf.DUMMYFUNCTION("""COMPUTED_VALUE"""),0.0)</f>
        <v>0</v>
      </c>
      <c r="C138">
        <f>IFERROR(__xludf.DUMMYFUNCTION("""COMPUTED_VALUE"""),0.0)</f>
        <v>0</v>
      </c>
      <c r="D138">
        <f>IFERROR(__xludf.DUMMYFUNCTION("""COMPUTED_VALUE"""),0.0)</f>
        <v>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IFERROR(__xludf.DUMMYFUNCTION("""COMPUTED_VALUE"""),0.0)</f>
        <v>0</v>
      </c>
      <c r="I138">
        <f>IFERROR(__xludf.DUMMYFUNCTION("""COMPUTED_VALUE"""),0.0)</f>
        <v>0</v>
      </c>
      <c r="J138">
        <f>IFERROR(__xludf.DUMMYFUNCTION("""COMPUTED_VALUE"""),0.0)</f>
        <v>0</v>
      </c>
      <c r="K138">
        <f>IFERROR(__xludf.DUMMYFUNCTION("""COMPUTED_VALUE"""),0.0)</f>
        <v>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2" t="str">
        <f>IFERROR(__xludf.DUMMYFUNCTION("IMPORTRANGE(""16i4gsLDaJasgGgtJt27HweoboYNaal3qpX3MtxIR2f0"",""Round 12!W1"")"),"Question: 1")</f>
        <v>Question: 1</v>
      </c>
      <c r="B139" s="3" t="s">
        <v>35</v>
      </c>
    </row>
    <row r="140">
      <c r="A140" s="2"/>
    </row>
    <row r="141">
      <c r="A141" s="1" t="s">
        <v>48</v>
      </c>
      <c r="B141" t="str">
        <f>IFERROR(__xludf.DUMMYFUNCTION("{IMPORTRANGE(""1KRyI2c190uhOTF270Hsdzh1rgG565QIaE9TymteaGNY"",""Round 12!C1:H3""),IMPORTRANGE(""1KRyI2c190uhOTF270Hsdzh1rgG565QIaE9TymteaGNY"",""Round 12!M1:R3"")}"),"Team A")</f>
        <v>Team A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IFERROR(__xludf.DUMMYFUNCTION("""COMPUTED_VALUE"""),"Team B")</f>
        <v>Team B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2" t="str">
        <f>IFERROR(__xludf.DUMMYFUNCTION("CONCAT(""A BP: "",IMPORTRANGE(""1KRyI2c190uhOTF270Hsdzh1rgG565QIaE9TymteaGNY"",""Round 12!I32""))"),"A BP: 0")</f>
        <v>A BP: 0</v>
      </c>
      <c r="B142" t="str">
        <f>IFERROR(__xludf.DUMMYFUNCTION("""COMPUTED_VALUE"""),"Score: 0")</f>
        <v>Score: 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0")</f>
        <v>Score: 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2" t="str">
        <f>IFERROR(__xludf.DUMMYFUNCTION("CONCAT(""B BP: "",IMPORTRANGE(""1KRyI2c190uhOTF270Hsdzh1rgG565QIaE9TymteaGNY"",""Round 12!S32""))"),"B BP: 0")</f>
        <v>B BP: 0</v>
      </c>
      <c r="B143" t="str">
        <f>IFERROR(__xludf.DUMMYFUNCTION("""COMPUTED_VALUE"""),"Player 1")</f>
        <v>Player 1</v>
      </c>
      <c r="C143" t="str">
        <f>IFERROR(__xludf.DUMMYFUNCTION("""COMPUTED_VALUE"""),"Player 2")</f>
        <v>Player 2</v>
      </c>
      <c r="D143" t="str">
        <f>IFERROR(__xludf.DUMMYFUNCTION("""COMPUTED_VALUE"""),"Player 3")</f>
        <v>Player 3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IFERROR(__xludf.DUMMYFUNCTION("""COMPUTED_VALUE"""),"Player 1")</f>
        <v>Player 1</v>
      </c>
      <c r="I143" t="str">
        <f>IFERROR(__xludf.DUMMYFUNCTION("""COMPUTED_VALUE"""),"Player 2")</f>
        <v>Player 2</v>
      </c>
      <c r="J143" t="str">
        <f>IFERROR(__xludf.DUMMYFUNCTION("""COMPUTED_VALUE"""),"Player 3")</f>
        <v>Player 3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1" t="s">
        <v>2</v>
      </c>
      <c r="B144">
        <f>IFERROR(__xludf.DUMMYFUNCTION("{IMPORTRANGE(""1KRyI2c190uhOTF270Hsdzh1rgG565QIaE9TymteaGNY"",""Round 12!C32:H36""),IMPORTRANGE(""1KRyI2c190uhOTF270Hsdzh1rgG565QIaE9TymteaGNY"",""Round 12!M32:R36"")}"),20.0)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1">
        <v>15.0</v>
      </c>
      <c r="B145">
        <f>IFERROR(__xludf.DUMMYFUNCTION("""COMPUTED_VALUE"""),0.0)</f>
        <v>0</v>
      </c>
      <c r="C145">
        <f>IFERROR(__xludf.DUMMYFUNCTION("""COMPUTED_VALUE"""),0.0)</f>
        <v>0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1">
        <v>10.0</v>
      </c>
      <c r="B146">
        <f>IFERROR(__xludf.DUMMYFUNCTION("""COMPUTED_VALUE"""),0.0)</f>
        <v>0</v>
      </c>
      <c r="C146">
        <f>IFERROR(__xludf.DUMMYFUNCTION("""COMPUTED_VALUE"""),0.0)</f>
        <v>0</v>
      </c>
      <c r="D146">
        <f>IFERROR(__xludf.DUMMYFUNCTION("""COMPUTED_VALUE"""),0.0)</f>
        <v>0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IFERROR(__xludf.DUMMYFUNCTION("""COMPUTED_VALUE"""),0.0)</f>
        <v>0</v>
      </c>
      <c r="I146">
        <f>IFERROR(__xludf.DUMMYFUNCTION("""COMPUTED_VALUE"""),0.0)</f>
        <v>0</v>
      </c>
      <c r="J146">
        <f>IFERROR(__xludf.DUMMYFUNCTION("""COMPUTED_VALUE"""),0.0)</f>
        <v>0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1">
        <v>-5.0</v>
      </c>
      <c r="B147">
        <f>IFERROR(__xludf.DUMMYFUNCTION("""COMPUTED_VALUE"""),0.0)</f>
        <v>0</v>
      </c>
      <c r="C147">
        <f>IFERROR(__xludf.DUMMYFUNCTION("""COMPUTED_VALUE"""),0.0)</f>
        <v>0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IFERROR(__xludf.DUMMYFUNCTION("""COMPUTED_VALUE"""),0.0)</f>
        <v>0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1" t="s">
        <v>3</v>
      </c>
      <c r="B148">
        <f>IFERROR(__xludf.DUMMYFUNCTION("""COMPUTED_VALUE"""),0.0)</f>
        <v>0</v>
      </c>
      <c r="C148">
        <f>IFERROR(__xludf.DUMMYFUNCTION("""COMPUTED_VALUE"""),0.0)</f>
        <v>0</v>
      </c>
      <c r="D148">
        <f>IFERROR(__xludf.DUMMYFUNCTION("""COMPUTED_VALUE"""),0.0)</f>
        <v>0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IFERROR(__xludf.DUMMYFUNCTION("""COMPUTED_VALUE"""),0.0)</f>
        <v>0</v>
      </c>
      <c r="I148">
        <f>IFERROR(__xludf.DUMMYFUNCTION("""COMPUTED_VALUE"""),0.0)</f>
        <v>0</v>
      </c>
      <c r="J148">
        <f>IFERROR(__xludf.DUMMYFUNCTION("""COMPUTED_VALUE"""),0.0)</f>
        <v>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2" t="str">
        <f>IFERROR(__xludf.DUMMYFUNCTION("IMPORTRANGE(""1KRyI2c190uhOTF270Hsdzh1rgG565QIaE9TymteaGNY"",""Round 12!W1"")"),"Question: 1")</f>
        <v>Question: 1</v>
      </c>
      <c r="B149" s="3" t="s">
        <v>37</v>
      </c>
    </row>
    <row r="150">
      <c r="A150" s="2"/>
    </row>
    <row r="151">
      <c r="A151" s="1" t="s">
        <v>49</v>
      </c>
      <c r="B151" t="str">
        <f>IFERROR(__xludf.DUMMYFUNCTION("{IMPORTRANGE(""1zr0uYCpJ5izByVOUCsr6JXezthGEdLXnwOrjIKGx5XI"",""Round 12!C1:H3""),IMPORTRANGE(""1zr0uYCpJ5izByVOUCsr6JXezthGEdLXnwOrjIKGx5XI"",""Round 12!M1:R3"")}"),"Team A")</f>
        <v>Team A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IFERROR(__xludf.DUMMYFUNCTION("""COMPUTED_VALUE"""),"Team B")</f>
        <v>Team B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2" t="str">
        <f>IFERROR(__xludf.DUMMYFUNCTION("CONCAT(""A BP: "",IMPORTRANGE(""1zr0uYCpJ5izByVOUCsr6JXezthGEdLXnwOrjIKGx5XI"",""Round 12!I32""))"),"A BP: 0")</f>
        <v>A BP: 0</v>
      </c>
      <c r="B152" t="str">
        <f>IFERROR(__xludf.DUMMYFUNCTION("""COMPUTED_VALUE"""),"Score: 0")</f>
        <v>Score: 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0")</f>
        <v>Score: 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2" t="str">
        <f>IFERROR(__xludf.DUMMYFUNCTION("CONCAT(""B BP: "",IMPORTRANGE(""1zr0uYCpJ5izByVOUCsr6JXezthGEdLXnwOrjIKGx5XI"",""Round 12!S32""))"),"B BP: 0")</f>
        <v>B BP: 0</v>
      </c>
      <c r="B153" t="str">
        <f>IFERROR(__xludf.DUMMYFUNCTION("""COMPUTED_VALUE"""),"Player 1")</f>
        <v>Player 1</v>
      </c>
      <c r="C153" t="str">
        <f>IFERROR(__xludf.DUMMYFUNCTION("""COMPUTED_VALUE"""),"Player 2")</f>
        <v>Player 2</v>
      </c>
      <c r="D153" t="str">
        <f>IFERROR(__xludf.DUMMYFUNCTION("""COMPUTED_VALUE"""),"Player 3")</f>
        <v>Player 3</v>
      </c>
      <c r="E153" t="str">
        <f>IFERROR(__xludf.DUMMYFUNCTION("""COMPUTED_VALUE"""),"Player 4")</f>
        <v>Player 4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IFERROR(__xludf.DUMMYFUNCTION("""COMPUTED_VALUE"""),"Player 1")</f>
        <v>Player 1</v>
      </c>
      <c r="I153" t="str">
        <f>IFERROR(__xludf.DUMMYFUNCTION("""COMPUTED_VALUE"""),"Player 2")</f>
        <v>Player 2</v>
      </c>
      <c r="J153" t="str">
        <f>IFERROR(__xludf.DUMMYFUNCTION("""COMPUTED_VALUE"""),"Player 3")</f>
        <v>Player 3</v>
      </c>
      <c r="K153" t="str">
        <f>IFERROR(__xludf.DUMMYFUNCTION("""COMPUTED_VALUE"""),"Player 4")</f>
        <v>Player 4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1" t="s">
        <v>2</v>
      </c>
      <c r="B154">
        <f>IFERROR(__xludf.DUMMYFUNCTION("{IMPORTRANGE(""1zr0uYCpJ5izByVOUCsr6JXezthGEdLXnwOrjIKGx5XI"",""Round 12!C32:H36""),IMPORTRANGE(""1zr0uYCpJ5izByVOUCsr6JXezthGEdLXnwOrjIKGx5XI"",""Round 12!M32:R36"")}"),20.0)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1">
        <v>15.0</v>
      </c>
      <c r="B155">
        <f>IFERROR(__xludf.DUMMYFUNCTION("""COMPUTED_VALUE"""),0.0)</f>
        <v>0</v>
      </c>
      <c r="C155">
        <f>IFERROR(__xludf.DUMMYFUNCTION("""COMPUTED_VALUE"""),0.0)</f>
        <v>0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IFERROR(__xludf.DUMMYFUNCTION("""COMPUTED_VALUE"""),0.0)</f>
        <v>0</v>
      </c>
      <c r="I155">
        <f>IFERROR(__xludf.DUMMYFUNCTION("""COMPUTED_VALUE"""),0.0)</f>
        <v>0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1">
        <v>10.0</v>
      </c>
      <c r="B156">
        <f>IFERROR(__xludf.DUMMYFUNCTION("""COMPUTED_VALUE"""),0.0)</f>
        <v>0</v>
      </c>
      <c r="C156">
        <f>IFERROR(__xludf.DUMMYFUNCTION("""COMPUTED_VALUE"""),0.0)</f>
        <v>0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IFERROR(__xludf.DUMMYFUNCTION("""COMPUTED_VALUE"""),0.0)</f>
        <v>0</v>
      </c>
      <c r="I156">
        <f>IFERROR(__xludf.DUMMYFUNCTION("""COMPUTED_VALUE"""),0.0)</f>
        <v>0</v>
      </c>
      <c r="J156">
        <f>IFERROR(__xludf.DUMMYFUNCTION("""COMPUTED_VALUE"""),0.0)</f>
        <v>0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1">
        <v>-5.0</v>
      </c>
      <c r="B157">
        <f>IFERROR(__xludf.DUMMYFUNCTION("""COMPUTED_VALUE"""),0.0)</f>
        <v>0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IFERROR(__xludf.DUMMYFUNCTION("""COMPUTED_VALUE"""),0.0)</f>
        <v>0</v>
      </c>
      <c r="J157">
        <f>IFERROR(__xludf.DUMMYFUNCTION("""COMPUTED_VALUE"""),0.0)</f>
        <v>0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1" t="s">
        <v>3</v>
      </c>
      <c r="B158">
        <f>IFERROR(__xludf.DUMMYFUNCTION("""COMPUTED_VALUE"""),0.0)</f>
        <v>0</v>
      </c>
      <c r="C158">
        <f>IFERROR(__xludf.DUMMYFUNCTION("""COMPUTED_VALUE"""),0.0)</f>
        <v>0</v>
      </c>
      <c r="D158">
        <f>IFERROR(__xludf.DUMMYFUNCTION("""COMPUTED_VALUE"""),0.0)</f>
        <v>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IFERROR(__xludf.DUMMYFUNCTION("""COMPUTED_VALUE"""),0.0)</f>
        <v>0</v>
      </c>
      <c r="I158">
        <f>IFERROR(__xludf.DUMMYFUNCTION("""COMPUTED_VALUE"""),0.0)</f>
        <v>0</v>
      </c>
      <c r="J158">
        <f>IFERROR(__xludf.DUMMYFUNCTION("""COMPUTED_VALUE"""),0.0)</f>
        <v>0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2" t="str">
        <f>IFERROR(__xludf.DUMMYFUNCTION("IMPORTRANGE(""1zr0uYCpJ5izByVOUCsr6JXezthGEdLXnwOrjIKGx5XI"",""Round 12!W1"")"),"Question: 1")</f>
        <v>Question: 1</v>
      </c>
      <c r="B159" s="3" t="s">
        <v>39</v>
      </c>
    </row>
    <row r="160">
      <c r="A160" s="2"/>
    </row>
    <row r="161">
      <c r="A161" s="1" t="s">
        <v>50</v>
      </c>
      <c r="B161" t="str">
        <f>IFERROR(__xludf.DUMMYFUNCTION("{IMPORTRANGE(""1TVrjNI5RE1VozIr906BhaTKMFP0VPx8aUGpyt_loukE"",""Round 12!C1:H3""),IMPORTRANGE(""1TVrjNI5RE1VozIr906BhaTKMFP0VPx8aUGpyt_loukE"",""Round 12!M1:R3"")}"),"Team A")</f>
        <v>Team A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IFERROR(__xludf.DUMMYFUNCTION("""COMPUTED_VALUE"""),"Team B")</f>
        <v>Team B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2" t="str">
        <f>IFERROR(__xludf.DUMMYFUNCTION("CONCAT(""A BP: "",IMPORTRANGE(""1TVrjNI5RE1VozIr906BhaTKMFP0VPx8aUGpyt_loukE"",""Round 12!I32""))"),"A BP: 0")</f>
        <v>A BP: 0</v>
      </c>
      <c r="B162" t="str">
        <f>IFERROR(__xludf.DUMMYFUNCTION("""COMPUTED_VALUE"""),"Score: 0")</f>
        <v>Score: 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0")</f>
        <v>Score: 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2" t="str">
        <f>IFERROR(__xludf.DUMMYFUNCTION("CONCAT(""B BP: "",IMPORTRANGE(""1TVrjNI5RE1VozIr906BhaTKMFP0VPx8aUGpyt_loukE"",""Round 12!S32""))"),"B BP: 0")</f>
        <v>B BP: 0</v>
      </c>
      <c r="B163" t="str">
        <f>IFERROR(__xludf.DUMMYFUNCTION("""COMPUTED_VALUE"""),"Player 1")</f>
        <v>Player 1</v>
      </c>
      <c r="C163" t="str">
        <f>IFERROR(__xludf.DUMMYFUNCTION("""COMPUTED_VALUE"""),"Player 2")</f>
        <v>Player 2</v>
      </c>
      <c r="D163" t="str">
        <f>IFERROR(__xludf.DUMMYFUNCTION("""COMPUTED_VALUE"""),"Player 3")</f>
        <v>Player 3</v>
      </c>
      <c r="E163" t="str">
        <f>IFERROR(__xludf.DUMMYFUNCTION("""COMPUTED_VALUE"""),"Player 4")</f>
        <v>Player 4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IFERROR(__xludf.DUMMYFUNCTION("""COMPUTED_VALUE"""),"Player 1")</f>
        <v>Player 1</v>
      </c>
      <c r="I163" t="str">
        <f>IFERROR(__xludf.DUMMYFUNCTION("""COMPUTED_VALUE"""),"Player 2")</f>
        <v>Player 2</v>
      </c>
      <c r="J163" t="str">
        <f>IFERROR(__xludf.DUMMYFUNCTION("""COMPUTED_VALUE"""),"Player 3")</f>
        <v>Player 3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1" t="s">
        <v>2</v>
      </c>
      <c r="B164">
        <f>IFERROR(__xludf.DUMMYFUNCTION("{IMPORTRANGE(""1TVrjNI5RE1VozIr906BhaTKMFP0VPx8aUGpyt_loukE"",""Round 12!C32:H36""),IMPORTRANGE(""1TVrjNI5RE1VozIr906BhaTKMFP0VPx8aUGpyt_loukE"",""Round 12!M32:R36"")}"),20.0)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1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1">
        <v>10.0</v>
      </c>
      <c r="B166">
        <f>IFERROR(__xludf.DUMMYFUNCTION("""COMPUTED_VALUE"""),0.0)</f>
        <v>0</v>
      </c>
      <c r="C166">
        <f>IFERROR(__xludf.DUMMYFUNCTION("""COMPUTED_VALUE"""),0.0)</f>
        <v>0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IFERROR(__xludf.DUMMYFUNCTION("""COMPUTED_VALUE"""),0.0)</f>
        <v>0</v>
      </c>
      <c r="I166">
        <f>IFERROR(__xludf.DUMMYFUNCTION("""COMPUTED_VALUE"""),0.0)</f>
        <v>0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1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IFERROR(__xludf.DUMMYFUNCTION("""COMPUTED_VALUE"""),0.0)</f>
        <v>0</v>
      </c>
      <c r="I167">
        <f>IFERROR(__xludf.DUMMYFUNCTION("""COMPUTED_VALUE"""),0.0)</f>
        <v>0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1" t="s">
        <v>3</v>
      </c>
      <c r="B168">
        <f>IFERROR(__xludf.DUMMYFUNCTION("""COMPUTED_VALUE"""),0.0)</f>
        <v>0</v>
      </c>
      <c r="C168">
        <f>IFERROR(__xludf.DUMMYFUNCTION("""COMPUTED_VALUE"""),0.0)</f>
        <v>0</v>
      </c>
      <c r="D168">
        <f>IFERROR(__xludf.DUMMYFUNCTION("""COMPUTED_VALUE"""),0.0)</f>
        <v>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IFERROR(__xludf.DUMMYFUNCTION("""COMPUTED_VALUE"""),0.0)</f>
        <v>0</v>
      </c>
      <c r="I168">
        <f>IFERROR(__xludf.DUMMYFUNCTION("""COMPUTED_VALUE"""),0.0)</f>
        <v>0</v>
      </c>
      <c r="J168">
        <f>IFERROR(__xludf.DUMMYFUNCTION("""COMPUTED_VALUE"""),0.0)</f>
        <v>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2" t="str">
        <f>IFERROR(__xludf.DUMMYFUNCTION("IMPORTRANGE(""1TVrjNI5RE1VozIr906BhaTKMFP0VPx8aUGpyt_loukE"",""Round 12!W1"")"),"Question: 1")</f>
        <v>Question: 1</v>
      </c>
      <c r="B169" s="3" t="s">
        <v>41</v>
      </c>
    </row>
    <row r="170">
      <c r="A170" s="2"/>
    </row>
    <row r="171">
      <c r="A171" s="1" t="s">
        <v>42</v>
      </c>
      <c r="B171" t="str">
        <f>IFERROR(__xludf.DUMMYFUNCTION("{IMPORTRANGE(""1xRz0po-ejgp-QRvMkY44z3u2CePgTccasdyrrVALbmE"",""Round 12!C1:H3""),IMPORTRANGE(""1xRz0po-ejgp-QRvMkY44z3u2CePgTccasdyrrVALbmE"",""Round 12!M1:R3"")}"),"Team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2" t="str">
        <f>IFERROR(__xludf.DUMMYFUNCTION("CONCAT(""A BP: "",IMPORTRANGE(""1xRz0po-ejgp-QRvMkY44z3u2CePgTccasdyrrVALbmE"",""Round 12!I32""))"),"A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2" t="str">
        <f>IFERROR(__xludf.DUMMYFUNCTION("CONCAT(""B BP: "",IMPORTRANGE(""1xRz0po-ejgp-QRvMkY44z3u2CePgTccasdyrrVALbmE"",""Round 12!S32""))"),"B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1" t="s">
        <v>2</v>
      </c>
      <c r="B174">
        <f>IFERROR(__xludf.DUMMYFUNCTION("{IMPORTRANGE(""1xRz0po-ejgp-QRvMkY44z3u2CePgTccasdyrrVALbmE"",""Round 12!C32:H36""),IMPORTRANGE(""1xRz0po-ejgp-QRvMkY44z3u2CePgTccasdyrrVALbmE"",""Round 12!M32:R36"")}"),20.0)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1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1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1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1" t="s">
        <v>3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2" t="str">
        <f>IFERROR(__xludf.DUMMYFUNCTION("IMPORTRANGE(""1xRz0po-ejgp-QRvMkY44z3u2CePgTccasdyrrVALbmE"",""Round 12!W1"")"),"Question: 1")</f>
        <v>Question: 1</v>
      </c>
      <c r="B179" s="3" t="s">
        <v>43</v>
      </c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 t="s">
        <v>0</v>
      </c>
      <c r="B1" t="str">
        <f>IFERROR(__xludf.DUMMYFUNCTION("{IMPORTRANGE(""1JXwZ4AjXctyKvWy9qFKCX518NRYJYhSX9Jii0HPBCUs"",""Round 13!C1:H3""),IMPORTRANGE(""1JXwZ4AjXctyKvWy9qFKCX518NRYJYhSX9Jii0HPBCUs"",""Round 13!M1:R3"")}"),"Team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2" t="str">
        <f>IFERROR(__xludf.DUMMYFUNCTION("CONCAT(""A BP: "",IMPORTRANGE(""1JXwZ4AjXctyKvWy9qFKCX518NRYJYhSX9Jii0HPBCUs"",""Round 13!I32""))"),"A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2" t="str">
        <f>IFERROR(__xludf.DUMMYFUNCTION("CONCAT(""B BP: "",IMPORTRANGE(""1JXwZ4AjXctyKvWy9qFKCX518NRYJYhSX9Jii0HPBCUs"",""Round 13!S32""))"),"B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1" t="s">
        <v>2</v>
      </c>
      <c r="B4">
        <f>IFERROR(__xludf.DUMMYFUNCTION("{IMPORTRANGE(""1JXwZ4AjXctyKvWy9qFKCX518NRYJYhSX9Jii0HPBCUs"",""Round 13!C32:H36""),IMPORTRANGE(""1JXwZ4AjXctyKvWy9qFKCX518NRYJYhSX9Jii0HPBCUs"",""Round 13!M32:R36"")}"),20.0)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1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1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1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1" t="s">
        <v>3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2" t="str">
        <f>IFERROR(__xludf.DUMMYFUNCTION("IMPORTRANGE(""1JXwZ4AjXctyKvWy9qFKCX518NRYJYhSX9Jii0HPBCUs"",""Round 13!W1"")"),"Question: 1")</f>
        <v>Question: 1</v>
      </c>
      <c r="B9" s="3" t="s">
        <v>4</v>
      </c>
    </row>
    <row r="10">
      <c r="A10" s="1"/>
    </row>
    <row r="11">
      <c r="A11" s="1" t="s">
        <v>5</v>
      </c>
      <c r="B11" t="str">
        <f>IFERROR(__xludf.DUMMYFUNCTION("{IMPORTRANGE(""1GBDUn_ZojNLX5OJCVBEhvJbdm0c55Z7lPcE4L6WH89o"",""Round 13!C1:H3""),IMPORTRANGE(""1GBDUn_ZojNLX5OJCVBEhvJbdm0c55Z7lPcE4L6WH89o"",""Round 13!M1:R3"")}"),"Team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2" t="str">
        <f>IFERROR(__xludf.DUMMYFUNCTION("CONCAT(""A BP: "",IMPORTRANGE(""1GBDUn_ZojNLX5OJCVBEhvJbdm0c55Z7lPcE4L6WH89o"",""Round 13!I32""))"),"A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2" t="str">
        <f>IFERROR(__xludf.DUMMYFUNCTION("CONCAT(""B BP: "",IMPORTRANGE(""1GBDUn_ZojNLX5OJCVBEhvJbdm0c55Z7lPcE4L6WH89o"",""Round 13!S32""))"),"B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1" t="s">
        <v>2</v>
      </c>
      <c r="B14">
        <f>IFERROR(__xludf.DUMMYFUNCTION("{IMPORTRANGE(""1GBDUn_ZojNLX5OJCVBEhvJbdm0c55Z7lPcE4L6WH89o"",""Round 13!C32:H36""),IMPORTRANGE(""1GBDUn_ZojNLX5OJCVBEhvJbdm0c55Z7lPcE4L6WH89o"",""Round 13!M32:R36"")}"),20.0)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1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1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1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1" t="s">
        <v>3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2" t="str">
        <f>IFERROR(__xludf.DUMMYFUNCTION("IMPORTRANGE(""1GBDUn_ZojNLX5OJCVBEhvJbdm0c55Z7lPcE4L6WH89o"",""Round 13!W1"")"),"Question: 1")</f>
        <v>Question: 1</v>
      </c>
      <c r="B19" s="3" t="s">
        <v>6</v>
      </c>
    </row>
    <row r="20">
      <c r="A20" s="2"/>
    </row>
    <row r="21">
      <c r="A21" s="1" t="s">
        <v>7</v>
      </c>
      <c r="B21" t="str">
        <f>IFERROR(__xludf.DUMMYFUNCTION("{IMPORTRANGE(""19Dum1qlL_dEwf1AEniLf02Eg9XaNXi1GMkI5M4_Ei6w"",""Round 13!C1:H3""),IMPORTRANGE(""19Dum1qlL_dEwf1AEniLf02Eg9XaNXi1GMkI5M4_Ei6w"",""Round 13!M1:R3"")}"),"Team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2" t="str">
        <f>IFERROR(__xludf.DUMMYFUNCTION("CONCAT(""A BP: "",IMPORTRANGE(""19Dum1qlL_dEwf1AEniLf02Eg9XaNXi1GMkI5M4_Ei6w"",""Round 13!I32""))"),"A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2" t="str">
        <f>IFERROR(__xludf.DUMMYFUNCTION("CONCAT(""B BP: "",IMPORTRANGE(""19Dum1qlL_dEwf1AEniLf02Eg9XaNXi1GMkI5M4_Ei6w"",""Round 13!S32""))"),"B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1" t="s">
        <v>2</v>
      </c>
      <c r="B24">
        <f>IFERROR(__xludf.DUMMYFUNCTION("{IMPORTRANGE(""19Dum1qlL_dEwf1AEniLf02Eg9XaNXi1GMkI5M4_Ei6w"",""Round 13!C32:H36""),IMPORTRANGE(""19Dum1qlL_dEwf1AEniLf02Eg9XaNXi1GMkI5M4_Ei6w"",""Round 13!M32:R36"")}"),20.0)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1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1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1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1" t="s">
        <v>3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2" t="str">
        <f>IFERROR(__xludf.DUMMYFUNCTION("IMPORTRANGE(""19Dum1qlL_dEwf1AEniLf02Eg9XaNXi1GMkI5M4_Ei6w"",""Round 13!W1"")"),"Question: 1")</f>
        <v>Question: 1</v>
      </c>
      <c r="B29" s="3" t="s">
        <v>8</v>
      </c>
    </row>
    <row r="30">
      <c r="A30" s="2"/>
    </row>
    <row r="31">
      <c r="A31" s="1" t="s">
        <v>44</v>
      </c>
      <c r="B31" t="str">
        <f>IFERROR(__xludf.DUMMYFUNCTION("{IMPORTRANGE(""18KjuM_F6goZYnozVb7folIb5Hw_mfKQrNdVWKGx6j4s"",""Round 13!C1:H3""),IMPORTRANGE(""18KjuM_F6goZYnozVb7folIb5Hw_mfKQrNdVWKGx6j4s"",""Round 13!M1:R3"")}"),"Team A")</f>
        <v>Team A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IFERROR(__xludf.DUMMYFUNCTION("""COMPUTED_VALUE"""),"Team B")</f>
        <v>Team B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2" t="str">
        <f>IFERROR(__xludf.DUMMYFUNCTION("CONCAT(""A BP: "",IMPORTRANGE(""18KjuM_F6goZYnozVb7folIb5Hw_mfKQrNdVWKGx6j4s"",""Round 13!I32""))"),"A BP: 0")</f>
        <v>A BP: 0</v>
      </c>
      <c r="B32" t="str">
        <f>IFERROR(__xludf.DUMMYFUNCTION("""COMPUTED_VALUE"""),"Score: 0")</f>
        <v>Score: 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0")</f>
        <v>Score: 0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2" t="str">
        <f>IFERROR(__xludf.DUMMYFUNCTION("CONCAT(""B BP: "",IMPORTRANGE(""18KjuM_F6goZYnozVb7folIb5Hw_mfKQrNdVWKGx6j4s"",""Round 13!S32""))"),"B BP: 0")</f>
        <v>B BP: 0</v>
      </c>
      <c r="B33" t="str">
        <f>IFERROR(__xludf.DUMMYFUNCTION("""COMPUTED_VALUE"""),"Player 1")</f>
        <v>Player 1</v>
      </c>
      <c r="C33" t="str">
        <f>IFERROR(__xludf.DUMMYFUNCTION("""COMPUTED_VALUE"""),"Player 2")</f>
        <v>Player 2</v>
      </c>
      <c r="D33" t="str">
        <f>IFERROR(__xludf.DUMMYFUNCTION("""COMPUTED_VALUE"""),"Player 3")</f>
        <v>Player 3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IFERROR(__xludf.DUMMYFUNCTION("""COMPUTED_VALUE"""),"Player 1")</f>
        <v>Player 1</v>
      </c>
      <c r="I33" t="str">
        <f>IFERROR(__xludf.DUMMYFUNCTION("""COMPUTED_VALUE"""),"Player 2")</f>
        <v>Player 2</v>
      </c>
      <c r="J33" t="str">
        <f>IFERROR(__xludf.DUMMYFUNCTION("""COMPUTED_VALUE"""),"Player 3")</f>
        <v>Player 3</v>
      </c>
      <c r="K33" t="str">
        <f>IFERROR(__xludf.DUMMYFUNCTION("""COMPUTED_VALUE"""),"Player 4")</f>
        <v>Player 4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1" t="s">
        <v>2</v>
      </c>
      <c r="B34">
        <f>IFERROR(__xludf.DUMMYFUNCTION("{IMPORTRANGE(""18KjuM_F6goZYnozVb7folIb5Hw_mfKQrNdVWKGx6j4s"",""Round 13!C32:H36""),IMPORTRANGE(""18KjuM_F6goZYnozVb7folIb5Hw_mfKQrNdVWKGx6j4s"",""Round 13!M32:R36"")}"),20.0)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1">
        <v>15.0</v>
      </c>
      <c r="B35">
        <f>IFERROR(__xludf.DUMMYFUNCTION("""COMPUTED_VALUE"""),0.0)</f>
        <v>0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IFERROR(__xludf.DUMMYFUNCTION("""COMPUTED_VALUE"""),0.0)</f>
        <v>0</v>
      </c>
      <c r="J35">
        <f>IFERROR(__xludf.DUMMYFUNCTION("""COMPUTED_VALUE"""),0.0)</f>
        <v>0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1">
        <v>10.0</v>
      </c>
      <c r="B36">
        <f>IFERROR(__xludf.DUMMYFUNCTION("""COMPUTED_VALUE"""),0.0)</f>
        <v>0</v>
      </c>
      <c r="C36">
        <f>IFERROR(__xludf.DUMMYFUNCTION("""COMPUTED_VALUE"""),0.0)</f>
        <v>0</v>
      </c>
      <c r="D36">
        <f>IFERROR(__xludf.DUMMYFUNCTION("""COMPUTED_VALUE"""),0.0)</f>
        <v>0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IFERROR(__xludf.DUMMYFUNCTION("""COMPUTED_VALUE"""),0.0)</f>
        <v>0</v>
      </c>
      <c r="I36">
        <f>IFERROR(__xludf.DUMMYFUNCTION("""COMPUTED_VALUE"""),0.0)</f>
        <v>0</v>
      </c>
      <c r="J36">
        <f>IFERROR(__xludf.DUMMYFUNCTION("""COMPUTED_VALUE"""),0.0)</f>
        <v>0</v>
      </c>
      <c r="K36">
        <f>IFERROR(__xludf.DUMMYFUNCTION("""COMPUTED_VALUE"""),0.0)</f>
        <v>0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1">
        <v>-5.0</v>
      </c>
      <c r="B37">
        <f>IFERROR(__xludf.DUMMYFUNCTION("""COMPUTED_VALUE"""),0.0)</f>
        <v>0</v>
      </c>
      <c r="C37">
        <f>IFERROR(__xludf.DUMMYFUNCTION("""COMPUTED_VALUE"""),0.0)</f>
        <v>0</v>
      </c>
      <c r="D37">
        <f>IFERROR(__xludf.DUMMYFUNCTION("""COMPUTED_VALUE"""),0.0)</f>
        <v>0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IFERROR(__xludf.DUMMYFUNCTION("""COMPUTED_VALUE"""),0.0)</f>
        <v>0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1" t="s">
        <v>3</v>
      </c>
      <c r="B38">
        <f>IFERROR(__xludf.DUMMYFUNCTION("""COMPUTED_VALUE"""),0.0)</f>
        <v>0</v>
      </c>
      <c r="C38">
        <f>IFERROR(__xludf.DUMMYFUNCTION("""COMPUTED_VALUE"""),0.0)</f>
        <v>0</v>
      </c>
      <c r="D38">
        <f>IFERROR(__xludf.DUMMYFUNCTION("""COMPUTED_VALUE"""),0.0)</f>
        <v>0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IFERROR(__xludf.DUMMYFUNCTION("""COMPUTED_VALUE"""),0.0)</f>
        <v>0</v>
      </c>
      <c r="I38">
        <f>IFERROR(__xludf.DUMMYFUNCTION("""COMPUTED_VALUE"""),0.0)</f>
        <v>0</v>
      </c>
      <c r="J38">
        <f>IFERROR(__xludf.DUMMYFUNCTION("""COMPUTED_VALUE"""),0.0)</f>
        <v>0</v>
      </c>
      <c r="K38">
        <f>IFERROR(__xludf.DUMMYFUNCTION("""COMPUTED_VALUE"""),0.0)</f>
        <v>0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2" t="str">
        <f>IFERROR(__xludf.DUMMYFUNCTION("IMPORTRANGE(""18KjuM_F6goZYnozVb7folIb5Hw_mfKQrNdVWKGx6j4s"",""Round 13!W1"")"),"Question: 1")</f>
        <v>Question: 1</v>
      </c>
      <c r="B39" s="3" t="s">
        <v>10</v>
      </c>
    </row>
    <row r="40">
      <c r="A40" s="2"/>
    </row>
    <row r="41">
      <c r="A41" s="1" t="s">
        <v>12</v>
      </c>
      <c r="B41" t="str">
        <f>IFERROR(__xludf.DUMMYFUNCTION("{IMPORTRANGE(""1_YEY20HiFjspjicPICCMlL_lQXsksdB6d3m5vzHwuOI"",""Round 13!C1:H3""),IMPORTRANGE(""1_YEY20HiFjspjicPICCMlL_lQXsksdB6d3m5vzHwuOI"",""Round 13!M1:R3"")}"),"Team A")</f>
        <v>Team A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IFERROR(__xludf.DUMMYFUNCTION("""COMPUTED_VALUE"""),"Team B")</f>
        <v>Team B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2" t="str">
        <f>IFERROR(__xludf.DUMMYFUNCTION("CONCAT(""A BP: "",IMPORTRANGE(""1_YEY20HiFjspjicPICCMlL_lQXsksdB6d3m5vzHwuOI"",""Round 13!I32""))"),"A BP: 0")</f>
        <v>A BP: 0</v>
      </c>
      <c r="B42" t="str">
        <f>IFERROR(__xludf.DUMMYFUNCTION("""COMPUTED_VALUE"""),"Score: 0")</f>
        <v>Score: 0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0")</f>
        <v>Score: 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2" t="str">
        <f>IFERROR(__xludf.DUMMYFUNCTION("CONCAT(""B BP: "",IMPORTRANGE(""1_YEY20HiFjspjicPICCMlL_lQXsksdB6d3m5vzHwuOI"",""Round 13!S32""))"),"B BP: 0")</f>
        <v>B BP: 0</v>
      </c>
      <c r="B43" t="str">
        <f>IFERROR(__xludf.DUMMYFUNCTION("""COMPUTED_VALUE"""),"Player 1")</f>
        <v>Player 1</v>
      </c>
      <c r="C43" t="str">
        <f>IFERROR(__xludf.DUMMYFUNCTION("""COMPUTED_VALUE"""),"Player 2")</f>
        <v>Player 2</v>
      </c>
      <c r="D43" t="str">
        <f>IFERROR(__xludf.DUMMYFUNCTION("""COMPUTED_VALUE"""),"Player 3")</f>
        <v>Player 3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IFERROR(__xludf.DUMMYFUNCTION("""COMPUTED_VALUE"""),"Player 1")</f>
        <v>Player 1</v>
      </c>
      <c r="I43" t="str">
        <f>IFERROR(__xludf.DUMMYFUNCTION("""COMPUTED_VALUE"""),"Player 2")</f>
        <v>Player 2</v>
      </c>
      <c r="J43" t="str">
        <f>IFERROR(__xludf.DUMMYFUNCTION("""COMPUTED_VALUE"""),"Player 3")</f>
        <v>Player 3</v>
      </c>
      <c r="K43" t="str">
        <f>IFERROR(__xludf.DUMMYFUNCTION("""COMPUTED_VALUE"""),"Player 4")</f>
        <v>Player 4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1" t="s">
        <v>2</v>
      </c>
      <c r="B44">
        <f>IFERROR(__xludf.DUMMYFUNCTION("{IMPORTRANGE(""1_YEY20HiFjspjicPICCMlL_lQXsksdB6d3m5vzHwuOI"",""Round 13!C32:H36""),IMPORTRANGE(""1_YEY20HiFjspjicPICCMlL_lQXsksdB6d3m5vzHwuOI"",""Round 13!M32:R36"")}"),20.0)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1">
        <v>15.0</v>
      </c>
      <c r="B45">
        <f>IFERROR(__xludf.DUMMYFUNCTION("""COMPUTED_VALUE"""),0.0)</f>
        <v>0</v>
      </c>
      <c r="C45">
        <f>IFERROR(__xludf.DUMMYFUNCTION("""COMPUTED_VALUE"""),0.0)</f>
        <v>0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IFERROR(__xludf.DUMMYFUNCTION("""COMPUTED_VALUE"""),0.0)</f>
        <v>0</v>
      </c>
      <c r="I45">
        <f>IFERROR(__xludf.DUMMYFUNCTION("""COMPUTED_VALUE"""),0.0)</f>
        <v>0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1">
        <v>10.0</v>
      </c>
      <c r="B46">
        <f>IFERROR(__xludf.DUMMYFUNCTION("""COMPUTED_VALUE"""),0.0)</f>
        <v>0</v>
      </c>
      <c r="C46">
        <f>IFERROR(__xludf.DUMMYFUNCTION("""COMPUTED_VALUE"""),0.0)</f>
        <v>0</v>
      </c>
      <c r="D46">
        <f>IFERROR(__xludf.DUMMYFUNCTION("""COMPUTED_VALUE"""),0.0)</f>
        <v>0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IFERROR(__xludf.DUMMYFUNCTION("""COMPUTED_VALUE"""),0.0)</f>
        <v>0</v>
      </c>
      <c r="I46">
        <f>IFERROR(__xludf.DUMMYFUNCTION("""COMPUTED_VALUE"""),0.0)</f>
        <v>0</v>
      </c>
      <c r="J46">
        <f>IFERROR(__xludf.DUMMYFUNCTION("""COMPUTED_VALUE"""),0.0)</f>
        <v>0</v>
      </c>
      <c r="K46">
        <f>IFERROR(__xludf.DUMMYFUNCTION("""COMPUTED_VALUE"""),0.0)</f>
        <v>0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1">
        <v>-5.0</v>
      </c>
      <c r="B47">
        <f>IFERROR(__xludf.DUMMYFUNCTION("""COMPUTED_VALUE"""),0.0)</f>
        <v>0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1" t="s">
        <v>3</v>
      </c>
      <c r="B48">
        <f>IFERROR(__xludf.DUMMYFUNCTION("""COMPUTED_VALUE"""),0.0)</f>
        <v>0</v>
      </c>
      <c r="C48">
        <f>IFERROR(__xludf.DUMMYFUNCTION("""COMPUTED_VALUE"""),0.0)</f>
        <v>0</v>
      </c>
      <c r="D48">
        <f>IFERROR(__xludf.DUMMYFUNCTION("""COMPUTED_VALUE"""),0.0)</f>
        <v>0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IFERROR(__xludf.DUMMYFUNCTION("""COMPUTED_VALUE"""),0.0)</f>
        <v>0</v>
      </c>
      <c r="I48">
        <f>IFERROR(__xludf.DUMMYFUNCTION("""COMPUTED_VALUE"""),0.0)</f>
        <v>0</v>
      </c>
      <c r="J48">
        <f>IFERROR(__xludf.DUMMYFUNCTION("""COMPUTED_VALUE"""),0.0)</f>
        <v>0</v>
      </c>
      <c r="K48">
        <f>IFERROR(__xludf.DUMMYFUNCTION("""COMPUTED_VALUE"""),0.0)</f>
        <v>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2" t="str">
        <f>IFERROR(__xludf.DUMMYFUNCTION("IMPORTRANGE(""1_YEY20HiFjspjicPICCMlL_lQXsksdB6d3m5vzHwuOI"",""Round 13!W1"")"),"Question: 1")</f>
        <v>Question: 1</v>
      </c>
      <c r="B49" s="3" t="s">
        <v>13</v>
      </c>
    </row>
    <row r="50">
      <c r="A50" s="2"/>
    </row>
    <row r="51">
      <c r="A51" s="1" t="s">
        <v>15</v>
      </c>
      <c r="B51" t="str">
        <f>IFERROR(__xludf.DUMMYFUNCTION("{IMPORTRANGE(""1SYS5Ef48991ZUgqcGqj51eX2YgqKCzfrEZ_pUY01Lwo"",""Round 13!C1:H3""),IMPORTRANGE(""1SYS5Ef48991ZUgqcGqj51eX2YgqKCzfrEZ_pUY01Lwo"",""Round 13!M1:R3"")}"),"Team A")</f>
        <v>Team A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IFERROR(__xludf.DUMMYFUNCTION("""COMPUTED_VALUE"""),"Team B")</f>
        <v>Team B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2" t="str">
        <f>IFERROR(__xludf.DUMMYFUNCTION("CONCAT(""A BP: "",IMPORTRANGE(""1SYS5Ef48991ZUgqcGqj51eX2YgqKCzfrEZ_pUY01Lwo"",""Round 13!I32""))"),"A BP: 0")</f>
        <v>A BP: 0</v>
      </c>
      <c r="B52" t="str">
        <f>IFERROR(__xludf.DUMMYFUNCTION("""COMPUTED_VALUE"""),"Score: 0")</f>
        <v>Score: 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0")</f>
        <v>Score: 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2" t="str">
        <f>IFERROR(__xludf.DUMMYFUNCTION("CONCAT(""B BP: "",IMPORTRANGE(""1SYS5Ef48991ZUgqcGqj51eX2YgqKCzfrEZ_pUY01Lwo"",""Round 13!S32""))"),"B BP: 0")</f>
        <v>B BP: 0</v>
      </c>
      <c r="B53" t="str">
        <f>IFERROR(__xludf.DUMMYFUNCTION("""COMPUTED_VALUE"""),"Player 1")</f>
        <v>Player 1</v>
      </c>
      <c r="C53" t="str">
        <f>IFERROR(__xludf.DUMMYFUNCTION("""COMPUTED_VALUE"""),"Player 2")</f>
        <v>Player 2</v>
      </c>
      <c r="D53" t="str">
        <f>IFERROR(__xludf.DUMMYFUNCTION("""COMPUTED_VALUE"""),"Player 3")</f>
        <v>Player 3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IFERROR(__xludf.DUMMYFUNCTION("""COMPUTED_VALUE"""),"Player 1")</f>
        <v>Player 1</v>
      </c>
      <c r="I53" t="str">
        <f>IFERROR(__xludf.DUMMYFUNCTION("""COMPUTED_VALUE"""),"Player 2")</f>
        <v>Player 2</v>
      </c>
      <c r="J53" t="str">
        <f>IFERROR(__xludf.DUMMYFUNCTION("""COMPUTED_VALUE"""),"Player 3")</f>
        <v>Player 3</v>
      </c>
      <c r="K53" t="str">
        <f>IFERROR(__xludf.DUMMYFUNCTION("""COMPUTED_VALUE"""),"Player 4")</f>
        <v>Player 4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1" t="s">
        <v>2</v>
      </c>
      <c r="B54">
        <f>IFERROR(__xludf.DUMMYFUNCTION("{IMPORTRANGE(""1SYS5Ef48991ZUgqcGqj51eX2YgqKCzfrEZ_pUY01Lwo"",""Round 13!C32:H36""),IMPORTRANGE(""1SYS5Ef48991ZUgqcGqj51eX2YgqKCzfrEZ_pUY01Lwo"",""Round 13!M32:R36"")}"),20.0)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1">
        <v>15.0</v>
      </c>
      <c r="B55">
        <f>IFERROR(__xludf.DUMMYFUNCTION("""COMPUTED_VALUE"""),0.0)</f>
        <v>0</v>
      </c>
      <c r="C55">
        <f>IFERROR(__xludf.DUMMYFUNCTION("""COMPUTED_VALUE"""),0.0)</f>
        <v>0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IFERROR(__xludf.DUMMYFUNCTION("""COMPUTED_VALUE"""),0.0)</f>
        <v>0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1">
        <v>10.0</v>
      </c>
      <c r="B56">
        <f>IFERROR(__xludf.DUMMYFUNCTION("""COMPUTED_VALUE"""),0.0)</f>
        <v>0</v>
      </c>
      <c r="C56">
        <f>IFERROR(__xludf.DUMMYFUNCTION("""COMPUTED_VALUE"""),0.0)</f>
        <v>0</v>
      </c>
      <c r="D56">
        <f>IFERROR(__xludf.DUMMYFUNCTION("""COMPUTED_VALUE"""),0.0)</f>
        <v>0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IFERROR(__xludf.DUMMYFUNCTION("""COMPUTED_VALUE"""),0.0)</f>
        <v>0</v>
      </c>
      <c r="I56">
        <f>IFERROR(__xludf.DUMMYFUNCTION("""COMPUTED_VALUE"""),0.0)</f>
        <v>0</v>
      </c>
      <c r="J56">
        <f>IFERROR(__xludf.DUMMYFUNCTION("""COMPUTED_VALUE"""),0.0)</f>
        <v>0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1">
        <v>-5.0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IFERROR(__xludf.DUMMYFUNCTION("""COMPUTED_VALUE"""),0.0)</f>
        <v>0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1" t="s">
        <v>3</v>
      </c>
      <c r="B58">
        <f>IFERROR(__xludf.DUMMYFUNCTION("""COMPUTED_VALUE"""),0.0)</f>
        <v>0</v>
      </c>
      <c r="C58">
        <f>IFERROR(__xludf.DUMMYFUNCTION("""COMPUTED_VALUE"""),0.0)</f>
        <v>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IFERROR(__xludf.DUMMYFUNCTION("""COMPUTED_VALUE"""),0.0)</f>
        <v>0</v>
      </c>
      <c r="I58">
        <f>IFERROR(__xludf.DUMMYFUNCTION("""COMPUTED_VALUE"""),0.0)</f>
        <v>0</v>
      </c>
      <c r="J58">
        <f>IFERROR(__xludf.DUMMYFUNCTION("""COMPUTED_VALUE"""),0.0)</f>
        <v>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2" t="str">
        <f>IFERROR(__xludf.DUMMYFUNCTION("IMPORTRANGE(""1SYS5Ef48991ZUgqcGqj51eX2YgqKCzfrEZ_pUY01Lwo"",""Round 13!W1"")"),"Question: 1")</f>
        <v>Question: 1</v>
      </c>
      <c r="B59" s="3" t="s">
        <v>16</v>
      </c>
    </row>
    <row r="60">
      <c r="A60" s="2"/>
    </row>
    <row r="61">
      <c r="A61" s="1" t="s">
        <v>17</v>
      </c>
      <c r="B61" t="str">
        <f>IFERROR(__xludf.DUMMYFUNCTION("{IMPORTRANGE(""1UJlRLlhI2Hg_SAQqQOg0JGdwHhiagF7EVAtCX8UOYFc"",""Round 13!C1:H3""),IMPORTRANGE(""1UJlRLlhI2Hg_SAQqQOg0JGdwHhiagF7EVAtCX8UOYFc"",""Round 13!M1:R3"")}"),"Team A")</f>
        <v>Team A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IFERROR(__xludf.DUMMYFUNCTION("""COMPUTED_VALUE"""),"Team B")</f>
        <v>Team B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2" t="str">
        <f>IFERROR(__xludf.DUMMYFUNCTION("CONCAT(""A BP: "",IMPORTRANGE(""1UJlRLlhI2Hg_SAQqQOg0JGdwHhiagF7EVAtCX8UOYFc"",""Round 13!I32""))"),"A BP: 0")</f>
        <v>A BP: 0</v>
      </c>
      <c r="B62" t="str">
        <f>IFERROR(__xludf.DUMMYFUNCTION("""COMPUTED_VALUE"""),"Score: 0")</f>
        <v>Score: 0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0")</f>
        <v>Score: 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2" t="str">
        <f>IFERROR(__xludf.DUMMYFUNCTION("CONCAT(""B BP: "",IMPORTRANGE(""1UJlRLlhI2Hg_SAQqQOg0JGdwHhiagF7EVAtCX8UOYFc"",""Round 13!S32""))"),"B BP: 0")</f>
        <v>B BP: 0</v>
      </c>
      <c r="B63" t="str">
        <f>IFERROR(__xludf.DUMMYFUNCTION("""COMPUTED_VALUE"""),"Player 1")</f>
        <v>Player 1</v>
      </c>
      <c r="C63" t="str">
        <f>IFERROR(__xludf.DUMMYFUNCTION("""COMPUTED_VALUE"""),"Player 2")</f>
        <v>Player 2</v>
      </c>
      <c r="D63" t="str">
        <f>IFERROR(__xludf.DUMMYFUNCTION("""COMPUTED_VALUE"""),"Player 3")</f>
        <v>Player 3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IFERROR(__xludf.DUMMYFUNCTION("""COMPUTED_VALUE"""),"Player 1")</f>
        <v>Player 1</v>
      </c>
      <c r="I63" t="str">
        <f>IFERROR(__xludf.DUMMYFUNCTION("""COMPUTED_VALUE"""),"Player 2")</f>
        <v>Player 2</v>
      </c>
      <c r="J63" t="str">
        <f>IFERROR(__xludf.DUMMYFUNCTION("""COMPUTED_VALUE"""),"Player 3")</f>
        <v>Player 3</v>
      </c>
      <c r="K63" t="str">
        <f>IFERROR(__xludf.DUMMYFUNCTION("""COMPUTED_VALUE"""),"Player 4")</f>
        <v>Player 4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1" t="s">
        <v>2</v>
      </c>
      <c r="B64">
        <f>IFERROR(__xludf.DUMMYFUNCTION("{IMPORTRANGE(""1UJlRLlhI2Hg_SAQqQOg0JGdwHhiagF7EVAtCX8UOYFc"",""Round 13!C32:H36""),IMPORTRANGE(""1UJlRLlhI2Hg_SAQqQOg0JGdwHhiagF7EVAtCX8UOYFc"",""Round 13!M32:R36"")}"),20.0)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1">
        <v>15.0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IFERROR(__xludf.DUMMYFUNCTION("""COMPUTED_VALUE"""),0.0)</f>
        <v>0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1">
        <v>10.0</v>
      </c>
      <c r="B66">
        <f>IFERROR(__xludf.DUMMYFUNCTION("""COMPUTED_VALUE"""),0.0)</f>
        <v>0</v>
      </c>
      <c r="C66">
        <f>IFERROR(__xludf.DUMMYFUNCTION("""COMPUTED_VALUE"""),0.0)</f>
        <v>0</v>
      </c>
      <c r="D66">
        <f>IFERROR(__xludf.DUMMYFUNCTION("""COMPUTED_VALUE"""),0.0)</f>
        <v>0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IFERROR(__xludf.DUMMYFUNCTION("""COMPUTED_VALUE"""),0.0)</f>
        <v>0</v>
      </c>
      <c r="I66">
        <f>IFERROR(__xludf.DUMMYFUNCTION("""COMPUTED_VALUE"""),0.0)</f>
        <v>0</v>
      </c>
      <c r="J66">
        <f>IFERROR(__xludf.DUMMYFUNCTION("""COMPUTED_VALUE"""),0.0)</f>
        <v>0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1">
        <v>-5.0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IFERROR(__xludf.DUMMYFUNCTION("""COMPUTED_VALUE"""),0.0)</f>
        <v>0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1" t="s">
        <v>3</v>
      </c>
      <c r="B68">
        <f>IFERROR(__xludf.DUMMYFUNCTION("""COMPUTED_VALUE"""),0.0)</f>
        <v>0</v>
      </c>
      <c r="C68">
        <f>IFERROR(__xludf.DUMMYFUNCTION("""COMPUTED_VALUE"""),0.0)</f>
        <v>0</v>
      </c>
      <c r="D68">
        <f>IFERROR(__xludf.DUMMYFUNCTION("""COMPUTED_VALUE"""),0.0)</f>
        <v>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IFERROR(__xludf.DUMMYFUNCTION("""COMPUTED_VALUE"""),0.0)</f>
        <v>0</v>
      </c>
      <c r="I68">
        <f>IFERROR(__xludf.DUMMYFUNCTION("""COMPUTED_VALUE"""),0.0)</f>
        <v>0</v>
      </c>
      <c r="J68">
        <f>IFERROR(__xludf.DUMMYFUNCTION("""COMPUTED_VALUE"""),0.0)</f>
        <v>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2" t="str">
        <f>IFERROR(__xludf.DUMMYFUNCTION("IMPORTRANGE(""1UJlRLlhI2Hg_SAQqQOg0JGdwHhiagF7EVAtCX8UOYFc"",""Round 13!W1"")"),"Question: 1")</f>
        <v>Question: 1</v>
      </c>
      <c r="B69" s="3" t="s">
        <v>19</v>
      </c>
    </row>
    <row r="70">
      <c r="A70" s="2"/>
    </row>
    <row r="71">
      <c r="A71" s="1" t="s">
        <v>20</v>
      </c>
      <c r="B71" t="str">
        <f>IFERROR(__xludf.DUMMYFUNCTION("{IMPORTRANGE(""1jA96n0qbauznSt6-hkr51AslpxJqfrWgkafVtMV8_xU"",""Round 13!C1:H3""),IMPORTRANGE(""1jA96n0qbauznSt6-hkr51AslpxJqfrWgkafVtMV8_xU"",""Round 13!M1:R3"")}"),"Team A")</f>
        <v>Team A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IFERROR(__xludf.DUMMYFUNCTION("""COMPUTED_VALUE"""),"Team B")</f>
        <v>Team B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2" t="str">
        <f>IFERROR(__xludf.DUMMYFUNCTION("CONCAT(""A BP: "",IMPORTRANGE(""1jA96n0qbauznSt6-hkr51AslpxJqfrWgkafVtMV8_xU"",""Round 13!I32""))"),"A BP: 0")</f>
        <v>A BP: 0</v>
      </c>
      <c r="B72" t="str">
        <f>IFERROR(__xludf.DUMMYFUNCTION("""COMPUTED_VALUE"""),"Score: 0")</f>
        <v>Score: 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0")</f>
        <v>Score: 0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2" t="str">
        <f>IFERROR(__xludf.DUMMYFUNCTION("CONCAT(""B BP: "",IMPORTRANGE(""1jA96n0qbauznSt6-hkr51AslpxJqfrWgkafVtMV8_xU"",""Round 13!S32""))"),"B BP: 0")</f>
        <v>B BP: 0</v>
      </c>
      <c r="B73" t="str">
        <f>IFERROR(__xludf.DUMMYFUNCTION("""COMPUTED_VALUE"""),"Player 1")</f>
        <v>Player 1</v>
      </c>
      <c r="C73" t="str">
        <f>IFERROR(__xludf.DUMMYFUNCTION("""COMPUTED_VALUE"""),"Player 2")</f>
        <v>Player 2</v>
      </c>
      <c r="D73" t="str">
        <f>IFERROR(__xludf.DUMMYFUNCTION("""COMPUTED_VALUE"""),"Player 3")</f>
        <v>Player 3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IFERROR(__xludf.DUMMYFUNCTION("""COMPUTED_VALUE"""),"Player 1")</f>
        <v>Player 1</v>
      </c>
      <c r="I73" t="str">
        <f>IFERROR(__xludf.DUMMYFUNCTION("""COMPUTED_VALUE"""),"Player 2")</f>
        <v>Player 2</v>
      </c>
      <c r="J73" t="str">
        <f>IFERROR(__xludf.DUMMYFUNCTION("""COMPUTED_VALUE"""),"Player 3")</f>
        <v>Player 3</v>
      </c>
      <c r="K73" t="str">
        <f>IFERROR(__xludf.DUMMYFUNCTION("""COMPUTED_VALUE"""),"Player 4")</f>
        <v>Player 4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1" t="s">
        <v>2</v>
      </c>
      <c r="B74">
        <f>IFERROR(__xludf.DUMMYFUNCTION("{IMPORTRANGE(""1jA96n0qbauznSt6-hkr51AslpxJqfrWgkafVtMV8_xU"",""Round 13!C32:H36""),IMPORTRANGE(""1jA96n0qbauznSt6-hkr51AslpxJqfrWgkafVtMV8_xU"",""Round 13!M32:R36"")}"),20.0)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1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IFERROR(__xludf.DUMMYFUNCTION("""COMPUTED_VALUE"""),0.0)</f>
        <v>0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1">
        <v>10.0</v>
      </c>
      <c r="B76">
        <f>IFERROR(__xludf.DUMMYFUNCTION("""COMPUTED_VALUE"""),0.0)</f>
        <v>0</v>
      </c>
      <c r="C76">
        <f>IFERROR(__xludf.DUMMYFUNCTION("""COMPUTED_VALUE"""),0.0)</f>
        <v>0</v>
      </c>
      <c r="D76">
        <f>IFERROR(__xludf.DUMMYFUNCTION("""COMPUTED_VALUE"""),0.0)</f>
        <v>0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IFERROR(__xludf.DUMMYFUNCTION("""COMPUTED_VALUE"""),0.0)</f>
        <v>0</v>
      </c>
      <c r="I76">
        <f>IFERROR(__xludf.DUMMYFUNCTION("""COMPUTED_VALUE"""),0.0)</f>
        <v>0</v>
      </c>
      <c r="J76">
        <f>IFERROR(__xludf.DUMMYFUNCTION("""COMPUTED_VALUE"""),0.0)</f>
        <v>0</v>
      </c>
      <c r="K76">
        <f>IFERROR(__xludf.DUMMYFUNCTION("""COMPUTED_VALUE"""),0.0)</f>
        <v>0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1">
        <v>-5.0</v>
      </c>
      <c r="B77">
        <f>IFERROR(__xludf.DUMMYFUNCTION("""COMPUTED_VALUE"""),0.0)</f>
        <v>0</v>
      </c>
      <c r="C77">
        <f>IFERROR(__xludf.DUMMYFUNCTION("""COMPUTED_VALUE"""),0.0)</f>
        <v>0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1" t="s">
        <v>3</v>
      </c>
      <c r="B78">
        <f>IFERROR(__xludf.DUMMYFUNCTION("""COMPUTED_VALUE"""),0.0)</f>
        <v>0</v>
      </c>
      <c r="C78">
        <f>IFERROR(__xludf.DUMMYFUNCTION("""COMPUTED_VALUE"""),0.0)</f>
        <v>0</v>
      </c>
      <c r="D78">
        <f>IFERROR(__xludf.DUMMYFUNCTION("""COMPUTED_VALUE"""),0.0)</f>
        <v>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IFERROR(__xludf.DUMMYFUNCTION("""COMPUTED_VALUE"""),0.0)</f>
        <v>0</v>
      </c>
      <c r="I78">
        <f>IFERROR(__xludf.DUMMYFUNCTION("""COMPUTED_VALUE"""),0.0)</f>
        <v>0</v>
      </c>
      <c r="J78">
        <f>IFERROR(__xludf.DUMMYFUNCTION("""COMPUTED_VALUE"""),0.0)</f>
        <v>0</v>
      </c>
      <c r="K78">
        <f>IFERROR(__xludf.DUMMYFUNCTION("""COMPUTED_VALUE"""),0.0)</f>
        <v>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2" t="str">
        <f>IFERROR(__xludf.DUMMYFUNCTION("IMPORTRANGE(""1jA96n0qbauznSt6-hkr51AslpxJqfrWgkafVtMV8_xU"",""Round 13!W1"")"),"Question: 1")</f>
        <v>Question: 1</v>
      </c>
      <c r="B79" s="3" t="s">
        <v>22</v>
      </c>
    </row>
    <row r="80">
      <c r="A80" s="2"/>
    </row>
    <row r="81">
      <c r="A81" s="1" t="s">
        <v>23</v>
      </c>
      <c r="B81" t="str">
        <f>IFERROR(__xludf.DUMMYFUNCTION("{IMPORTRANGE(""1xw1EOjVhrK1PNJfOYiUsuJNrlpV53SmfJxYsFFolQ3s"",""Round 13!C1:H3""),IMPORTRANGE(""1xw1EOjVhrK1PNJfOYiUsuJNrlpV53SmfJxYsFFolQ3s"",""Round 13!M1:R3"")}"),"Team A")</f>
        <v>Team A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IFERROR(__xludf.DUMMYFUNCTION("""COMPUTED_VALUE"""),"Team B")</f>
        <v>Team B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2" t="str">
        <f>IFERROR(__xludf.DUMMYFUNCTION("CONCAT(""A BP: "",IMPORTRANGE(""1xw1EOjVhrK1PNJfOYiUsuJNrlpV53SmfJxYsFFolQ3s"",""Round 13!I32""))"),"A BP: 0")</f>
        <v>A BP: 0</v>
      </c>
      <c r="B82" t="str">
        <f>IFERROR(__xludf.DUMMYFUNCTION("""COMPUTED_VALUE"""),"Score: 0")</f>
        <v>Score: 0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0")</f>
        <v>Score: 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2" t="str">
        <f>IFERROR(__xludf.DUMMYFUNCTION("CONCAT(""B BP: "",IMPORTRANGE(""1xw1EOjVhrK1PNJfOYiUsuJNrlpV53SmfJxYsFFolQ3s"",""Round 13!S32""))"),"B BP: 0")</f>
        <v>B BP: 0</v>
      </c>
      <c r="B83" t="str">
        <f>IFERROR(__xludf.DUMMYFUNCTION("""COMPUTED_VALUE"""),"Player 1")</f>
        <v>Player 1</v>
      </c>
      <c r="C83" t="str">
        <f>IFERROR(__xludf.DUMMYFUNCTION("""COMPUTED_VALUE"""),"Player 2")</f>
        <v>Player 2</v>
      </c>
      <c r="D83" t="str">
        <f>IFERROR(__xludf.DUMMYFUNCTION("""COMPUTED_VALUE"""),"Player 3")</f>
        <v>Player 3</v>
      </c>
      <c r="E83" t="str">
        <f>IFERROR(__xludf.DUMMYFUNCTION("""COMPUTED_VALUE"""),"Player 4")</f>
        <v>Player 4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IFERROR(__xludf.DUMMYFUNCTION("""COMPUTED_VALUE"""),"Player 1")</f>
        <v>Player 1</v>
      </c>
      <c r="I83" t="str">
        <f>IFERROR(__xludf.DUMMYFUNCTION("""COMPUTED_VALUE"""),"Player 2")</f>
        <v>Player 2</v>
      </c>
      <c r="J83" t="str">
        <f>IFERROR(__xludf.DUMMYFUNCTION("""COMPUTED_VALUE"""),"Player 3")</f>
        <v>Player 3</v>
      </c>
      <c r="K83" t="str">
        <f>IFERROR(__xludf.DUMMYFUNCTION("""COMPUTED_VALUE"""),"Player 4")</f>
        <v>Player 4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1" t="s">
        <v>2</v>
      </c>
      <c r="B84">
        <f>IFERROR(__xludf.DUMMYFUNCTION("{IMPORTRANGE(""1xw1EOjVhrK1PNJfOYiUsuJNrlpV53SmfJxYsFFolQ3s"",""Round 13!C32:H36""),IMPORTRANGE(""1xw1EOjVhrK1PNJfOYiUsuJNrlpV53SmfJxYsFFolQ3s"",""Round 13!M32:R36"")}"),20.0)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1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IFERROR(__xludf.DUMMYFUNCTION("""COMPUTED_VALUE"""),0.0)</f>
        <v>0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1">
        <v>10.0</v>
      </c>
      <c r="B86">
        <f>IFERROR(__xludf.DUMMYFUNCTION("""COMPUTED_VALUE"""),0.0)</f>
        <v>0</v>
      </c>
      <c r="C86">
        <f>IFERROR(__xludf.DUMMYFUNCTION("""COMPUTED_VALUE"""),0.0)</f>
        <v>0</v>
      </c>
      <c r="D86">
        <f>IFERROR(__xludf.DUMMYFUNCTION("""COMPUTED_VALUE"""),0.0)</f>
        <v>0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IFERROR(__xludf.DUMMYFUNCTION("""COMPUTED_VALUE"""),0.0)</f>
        <v>0</v>
      </c>
      <c r="I86">
        <f>IFERROR(__xludf.DUMMYFUNCTION("""COMPUTED_VALUE"""),0.0)</f>
        <v>0</v>
      </c>
      <c r="J86">
        <f>IFERROR(__xludf.DUMMYFUNCTION("""COMPUTED_VALUE"""),0.0)</f>
        <v>0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1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IFERROR(__xludf.DUMMYFUNCTION("""COMPUTED_VALUE"""),0.0)</f>
        <v>0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1" t="s">
        <v>3</v>
      </c>
      <c r="B88">
        <f>IFERROR(__xludf.DUMMYFUNCTION("""COMPUTED_VALUE"""),0.0)</f>
        <v>0</v>
      </c>
      <c r="C88">
        <f>IFERROR(__xludf.DUMMYFUNCTION("""COMPUTED_VALUE"""),0.0)</f>
        <v>0</v>
      </c>
      <c r="D88">
        <f>IFERROR(__xludf.DUMMYFUNCTION("""COMPUTED_VALUE"""),0.0)</f>
        <v>0</v>
      </c>
      <c r="E88">
        <f>IFERROR(__xludf.DUMMYFUNCTION("""COMPUTED_VALUE"""),0.0)</f>
        <v>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IFERROR(__xludf.DUMMYFUNCTION("""COMPUTED_VALUE"""),0.0)</f>
        <v>0</v>
      </c>
      <c r="I88">
        <f>IFERROR(__xludf.DUMMYFUNCTION("""COMPUTED_VALUE"""),0.0)</f>
        <v>0</v>
      </c>
      <c r="J88">
        <f>IFERROR(__xludf.DUMMYFUNCTION("""COMPUTED_VALUE"""),0.0)</f>
        <v>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2" t="str">
        <f>IFERROR(__xludf.DUMMYFUNCTION("IMPORTRANGE(""1xw1EOjVhrK1PNJfOYiUsuJNrlpV53SmfJxYsFFolQ3s"",""Round 13!W1"")"),"Question: 1")</f>
        <v>Question: 1</v>
      </c>
      <c r="B89" s="3" t="s">
        <v>25</v>
      </c>
    </row>
    <row r="90">
      <c r="A90" s="2"/>
    </row>
    <row r="91">
      <c r="A91" s="1" t="s">
        <v>26</v>
      </c>
      <c r="B91" t="str">
        <f>IFERROR(__xludf.DUMMYFUNCTION("{IMPORTRANGE(""15wOrdFuJAb1a4MoX5CG4apiBD2jUJ7mBu58Uk-8Mo7s"",""Round 13!C1:H3""),IMPORTRANGE(""15wOrdFuJAb1a4MoX5CG4apiBD2jUJ7mBu58Uk-8Mo7s"",""Round 13!M1:R3"")}"),"Team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2" t="str">
        <f>IFERROR(__xludf.DUMMYFUNCTION("CONCAT(""A BP: "",IMPORTRANGE(""15wOrdFuJAb1a4MoX5CG4apiBD2jUJ7mBu58Uk-8Mo7s"",""Round 13!I32""))"),"A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2" t="str">
        <f>IFERROR(__xludf.DUMMYFUNCTION("CONCAT(""B BP: "",IMPORTRANGE(""15wOrdFuJAb1a4MoX5CG4apiBD2jUJ7mBu58Uk-8Mo7s"",""Round 13!S32""))"),"B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1" t="s">
        <v>2</v>
      </c>
      <c r="B94">
        <f>IFERROR(__xludf.DUMMYFUNCTION("{IMPORTRANGE(""15wOrdFuJAb1a4MoX5CG4apiBD2jUJ7mBu58Uk-8Mo7s"",""Round 13!C32:H36""),IMPORTRANGE(""15wOrdFuJAb1a4MoX5CG4apiBD2jUJ7mBu58Uk-8Mo7s"",""Round 13!M32:R36"")}"),20.0)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1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1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1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1" t="s">
        <v>3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2" t="str">
        <f>IFERROR(__xludf.DUMMYFUNCTION("IMPORTRANGE(""15wOrdFuJAb1a4MoX5CG4apiBD2jUJ7mBu58Uk-8Mo7s"",""Round 13!W1"")"),"Question: 1")</f>
        <v>Question: 1</v>
      </c>
      <c r="B99" s="3" t="s">
        <v>27</v>
      </c>
    </row>
    <row r="100">
      <c r="A100" s="2"/>
    </row>
    <row r="101">
      <c r="A101" s="1" t="s">
        <v>28</v>
      </c>
      <c r="B101" t="str">
        <f>IFERROR(__xludf.DUMMYFUNCTION("{IMPORTRANGE(""1GfJqS1rsy-VutTmPVnm9E2VdinIG-GnQO5b3bhaiX1s"",""Round 13!C1:H3""),IMPORTRANGE(""1GfJqS1rsy-VutTmPVnm9E2VdinIG-GnQO5b3bhaiX1s"",""Round 13!M1:R3"")}"),"Team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2" t="str">
        <f>IFERROR(__xludf.DUMMYFUNCTION("CONCAT(""A BP: "",IMPORTRANGE(""1GfJqS1rsy-VutTmPVnm9E2VdinIG-GnQO5b3bhaiX1s"",""Round 13!I32""))"),"A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2" t="str">
        <f>IFERROR(__xludf.DUMMYFUNCTION("CONCAT(""B BP: "",IMPORTRANGE(""1GfJqS1rsy-VutTmPVnm9E2VdinIG-GnQO5b3bhaiX1s"",""Round 13!S32""))"),"B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1" t="s">
        <v>2</v>
      </c>
      <c r="B104">
        <f>IFERROR(__xludf.DUMMYFUNCTION("{IMPORTRANGE(""1GfJqS1rsy-VutTmPVnm9E2VdinIG-GnQO5b3bhaiX1s"",""Round 13!C32:H36""),IMPORTRANGE(""1GfJqS1rsy-VutTmPVnm9E2VdinIG-GnQO5b3bhaiX1s"",""Round 13!M32:R36"")}"),20.0)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1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1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1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1" t="s">
        <v>3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2" t="str">
        <f>IFERROR(__xludf.DUMMYFUNCTION("IMPORTRANGE(""1GfJqS1rsy-VutTmPVnm9E2VdinIG-GnQO5b3bhaiX1s"",""Round 13!W1"")"),"Question: 1")</f>
        <v>Question: 1</v>
      </c>
      <c r="B109" s="3" t="s">
        <v>29</v>
      </c>
    </row>
    <row r="110">
      <c r="A110" s="2"/>
    </row>
    <row r="111">
      <c r="A111" s="1" t="s">
        <v>45</v>
      </c>
      <c r="B111" t="str">
        <f>IFERROR(__xludf.DUMMYFUNCTION("{IMPORTRANGE(""17CLUEFflDBSa8dyH5vsXfHme4RV8IhzD-mxe9_c9I5k"",""Round 13!C1:H3""),IMPORTRANGE(""17CLUEFflDBSa8dyH5vsXfHme4RV8IhzD-mxe9_c9I5k"",""Round 13!M1:R3"")}"),"Team A")</f>
        <v>Team A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IFERROR(__xludf.DUMMYFUNCTION("""COMPUTED_VALUE"""),"Team B")</f>
        <v>Team B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2" t="str">
        <f>IFERROR(__xludf.DUMMYFUNCTION("CONCAT(""A BP: "",IMPORTRANGE(""17CLUEFflDBSa8dyH5vsXfHme4RV8IhzD-mxe9_c9I5k"",""Round 13!I32""))"),"A BP: 0")</f>
        <v>A BP: 0</v>
      </c>
      <c r="B112" t="str">
        <f>IFERROR(__xludf.DUMMYFUNCTION("""COMPUTED_VALUE"""),"Score: 0")</f>
        <v>Score: 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0")</f>
        <v>Score: 0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2" t="str">
        <f>IFERROR(__xludf.DUMMYFUNCTION("CONCAT(""B BP: "",IMPORTRANGE(""17CLUEFflDBSa8dyH5vsXfHme4RV8IhzD-mxe9_c9I5k"",""Round 13!S32""))"),"B BP: 0")</f>
        <v>B BP: 0</v>
      </c>
      <c r="B113" t="str">
        <f>IFERROR(__xludf.DUMMYFUNCTION("""COMPUTED_VALUE"""),"Player 1")</f>
        <v>Player 1</v>
      </c>
      <c r="C113" t="str">
        <f>IFERROR(__xludf.DUMMYFUNCTION("""COMPUTED_VALUE"""),"Player 2")</f>
        <v>Player 2</v>
      </c>
      <c r="D113" t="str">
        <f>IFERROR(__xludf.DUMMYFUNCTION("""COMPUTED_VALUE"""),"Player 3")</f>
        <v>Player 3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IFERROR(__xludf.DUMMYFUNCTION("""COMPUTED_VALUE"""),"Player 1")</f>
        <v>Player 1</v>
      </c>
      <c r="I113" t="str">
        <f>IFERROR(__xludf.DUMMYFUNCTION("""COMPUTED_VALUE"""),"Player 2")</f>
        <v>Player 2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1" t="s">
        <v>2</v>
      </c>
      <c r="B114">
        <f>IFERROR(__xludf.DUMMYFUNCTION("{IMPORTRANGE(""17CLUEFflDBSa8dyH5vsXfHme4RV8IhzD-mxe9_c9I5k"",""Round 13!C32:H36""),IMPORTRANGE(""17CLUEFflDBSa8dyH5vsXfHme4RV8IhzD-mxe9_c9I5k"",""Round 13!M32:R36"")}"),20.0)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1">
        <v>15.0</v>
      </c>
      <c r="B115">
        <f>IFERROR(__xludf.DUMMYFUNCTION("""COMPUTED_VALUE"""),0.0)</f>
        <v>0</v>
      </c>
      <c r="C115">
        <f>IFERROR(__xludf.DUMMYFUNCTION("""COMPUTED_VALUE"""),0.0)</f>
        <v>0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IFERROR(__xludf.DUMMYFUNCTION("""COMPUTED_VALUE"""),0.0)</f>
        <v>0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1">
        <v>10.0</v>
      </c>
      <c r="B116">
        <f>IFERROR(__xludf.DUMMYFUNCTION("""COMPUTED_VALUE"""),0.0)</f>
        <v>0</v>
      </c>
      <c r="C116">
        <f>IFERROR(__xludf.DUMMYFUNCTION("""COMPUTED_VALUE"""),0.0)</f>
        <v>0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IFERROR(__xludf.DUMMYFUNCTION("""COMPUTED_VALUE"""),0.0)</f>
        <v>0</v>
      </c>
      <c r="I116">
        <f>IFERROR(__xludf.DUMMYFUNCTION("""COMPUTED_VALUE"""),0.0)</f>
        <v>0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1">
        <v>-5.0</v>
      </c>
      <c r="B117">
        <f>IFERROR(__xludf.DUMMYFUNCTION("""COMPUTED_VALUE"""),0.0)</f>
        <v>0</v>
      </c>
      <c r="C117">
        <f>IFERROR(__xludf.DUMMYFUNCTION("""COMPUTED_VALUE"""),0.0)</f>
        <v>0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IFERROR(__xludf.DUMMYFUNCTION("""COMPUTED_VALUE"""),0.0)</f>
        <v>0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1" t="s">
        <v>3</v>
      </c>
      <c r="B118">
        <f>IFERROR(__xludf.DUMMYFUNCTION("""COMPUTED_VALUE"""),0.0)</f>
        <v>0</v>
      </c>
      <c r="C118">
        <f>IFERROR(__xludf.DUMMYFUNCTION("""COMPUTED_VALUE"""),0.0)</f>
        <v>0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IFERROR(__xludf.DUMMYFUNCTION("""COMPUTED_VALUE"""),0.0)</f>
        <v>0</v>
      </c>
      <c r="I118">
        <f>IFERROR(__xludf.DUMMYFUNCTION("""COMPUTED_VALUE"""),0.0)</f>
        <v>0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2" t="str">
        <f>IFERROR(__xludf.DUMMYFUNCTION("IMPORTRANGE(""17CLUEFflDBSa8dyH5vsXfHme4RV8IhzD-mxe9_c9I5k"",""Round 13!W1"")"),"Question: 1")</f>
        <v>Question: 1</v>
      </c>
      <c r="B119" s="3" t="s">
        <v>31</v>
      </c>
    </row>
    <row r="120">
      <c r="A120" s="2"/>
    </row>
    <row r="121">
      <c r="A121" s="1" t="s">
        <v>46</v>
      </c>
      <c r="B121" t="str">
        <f>IFERROR(__xludf.DUMMYFUNCTION("{IMPORTRANGE(""1Knt8XDGFY_MP2OzeadT1pDENTLOdk9Ab_Rd9IdW0kzc"",""Round 13!C1:H3""),IMPORTRANGE(""1Knt8XDGFY_MP2OzeadT1pDENTLOdk9Ab_Rd9IdW0kzc"",""Round 13!M1:R3"")}"),"Team A")</f>
        <v>Team A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IFERROR(__xludf.DUMMYFUNCTION("""COMPUTED_VALUE"""),"Team B")</f>
        <v>Team B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2" t="str">
        <f>IFERROR(__xludf.DUMMYFUNCTION("CONCAT(""A BP: "",IMPORTRANGE(""1Knt8XDGFY_MP2OzeadT1pDENTLOdk9Ab_Rd9IdW0kzc"",""Round 13!I32""))"),"A BP: 0")</f>
        <v>A BP: 0</v>
      </c>
      <c r="B122" t="str">
        <f>IFERROR(__xludf.DUMMYFUNCTION("""COMPUTED_VALUE"""),"Score: 0")</f>
        <v>Score: 0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0")</f>
        <v>Score: 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2" t="str">
        <f>IFERROR(__xludf.DUMMYFUNCTION("CONCAT(""B BP: "",IMPORTRANGE(""1Knt8XDGFY_MP2OzeadT1pDENTLOdk9Ab_Rd9IdW0kzc"",""Round 13!S32""))"),"B BP: 0")</f>
        <v>B BP: 0</v>
      </c>
      <c r="B123" t="str">
        <f>IFERROR(__xludf.DUMMYFUNCTION("""COMPUTED_VALUE"""),"Player 1")</f>
        <v>Player 1</v>
      </c>
      <c r="C123" t="str">
        <f>IFERROR(__xludf.DUMMYFUNCTION("""COMPUTED_VALUE"""),"Player 2")</f>
        <v>Player 2</v>
      </c>
      <c r="D123" t="str">
        <f>IFERROR(__xludf.DUMMYFUNCTION("""COMPUTED_VALUE"""),"Player 3")</f>
        <v>Player 3</v>
      </c>
      <c r="E123" t="str">
        <f>IFERROR(__xludf.DUMMYFUNCTION("""COMPUTED_VALUE"""),"Player 4")</f>
        <v>Player 4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IFERROR(__xludf.DUMMYFUNCTION("""COMPUTED_VALUE"""),"Player 1")</f>
        <v>Player 1</v>
      </c>
      <c r="I123" t="str">
        <f>IFERROR(__xludf.DUMMYFUNCTION("""COMPUTED_VALUE"""),"Player 2")</f>
        <v>Player 2</v>
      </c>
      <c r="J123" t="str">
        <f>IFERROR(__xludf.DUMMYFUNCTION("""COMPUTED_VALUE"""),"Player 3")</f>
        <v>Player 3</v>
      </c>
      <c r="K123" t="str">
        <f>IFERROR(__xludf.DUMMYFUNCTION("""COMPUTED_VALUE"""),"Player 4")</f>
        <v>Player 4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1" t="s">
        <v>2</v>
      </c>
      <c r="B124">
        <f>IFERROR(__xludf.DUMMYFUNCTION("{IMPORTRANGE(""1Knt8XDGFY_MP2OzeadT1pDENTLOdk9Ab_Rd9IdW0kzc"",""Round 13!C32:H36""),IMPORTRANGE(""1Knt8XDGFY_MP2OzeadT1pDENTLOdk9Ab_Rd9IdW0kzc"",""Round 13!M32:R36"")}"),20.0)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1">
        <v>15.0</v>
      </c>
      <c r="B125">
        <f>IFERROR(__xludf.DUMMYFUNCTION("""COMPUTED_VALUE"""),0.0)</f>
        <v>0</v>
      </c>
      <c r="C125">
        <f>IFERROR(__xludf.DUMMYFUNCTION("""COMPUTED_VALUE"""),0.0)</f>
        <v>0</v>
      </c>
      <c r="D125">
        <f>IFERROR(__xludf.DUMMYFUNCTION("""COMPUTED_VALUE"""),0.0)</f>
        <v>0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1">
        <v>10.0</v>
      </c>
      <c r="B126">
        <f>IFERROR(__xludf.DUMMYFUNCTION("""COMPUTED_VALUE"""),0.0)</f>
        <v>0</v>
      </c>
      <c r="C126">
        <f>IFERROR(__xludf.DUMMYFUNCTION("""COMPUTED_VALUE"""),0.0)</f>
        <v>0</v>
      </c>
      <c r="D126">
        <f>IFERROR(__xludf.DUMMYFUNCTION("""COMPUTED_VALUE"""),0.0)</f>
        <v>0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IFERROR(__xludf.DUMMYFUNCTION("""COMPUTED_VALUE"""),0.0)</f>
        <v>0</v>
      </c>
      <c r="I126">
        <f>IFERROR(__xludf.DUMMYFUNCTION("""COMPUTED_VALUE"""),0.0)</f>
        <v>0</v>
      </c>
      <c r="J126">
        <f>IFERROR(__xludf.DUMMYFUNCTION("""COMPUTED_VALUE"""),0.0)</f>
        <v>0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1">
        <v>-5.0</v>
      </c>
      <c r="B127">
        <f>IFERROR(__xludf.DUMMYFUNCTION("""COMPUTED_VALUE"""),0.0)</f>
        <v>0</v>
      </c>
      <c r="C127">
        <f>IFERROR(__xludf.DUMMYFUNCTION("""COMPUTED_VALUE"""),0.0)</f>
        <v>0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IFERROR(__xludf.DUMMYFUNCTION("""COMPUTED_VALUE"""),0.0)</f>
        <v>0</v>
      </c>
      <c r="I127">
        <f>IFERROR(__xludf.DUMMYFUNCTION("""COMPUTED_VALUE"""),0.0)</f>
        <v>0</v>
      </c>
      <c r="J127">
        <f>IFERROR(__xludf.DUMMYFUNCTION("""COMPUTED_VALUE"""),0.0)</f>
        <v>0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1" t="s">
        <v>3</v>
      </c>
      <c r="B128">
        <f>IFERROR(__xludf.DUMMYFUNCTION("""COMPUTED_VALUE"""),0.0)</f>
        <v>0</v>
      </c>
      <c r="C128">
        <f>IFERROR(__xludf.DUMMYFUNCTION("""COMPUTED_VALUE"""),0.0)</f>
        <v>0</v>
      </c>
      <c r="D128">
        <f>IFERROR(__xludf.DUMMYFUNCTION("""COMPUTED_VALUE"""),0.0)</f>
        <v>0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IFERROR(__xludf.DUMMYFUNCTION("""COMPUTED_VALUE"""),0.0)</f>
        <v>0</v>
      </c>
      <c r="I128">
        <f>IFERROR(__xludf.DUMMYFUNCTION("""COMPUTED_VALUE"""),0.0)</f>
        <v>0</v>
      </c>
      <c r="J128">
        <f>IFERROR(__xludf.DUMMYFUNCTION("""COMPUTED_VALUE"""),0.0)</f>
        <v>0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2" t="str">
        <f>IFERROR(__xludf.DUMMYFUNCTION("IMPORTRANGE(""1Knt8XDGFY_MP2OzeadT1pDENTLOdk9Ab_Rd9IdW0kzc"",""Round 13!W1"")"),"Question: 1")</f>
        <v>Question: 1</v>
      </c>
      <c r="B129" s="3" t="s">
        <v>33</v>
      </c>
    </row>
    <row r="130">
      <c r="A130" s="2"/>
    </row>
    <row r="131">
      <c r="A131" s="1" t="s">
        <v>47</v>
      </c>
      <c r="B131" t="str">
        <f>IFERROR(__xludf.DUMMYFUNCTION("{IMPORTRANGE(""16i4gsLDaJasgGgtJt27HweoboYNaal3qpX3MtxIR2f0"",""Round 13!C1:H3""),IMPORTRANGE(""16i4gsLDaJasgGgtJt27HweoboYNaal3qpX3MtxIR2f0"",""Round 13!M1:R3"")}"),"Team A")</f>
        <v>Team A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IFERROR(__xludf.DUMMYFUNCTION("""COMPUTED_VALUE"""),"Team B")</f>
        <v>Team B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2" t="str">
        <f>IFERROR(__xludf.DUMMYFUNCTION("CONCAT(""A BP: "",IMPORTRANGE(""16i4gsLDaJasgGgtJt27HweoboYNaal3qpX3MtxIR2f0"",""Round 13!I32""))"),"A BP: 0")</f>
        <v>A BP: 0</v>
      </c>
      <c r="B132" t="str">
        <f>IFERROR(__xludf.DUMMYFUNCTION("""COMPUTED_VALUE"""),"Score: 0")</f>
        <v>Score: 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0")</f>
        <v>Score: 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2" t="str">
        <f>IFERROR(__xludf.DUMMYFUNCTION("CONCAT(""B BP: "",IMPORTRANGE(""16i4gsLDaJasgGgtJt27HweoboYNaal3qpX3MtxIR2f0"",""Round 13!S32""))"),"B BP: 0")</f>
        <v>B BP: 0</v>
      </c>
      <c r="B133" t="str">
        <f>IFERROR(__xludf.DUMMYFUNCTION("""COMPUTED_VALUE"""),"Player 1")</f>
        <v>Player 1</v>
      </c>
      <c r="C133" t="str">
        <f>IFERROR(__xludf.DUMMYFUNCTION("""COMPUTED_VALUE"""),"Player 2")</f>
        <v>Player 2</v>
      </c>
      <c r="D133" t="str">
        <f>IFERROR(__xludf.DUMMYFUNCTION("""COMPUTED_VALUE"""),"Player 3")</f>
        <v>Player 3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IFERROR(__xludf.DUMMYFUNCTION("""COMPUTED_VALUE"""),"Player 1")</f>
        <v>Player 1</v>
      </c>
      <c r="I133" t="str">
        <f>IFERROR(__xludf.DUMMYFUNCTION("""COMPUTED_VALUE"""),"Player 2")</f>
        <v>Player 2</v>
      </c>
      <c r="J133" t="str">
        <f>IFERROR(__xludf.DUMMYFUNCTION("""COMPUTED_VALUE"""),"Player 3")</f>
        <v>Player 3</v>
      </c>
      <c r="K133" t="str">
        <f>IFERROR(__xludf.DUMMYFUNCTION("""COMPUTED_VALUE"""),"Player 4")</f>
        <v>Player 4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1" t="s">
        <v>2</v>
      </c>
      <c r="B134">
        <f>IFERROR(__xludf.DUMMYFUNCTION("{IMPORTRANGE(""16i4gsLDaJasgGgtJt27HweoboYNaal3qpX3MtxIR2f0"",""Round 13!C32:H36""),IMPORTRANGE(""16i4gsLDaJasgGgtJt27HweoboYNaal3qpX3MtxIR2f0"",""Round 13!M32:R36"")}"),20.0)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1">
        <v>15.0</v>
      </c>
      <c r="B135">
        <f>IFERROR(__xludf.DUMMYFUNCTION("""COMPUTED_VALUE"""),0.0)</f>
        <v>0</v>
      </c>
      <c r="C135">
        <f>IFERROR(__xludf.DUMMYFUNCTION("""COMPUTED_VALUE"""),0.0)</f>
        <v>0</v>
      </c>
      <c r="D135">
        <f>IFERROR(__xludf.DUMMYFUNCTION("""COMPUTED_VALUE"""),0.0)</f>
        <v>0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IFERROR(__xludf.DUMMYFUNCTION("""COMPUTED_VALUE"""),0.0)</f>
        <v>0</v>
      </c>
      <c r="I135">
        <f>IFERROR(__xludf.DUMMYFUNCTION("""COMPUTED_VALUE"""),0.0)</f>
        <v>0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1">
        <v>10.0</v>
      </c>
      <c r="B136">
        <f>IFERROR(__xludf.DUMMYFUNCTION("""COMPUTED_VALUE"""),0.0)</f>
        <v>0</v>
      </c>
      <c r="C136">
        <f>IFERROR(__xludf.DUMMYFUNCTION("""COMPUTED_VALUE"""),0.0)</f>
        <v>0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IFERROR(__xludf.DUMMYFUNCTION("""COMPUTED_VALUE"""),0.0)</f>
        <v>0</v>
      </c>
      <c r="I136">
        <f>IFERROR(__xludf.DUMMYFUNCTION("""COMPUTED_VALUE"""),0.0)</f>
        <v>0</v>
      </c>
      <c r="J136">
        <f>IFERROR(__xludf.DUMMYFUNCTION("""COMPUTED_VALUE"""),0.0)</f>
        <v>0</v>
      </c>
      <c r="K136">
        <f>IFERROR(__xludf.DUMMYFUNCTION("""COMPUTED_VALUE"""),0.0)</f>
        <v>0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1">
        <v>-5.0</v>
      </c>
      <c r="B137">
        <f>IFERROR(__xludf.DUMMYFUNCTION("""COMPUTED_VALUE"""),0.0)</f>
        <v>0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IFERROR(__xludf.DUMMYFUNCTION("""COMPUTED_VALUE"""),0.0)</f>
        <v>0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1" t="s">
        <v>3</v>
      </c>
      <c r="B138">
        <f>IFERROR(__xludf.DUMMYFUNCTION("""COMPUTED_VALUE"""),0.0)</f>
        <v>0</v>
      </c>
      <c r="C138">
        <f>IFERROR(__xludf.DUMMYFUNCTION("""COMPUTED_VALUE"""),0.0)</f>
        <v>0</v>
      </c>
      <c r="D138">
        <f>IFERROR(__xludf.DUMMYFUNCTION("""COMPUTED_VALUE"""),0.0)</f>
        <v>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IFERROR(__xludf.DUMMYFUNCTION("""COMPUTED_VALUE"""),0.0)</f>
        <v>0</v>
      </c>
      <c r="I138">
        <f>IFERROR(__xludf.DUMMYFUNCTION("""COMPUTED_VALUE"""),0.0)</f>
        <v>0</v>
      </c>
      <c r="J138">
        <f>IFERROR(__xludf.DUMMYFUNCTION("""COMPUTED_VALUE"""),0.0)</f>
        <v>0</v>
      </c>
      <c r="K138">
        <f>IFERROR(__xludf.DUMMYFUNCTION("""COMPUTED_VALUE"""),0.0)</f>
        <v>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2" t="str">
        <f>IFERROR(__xludf.DUMMYFUNCTION("IMPORTRANGE(""16i4gsLDaJasgGgtJt27HweoboYNaal3qpX3MtxIR2f0"",""Round 13!W1"")"),"Question: 1")</f>
        <v>Question: 1</v>
      </c>
      <c r="B139" s="3" t="s">
        <v>35</v>
      </c>
    </row>
    <row r="140">
      <c r="A140" s="2"/>
    </row>
    <row r="141">
      <c r="A141" s="1" t="s">
        <v>48</v>
      </c>
      <c r="B141" t="str">
        <f>IFERROR(__xludf.DUMMYFUNCTION("{IMPORTRANGE(""1KRyI2c190uhOTF270Hsdzh1rgG565QIaE9TymteaGNY"",""Round 13!C1:H3""),IMPORTRANGE(""1KRyI2c190uhOTF270Hsdzh1rgG565QIaE9TymteaGNY"",""Round 13!M1:R3"")}"),"Team A")</f>
        <v>Team A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IFERROR(__xludf.DUMMYFUNCTION("""COMPUTED_VALUE"""),"Team B")</f>
        <v>Team B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2" t="str">
        <f>IFERROR(__xludf.DUMMYFUNCTION("CONCAT(""A BP: "",IMPORTRANGE(""1KRyI2c190uhOTF270Hsdzh1rgG565QIaE9TymteaGNY"",""Round 13!I32""))"),"A BP: 0")</f>
        <v>A BP: 0</v>
      </c>
      <c r="B142" t="str">
        <f>IFERROR(__xludf.DUMMYFUNCTION("""COMPUTED_VALUE"""),"Score: 0")</f>
        <v>Score: 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0")</f>
        <v>Score: 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2" t="str">
        <f>IFERROR(__xludf.DUMMYFUNCTION("CONCAT(""B BP: "",IMPORTRANGE(""1KRyI2c190uhOTF270Hsdzh1rgG565QIaE9TymteaGNY"",""Round 13!S32""))"),"B BP: 0")</f>
        <v>B BP: 0</v>
      </c>
      <c r="B143" t="str">
        <f>IFERROR(__xludf.DUMMYFUNCTION("""COMPUTED_VALUE"""),"Player 1")</f>
        <v>Player 1</v>
      </c>
      <c r="C143" t="str">
        <f>IFERROR(__xludf.DUMMYFUNCTION("""COMPUTED_VALUE"""),"Player 2")</f>
        <v>Player 2</v>
      </c>
      <c r="D143" t="str">
        <f>IFERROR(__xludf.DUMMYFUNCTION("""COMPUTED_VALUE"""),"Player 3")</f>
        <v>Player 3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IFERROR(__xludf.DUMMYFUNCTION("""COMPUTED_VALUE"""),"Player 1")</f>
        <v>Player 1</v>
      </c>
      <c r="I143" t="str">
        <f>IFERROR(__xludf.DUMMYFUNCTION("""COMPUTED_VALUE"""),"Player 2")</f>
        <v>Player 2</v>
      </c>
      <c r="J143" t="str">
        <f>IFERROR(__xludf.DUMMYFUNCTION("""COMPUTED_VALUE"""),"Player 3")</f>
        <v>Player 3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1" t="s">
        <v>2</v>
      </c>
      <c r="B144">
        <f>IFERROR(__xludf.DUMMYFUNCTION("{IMPORTRANGE(""1KRyI2c190uhOTF270Hsdzh1rgG565QIaE9TymteaGNY"",""Round 13!C32:H36""),IMPORTRANGE(""1KRyI2c190uhOTF270Hsdzh1rgG565QIaE9TymteaGNY"",""Round 13!M32:R36"")}"),20.0)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1">
        <v>15.0</v>
      </c>
      <c r="B145">
        <f>IFERROR(__xludf.DUMMYFUNCTION("""COMPUTED_VALUE"""),0.0)</f>
        <v>0</v>
      </c>
      <c r="C145">
        <f>IFERROR(__xludf.DUMMYFUNCTION("""COMPUTED_VALUE"""),0.0)</f>
        <v>0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1">
        <v>10.0</v>
      </c>
      <c r="B146">
        <f>IFERROR(__xludf.DUMMYFUNCTION("""COMPUTED_VALUE"""),0.0)</f>
        <v>0</v>
      </c>
      <c r="C146">
        <f>IFERROR(__xludf.DUMMYFUNCTION("""COMPUTED_VALUE"""),0.0)</f>
        <v>0</v>
      </c>
      <c r="D146">
        <f>IFERROR(__xludf.DUMMYFUNCTION("""COMPUTED_VALUE"""),0.0)</f>
        <v>0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IFERROR(__xludf.DUMMYFUNCTION("""COMPUTED_VALUE"""),0.0)</f>
        <v>0</v>
      </c>
      <c r="I146">
        <f>IFERROR(__xludf.DUMMYFUNCTION("""COMPUTED_VALUE"""),0.0)</f>
        <v>0</v>
      </c>
      <c r="J146">
        <f>IFERROR(__xludf.DUMMYFUNCTION("""COMPUTED_VALUE"""),0.0)</f>
        <v>0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1">
        <v>-5.0</v>
      </c>
      <c r="B147">
        <f>IFERROR(__xludf.DUMMYFUNCTION("""COMPUTED_VALUE"""),0.0)</f>
        <v>0</v>
      </c>
      <c r="C147">
        <f>IFERROR(__xludf.DUMMYFUNCTION("""COMPUTED_VALUE"""),0.0)</f>
        <v>0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IFERROR(__xludf.DUMMYFUNCTION("""COMPUTED_VALUE"""),0.0)</f>
        <v>0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1" t="s">
        <v>3</v>
      </c>
      <c r="B148">
        <f>IFERROR(__xludf.DUMMYFUNCTION("""COMPUTED_VALUE"""),0.0)</f>
        <v>0</v>
      </c>
      <c r="C148">
        <f>IFERROR(__xludf.DUMMYFUNCTION("""COMPUTED_VALUE"""),0.0)</f>
        <v>0</v>
      </c>
      <c r="D148">
        <f>IFERROR(__xludf.DUMMYFUNCTION("""COMPUTED_VALUE"""),0.0)</f>
        <v>0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IFERROR(__xludf.DUMMYFUNCTION("""COMPUTED_VALUE"""),0.0)</f>
        <v>0</v>
      </c>
      <c r="I148">
        <f>IFERROR(__xludf.DUMMYFUNCTION("""COMPUTED_VALUE"""),0.0)</f>
        <v>0</v>
      </c>
      <c r="J148">
        <f>IFERROR(__xludf.DUMMYFUNCTION("""COMPUTED_VALUE"""),0.0)</f>
        <v>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2" t="str">
        <f>IFERROR(__xludf.DUMMYFUNCTION("IMPORTRANGE(""1KRyI2c190uhOTF270Hsdzh1rgG565QIaE9TymteaGNY"",""Round 13!W1"")"),"Question: 1")</f>
        <v>Question: 1</v>
      </c>
      <c r="B149" s="3" t="s">
        <v>37</v>
      </c>
    </row>
    <row r="150">
      <c r="A150" s="2"/>
    </row>
    <row r="151">
      <c r="A151" s="1" t="s">
        <v>49</v>
      </c>
      <c r="B151" t="str">
        <f>IFERROR(__xludf.DUMMYFUNCTION("{IMPORTRANGE(""1zr0uYCpJ5izByVOUCsr6JXezthGEdLXnwOrjIKGx5XI"",""Round 13!C1:H3""),IMPORTRANGE(""1zr0uYCpJ5izByVOUCsr6JXezthGEdLXnwOrjIKGx5XI"",""Round 13!M1:R3"")}"),"Team A")</f>
        <v>Team A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IFERROR(__xludf.DUMMYFUNCTION("""COMPUTED_VALUE"""),"Team B")</f>
        <v>Team B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2" t="str">
        <f>IFERROR(__xludf.DUMMYFUNCTION("CONCAT(""A BP: "",IMPORTRANGE(""1zr0uYCpJ5izByVOUCsr6JXezthGEdLXnwOrjIKGx5XI"",""Round 13!I32""))"),"A BP: 0")</f>
        <v>A BP: 0</v>
      </c>
      <c r="B152" t="str">
        <f>IFERROR(__xludf.DUMMYFUNCTION("""COMPUTED_VALUE"""),"Score: 0")</f>
        <v>Score: 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0")</f>
        <v>Score: 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2" t="str">
        <f>IFERROR(__xludf.DUMMYFUNCTION("CONCAT(""B BP: "",IMPORTRANGE(""1zr0uYCpJ5izByVOUCsr6JXezthGEdLXnwOrjIKGx5XI"",""Round 13!S32""))"),"B BP: 0")</f>
        <v>B BP: 0</v>
      </c>
      <c r="B153" t="str">
        <f>IFERROR(__xludf.DUMMYFUNCTION("""COMPUTED_VALUE"""),"Player 1")</f>
        <v>Player 1</v>
      </c>
      <c r="C153" t="str">
        <f>IFERROR(__xludf.DUMMYFUNCTION("""COMPUTED_VALUE"""),"Player 2")</f>
        <v>Player 2</v>
      </c>
      <c r="D153" t="str">
        <f>IFERROR(__xludf.DUMMYFUNCTION("""COMPUTED_VALUE"""),"Player 3")</f>
        <v>Player 3</v>
      </c>
      <c r="E153" t="str">
        <f>IFERROR(__xludf.DUMMYFUNCTION("""COMPUTED_VALUE"""),"Player 4")</f>
        <v>Player 4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IFERROR(__xludf.DUMMYFUNCTION("""COMPUTED_VALUE"""),"Player 1")</f>
        <v>Player 1</v>
      </c>
      <c r="I153" t="str">
        <f>IFERROR(__xludf.DUMMYFUNCTION("""COMPUTED_VALUE"""),"Player 2")</f>
        <v>Player 2</v>
      </c>
      <c r="J153" t="str">
        <f>IFERROR(__xludf.DUMMYFUNCTION("""COMPUTED_VALUE"""),"Player 3")</f>
        <v>Player 3</v>
      </c>
      <c r="K153" t="str">
        <f>IFERROR(__xludf.DUMMYFUNCTION("""COMPUTED_VALUE"""),"Player 4")</f>
        <v>Player 4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1" t="s">
        <v>2</v>
      </c>
      <c r="B154">
        <f>IFERROR(__xludf.DUMMYFUNCTION("{IMPORTRANGE(""1zr0uYCpJ5izByVOUCsr6JXezthGEdLXnwOrjIKGx5XI"",""Round 13!C32:H36""),IMPORTRANGE(""1zr0uYCpJ5izByVOUCsr6JXezthGEdLXnwOrjIKGx5XI"",""Round 13!M32:R36"")}"),20.0)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1">
        <v>15.0</v>
      </c>
      <c r="B155">
        <f>IFERROR(__xludf.DUMMYFUNCTION("""COMPUTED_VALUE"""),0.0)</f>
        <v>0</v>
      </c>
      <c r="C155">
        <f>IFERROR(__xludf.DUMMYFUNCTION("""COMPUTED_VALUE"""),0.0)</f>
        <v>0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IFERROR(__xludf.DUMMYFUNCTION("""COMPUTED_VALUE"""),0.0)</f>
        <v>0</v>
      </c>
      <c r="I155">
        <f>IFERROR(__xludf.DUMMYFUNCTION("""COMPUTED_VALUE"""),0.0)</f>
        <v>0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1">
        <v>10.0</v>
      </c>
      <c r="B156">
        <f>IFERROR(__xludf.DUMMYFUNCTION("""COMPUTED_VALUE"""),0.0)</f>
        <v>0</v>
      </c>
      <c r="C156">
        <f>IFERROR(__xludf.DUMMYFUNCTION("""COMPUTED_VALUE"""),0.0)</f>
        <v>0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IFERROR(__xludf.DUMMYFUNCTION("""COMPUTED_VALUE"""),0.0)</f>
        <v>0</v>
      </c>
      <c r="I156">
        <f>IFERROR(__xludf.DUMMYFUNCTION("""COMPUTED_VALUE"""),0.0)</f>
        <v>0</v>
      </c>
      <c r="J156">
        <f>IFERROR(__xludf.DUMMYFUNCTION("""COMPUTED_VALUE"""),0.0)</f>
        <v>0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1">
        <v>-5.0</v>
      </c>
      <c r="B157">
        <f>IFERROR(__xludf.DUMMYFUNCTION("""COMPUTED_VALUE"""),0.0)</f>
        <v>0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IFERROR(__xludf.DUMMYFUNCTION("""COMPUTED_VALUE"""),0.0)</f>
        <v>0</v>
      </c>
      <c r="J157">
        <f>IFERROR(__xludf.DUMMYFUNCTION("""COMPUTED_VALUE"""),0.0)</f>
        <v>0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1" t="s">
        <v>3</v>
      </c>
      <c r="B158">
        <f>IFERROR(__xludf.DUMMYFUNCTION("""COMPUTED_VALUE"""),0.0)</f>
        <v>0</v>
      </c>
      <c r="C158">
        <f>IFERROR(__xludf.DUMMYFUNCTION("""COMPUTED_VALUE"""),0.0)</f>
        <v>0</v>
      </c>
      <c r="D158">
        <f>IFERROR(__xludf.DUMMYFUNCTION("""COMPUTED_VALUE"""),0.0)</f>
        <v>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IFERROR(__xludf.DUMMYFUNCTION("""COMPUTED_VALUE"""),0.0)</f>
        <v>0</v>
      </c>
      <c r="I158">
        <f>IFERROR(__xludf.DUMMYFUNCTION("""COMPUTED_VALUE"""),0.0)</f>
        <v>0</v>
      </c>
      <c r="J158">
        <f>IFERROR(__xludf.DUMMYFUNCTION("""COMPUTED_VALUE"""),0.0)</f>
        <v>0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2" t="str">
        <f>IFERROR(__xludf.DUMMYFUNCTION("IMPORTRANGE(""1zr0uYCpJ5izByVOUCsr6JXezthGEdLXnwOrjIKGx5XI"",""Round 13!W1"")"),"Question: 1")</f>
        <v>Question: 1</v>
      </c>
      <c r="B159" s="3" t="s">
        <v>39</v>
      </c>
    </row>
    <row r="160">
      <c r="A160" s="2"/>
    </row>
    <row r="161">
      <c r="A161" s="1" t="s">
        <v>50</v>
      </c>
      <c r="B161" t="str">
        <f>IFERROR(__xludf.DUMMYFUNCTION("{IMPORTRANGE(""1TVrjNI5RE1VozIr906BhaTKMFP0VPx8aUGpyt_loukE"",""Round 13!C1:H3""),IMPORTRANGE(""1TVrjNI5RE1VozIr906BhaTKMFP0VPx8aUGpyt_loukE"",""Round 13!M1:R3"")}"),"Team A")</f>
        <v>Team A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IFERROR(__xludf.DUMMYFUNCTION("""COMPUTED_VALUE"""),"Team B")</f>
        <v>Team B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2" t="str">
        <f>IFERROR(__xludf.DUMMYFUNCTION("CONCAT(""A BP: "",IMPORTRANGE(""1TVrjNI5RE1VozIr906BhaTKMFP0VPx8aUGpyt_loukE"",""Round 13!I32""))"),"A BP: 0")</f>
        <v>A BP: 0</v>
      </c>
      <c r="B162" t="str">
        <f>IFERROR(__xludf.DUMMYFUNCTION("""COMPUTED_VALUE"""),"Score: 0")</f>
        <v>Score: 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0")</f>
        <v>Score: 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2" t="str">
        <f>IFERROR(__xludf.DUMMYFUNCTION("CONCAT(""B BP: "",IMPORTRANGE(""1TVrjNI5RE1VozIr906BhaTKMFP0VPx8aUGpyt_loukE"",""Round 13!S32""))"),"B BP: 0")</f>
        <v>B BP: 0</v>
      </c>
      <c r="B163" t="str">
        <f>IFERROR(__xludf.DUMMYFUNCTION("""COMPUTED_VALUE"""),"Player 1")</f>
        <v>Player 1</v>
      </c>
      <c r="C163" t="str">
        <f>IFERROR(__xludf.DUMMYFUNCTION("""COMPUTED_VALUE"""),"Player 2")</f>
        <v>Player 2</v>
      </c>
      <c r="D163" t="str">
        <f>IFERROR(__xludf.DUMMYFUNCTION("""COMPUTED_VALUE"""),"Player 3")</f>
        <v>Player 3</v>
      </c>
      <c r="E163" t="str">
        <f>IFERROR(__xludf.DUMMYFUNCTION("""COMPUTED_VALUE"""),"Player 4")</f>
        <v>Player 4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IFERROR(__xludf.DUMMYFUNCTION("""COMPUTED_VALUE"""),"Player 1")</f>
        <v>Player 1</v>
      </c>
      <c r="I163" t="str">
        <f>IFERROR(__xludf.DUMMYFUNCTION("""COMPUTED_VALUE"""),"Player 2")</f>
        <v>Player 2</v>
      </c>
      <c r="J163" t="str">
        <f>IFERROR(__xludf.DUMMYFUNCTION("""COMPUTED_VALUE"""),"Player 3")</f>
        <v>Player 3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1" t="s">
        <v>2</v>
      </c>
      <c r="B164">
        <f>IFERROR(__xludf.DUMMYFUNCTION("{IMPORTRANGE(""1TVrjNI5RE1VozIr906BhaTKMFP0VPx8aUGpyt_loukE"",""Round 13!C32:H36""),IMPORTRANGE(""1TVrjNI5RE1VozIr906BhaTKMFP0VPx8aUGpyt_loukE"",""Round 13!M32:R36"")}"),20.0)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1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1">
        <v>10.0</v>
      </c>
      <c r="B166">
        <f>IFERROR(__xludf.DUMMYFUNCTION("""COMPUTED_VALUE"""),0.0)</f>
        <v>0</v>
      </c>
      <c r="C166">
        <f>IFERROR(__xludf.DUMMYFUNCTION("""COMPUTED_VALUE"""),0.0)</f>
        <v>0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IFERROR(__xludf.DUMMYFUNCTION("""COMPUTED_VALUE"""),0.0)</f>
        <v>0</v>
      </c>
      <c r="I166">
        <f>IFERROR(__xludf.DUMMYFUNCTION("""COMPUTED_VALUE"""),0.0)</f>
        <v>0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1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IFERROR(__xludf.DUMMYFUNCTION("""COMPUTED_VALUE"""),0.0)</f>
        <v>0</v>
      </c>
      <c r="I167">
        <f>IFERROR(__xludf.DUMMYFUNCTION("""COMPUTED_VALUE"""),0.0)</f>
        <v>0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1" t="s">
        <v>3</v>
      </c>
      <c r="B168">
        <f>IFERROR(__xludf.DUMMYFUNCTION("""COMPUTED_VALUE"""),0.0)</f>
        <v>0</v>
      </c>
      <c r="C168">
        <f>IFERROR(__xludf.DUMMYFUNCTION("""COMPUTED_VALUE"""),0.0)</f>
        <v>0</v>
      </c>
      <c r="D168">
        <f>IFERROR(__xludf.DUMMYFUNCTION("""COMPUTED_VALUE"""),0.0)</f>
        <v>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IFERROR(__xludf.DUMMYFUNCTION("""COMPUTED_VALUE"""),0.0)</f>
        <v>0</v>
      </c>
      <c r="I168">
        <f>IFERROR(__xludf.DUMMYFUNCTION("""COMPUTED_VALUE"""),0.0)</f>
        <v>0</v>
      </c>
      <c r="J168">
        <f>IFERROR(__xludf.DUMMYFUNCTION("""COMPUTED_VALUE"""),0.0)</f>
        <v>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2" t="str">
        <f>IFERROR(__xludf.DUMMYFUNCTION("IMPORTRANGE(""1TVrjNI5RE1VozIr906BhaTKMFP0VPx8aUGpyt_loukE"",""Round 13!W1"")"),"Question: 1")</f>
        <v>Question: 1</v>
      </c>
      <c r="B169" s="3" t="s">
        <v>41</v>
      </c>
    </row>
    <row r="170">
      <c r="A170" s="2"/>
    </row>
    <row r="171">
      <c r="A171" s="1" t="s">
        <v>42</v>
      </c>
      <c r="B171" t="str">
        <f>IFERROR(__xludf.DUMMYFUNCTION("{IMPORTRANGE(""1xRz0po-ejgp-QRvMkY44z3u2CePgTccasdyrrVALbmE"",""Round 13!C1:H3""),IMPORTRANGE(""1xRz0po-ejgp-QRvMkY44z3u2CePgTccasdyrrVALbmE"",""Round 13!M1:R3"")}"),"Team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2" t="str">
        <f>IFERROR(__xludf.DUMMYFUNCTION("CONCAT(""A BP: "",IMPORTRANGE(""1xRz0po-ejgp-QRvMkY44z3u2CePgTccasdyrrVALbmE"",""Round 13!I32""))"),"A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2" t="str">
        <f>IFERROR(__xludf.DUMMYFUNCTION("CONCAT(""B BP: "",IMPORTRANGE(""1xRz0po-ejgp-QRvMkY44z3u2CePgTccasdyrrVALbmE"",""Round 13!S32""))"),"B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1" t="s">
        <v>2</v>
      </c>
      <c r="B174">
        <f>IFERROR(__xludf.DUMMYFUNCTION("{IMPORTRANGE(""1xRz0po-ejgp-QRvMkY44z3u2CePgTccasdyrrVALbmE"",""Round 13!C32:H36""),IMPORTRANGE(""1xRz0po-ejgp-QRvMkY44z3u2CePgTccasdyrrVALbmE"",""Round 13!M32:R36"")}"),20.0)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1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1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1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1" t="s">
        <v>3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2" t="str">
        <f>IFERROR(__xludf.DUMMYFUNCTION("IMPORTRANGE(""1xRz0po-ejgp-QRvMkY44z3u2CePgTccasdyrrVALbmE"",""Round 13!W1"")"),"Question: 1")</f>
        <v>Question: 1</v>
      </c>
      <c r="B179" s="3" t="s">
        <v>43</v>
      </c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/>
    </row>
    <row r="2">
      <c r="A2" s="2"/>
    </row>
    <row r="3">
      <c r="A3" s="2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2"/>
    </row>
    <row r="10">
      <c r="A10" s="1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/>
    </row>
    <row r="2">
      <c r="A2" s="2"/>
    </row>
    <row r="3">
      <c r="A3" s="2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2"/>
    </row>
    <row r="10">
      <c r="A10" s="1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/>
    </row>
    <row r="2">
      <c r="A2" s="2"/>
    </row>
    <row r="3">
      <c r="A3" s="2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2"/>
    </row>
    <row r="10">
      <c r="A10" s="1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/>
    </row>
    <row r="2">
      <c r="A2" s="2"/>
    </row>
    <row r="3">
      <c r="A3" s="2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2"/>
    </row>
    <row r="10">
      <c r="A10" s="1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/>
    </row>
    <row r="2">
      <c r="A2" s="2"/>
    </row>
    <row r="3">
      <c r="A3" s="2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2"/>
    </row>
    <row r="10">
      <c r="A10" s="1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 t="s">
        <v>0</v>
      </c>
      <c r="B1" t="str">
        <f>IFERROR(__xludf.DUMMYFUNCTION("{IMPORTRANGE(""1JXwZ4AjXctyKvWy9qFKCX518NRYJYhSX9Jii0HPBCUs"",""Round 2!C1:H3""),IMPORTRANGE(""1JXwZ4AjXctyKvWy9qFKCX518NRYJYhSX9Jii0HPBCUs"",""Round 2!M1:R3"")}"),"Team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2" t="str">
        <f>IFERROR(__xludf.DUMMYFUNCTION("CONCAT(""A BP: "",IMPORTRANGE(""1JXwZ4AjXctyKvWy9qFKCX518NRYJYhSX9Jii0HPBCUs"",""Round 2!I32""))"),"A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2" t="str">
        <f>IFERROR(__xludf.DUMMYFUNCTION("CONCAT(""B BP: "",IMPORTRANGE(""1JXwZ4AjXctyKvWy9qFKCX518NRYJYhSX9Jii0HPBCUs"",""Round 2!S32""))"),"B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1" t="s">
        <v>2</v>
      </c>
      <c r="B4">
        <f>IFERROR(__xludf.DUMMYFUNCTION("{IMPORTRANGE(""1JXwZ4AjXctyKvWy9qFKCX518NRYJYhSX9Jii0HPBCUs"",""Round 2!C32:H36""),IMPORTRANGE(""1JXwZ4AjXctyKvWy9qFKCX518NRYJYhSX9Jii0HPBCUs"",""Round 2!M32:R36"")}"),20.0)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1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1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1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1" t="s">
        <v>3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2" t="str">
        <f>IFERROR(__xludf.DUMMYFUNCTION("IMPORTRANGE(""1JXwZ4AjXctyKvWy9qFKCX518NRYJYhSX9Jii0HPBCUs"",""Round 2!W1"")"),"Question: 1")</f>
        <v>Question: 1</v>
      </c>
      <c r="B9" s="3" t="s">
        <v>4</v>
      </c>
    </row>
    <row r="10">
      <c r="A10" s="1"/>
    </row>
    <row r="11">
      <c r="A11" s="1" t="s">
        <v>5</v>
      </c>
      <c r="B11" t="str">
        <f>IFERROR(__xludf.DUMMYFUNCTION("{IMPORTRANGE(""1GBDUn_ZojNLX5OJCVBEhvJbdm0c55Z7lPcE4L6WH89o"",""Round 2!C1:H3""),IMPORTRANGE(""1GBDUn_ZojNLX5OJCVBEhvJbdm0c55Z7lPcE4L6WH89o"",""Round 2!M1:R3"")}"),"Team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2" t="str">
        <f>IFERROR(__xludf.DUMMYFUNCTION("CONCAT(""A BP: "",IMPORTRANGE(""1GBDUn_ZojNLX5OJCVBEhvJbdm0c55Z7lPcE4L6WH89o"",""Round 2!I32""))"),"A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2" t="str">
        <f>IFERROR(__xludf.DUMMYFUNCTION("CONCAT(""B BP: "",IMPORTRANGE(""1GBDUn_ZojNLX5OJCVBEhvJbdm0c55Z7lPcE4L6WH89o"",""Round 2!S32""))"),"B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1" t="s">
        <v>2</v>
      </c>
      <c r="B14">
        <f>IFERROR(__xludf.DUMMYFUNCTION("{IMPORTRANGE(""1GBDUn_ZojNLX5OJCVBEhvJbdm0c55Z7lPcE4L6WH89o"",""Round 2!C32:H36""),IMPORTRANGE(""1GBDUn_ZojNLX5OJCVBEhvJbdm0c55Z7lPcE4L6WH89o"",""Round 2!M32:R36"")}"),20.0)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1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1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1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1" t="s">
        <v>3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2" t="str">
        <f>IFERROR(__xludf.DUMMYFUNCTION("IMPORTRANGE(""1GBDUn_ZojNLX5OJCVBEhvJbdm0c55Z7lPcE4L6WH89o"",""Round 2!W1"")"),"Question: 1")</f>
        <v>Question: 1</v>
      </c>
      <c r="B19" s="3" t="s">
        <v>6</v>
      </c>
    </row>
    <row r="20">
      <c r="A20" s="2"/>
    </row>
    <row r="21">
      <c r="A21" s="1" t="s">
        <v>7</v>
      </c>
      <c r="B21" t="str">
        <f>IFERROR(__xludf.DUMMYFUNCTION("{IMPORTRANGE(""19Dum1qlL_dEwf1AEniLf02Eg9XaNXi1GMkI5M4_Ei6w"",""Round 2!C1:H3""),IMPORTRANGE(""19Dum1qlL_dEwf1AEniLf02Eg9XaNXi1GMkI5M4_Ei6w"",""Round 2!M1:R3"")}"),"Team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2" t="str">
        <f>IFERROR(__xludf.DUMMYFUNCTION("CONCAT(""A BP: "",IMPORTRANGE(""19Dum1qlL_dEwf1AEniLf02Eg9XaNXi1GMkI5M4_Ei6w"",""Round 2!I32""))"),"A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2" t="str">
        <f>IFERROR(__xludf.DUMMYFUNCTION("CONCAT(""B BP: "",IMPORTRANGE(""19Dum1qlL_dEwf1AEniLf02Eg9XaNXi1GMkI5M4_Ei6w"",""Round 2!S32""))"),"B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1" t="s">
        <v>2</v>
      </c>
      <c r="B24">
        <f>IFERROR(__xludf.DUMMYFUNCTION("{IMPORTRANGE(""19Dum1qlL_dEwf1AEniLf02Eg9XaNXi1GMkI5M4_Ei6w"",""Round 2!C32:H36""),IMPORTRANGE(""19Dum1qlL_dEwf1AEniLf02Eg9XaNXi1GMkI5M4_Ei6w"",""Round 2!M32:R36"")}"),20.0)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1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1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1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1" t="s">
        <v>3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2" t="str">
        <f>IFERROR(__xludf.DUMMYFUNCTION("IMPORTRANGE(""19Dum1qlL_dEwf1AEniLf02Eg9XaNXi1GMkI5M4_Ei6w"",""Round 2!W1"")"),"Question: 1")</f>
        <v>Question: 1</v>
      </c>
      <c r="B29" s="3" t="s">
        <v>8</v>
      </c>
    </row>
    <row r="30">
      <c r="A30" s="2"/>
    </row>
    <row r="31">
      <c r="A31" s="1" t="s">
        <v>9</v>
      </c>
      <c r="B31" t="str">
        <f>IFERROR(__xludf.DUMMYFUNCTION("{IMPORTRANGE(""18KjuM_F6goZYnozVb7folIb5Hw_mfKQrNdVWKGx6j4s"",""Round 2!C1:H3""),IMPORTRANGE(""18KjuM_F6goZYnozVb7folIb5Hw_mfKQrNdVWKGx6j4s"",""Round 2!M1:R3"")}"),"Black Mountain A (JV)")</f>
        <v>Black Mountain A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IFERROR(__xludf.DUMMYFUNCTION("""COMPUTED_VALUE"""),"Oak Valley B (JV)")</f>
        <v>Oak Valley B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2" t="str">
        <f>IFERROR(__xludf.DUMMYFUNCTION("CONCAT(""A BP: "",IMPORTRANGE(""18KjuM_F6goZYnozVb7folIb5Hw_mfKQrNdVWKGx6j4s"",""Round 2!I32""))"),"A BP: 140")</f>
        <v>A BP: 140</v>
      </c>
      <c r="B32" t="str">
        <f>IFERROR(__xludf.DUMMYFUNCTION("""COMPUTED_VALUE"""),"Score: 210")</f>
        <v>Score: 210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260")</f>
        <v>Score: 260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2" t="str">
        <f>IFERROR(__xludf.DUMMYFUNCTION("CONCAT(""B BP: "",IMPORTRANGE(""18KjuM_F6goZYnozVb7folIb5Hw_mfKQrNdVWKGx6j4s"",""Round 2!S32""))"),"B BP: 170")</f>
        <v>B BP: 170</v>
      </c>
      <c r="B33" t="str">
        <f>IFERROR(__xludf.DUMMYFUNCTION("""COMPUTED_VALUE"""),"Adarsh Venkateswaran (8)")</f>
        <v>Adarsh Venkateswaran (8)</v>
      </c>
      <c r="C33" t="str">
        <f>IFERROR(__xludf.DUMMYFUNCTION("""COMPUTED_VALUE"""),"Anvit Watwani (7)")</f>
        <v>Anvit Watwani (7)</v>
      </c>
      <c r="D33" t="str">
        <f>IFERROR(__xludf.DUMMYFUNCTION("""COMPUTED_VALUE"""),"Tanvi Bhide (7)")</f>
        <v>Tanvi Bhide (7)</v>
      </c>
      <c r="E33" t="str">
        <f>IFERROR(__xludf.DUMMYFUNCTION("""COMPUTED_VALUE"""),"Edwin Chang (8)")</f>
        <v>Edwin Chang (8)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IFERROR(__xludf.DUMMYFUNCTION("""COMPUTED_VALUE"""),"Rohan Gaikwad (8)")</f>
        <v>Rohan Gaikwad (8)</v>
      </c>
      <c r="I33" t="str">
        <f>IFERROR(__xludf.DUMMYFUNCTION("""COMPUTED_VALUE"""),"Amina Aslam-Mir (7)")</f>
        <v>Amina Aslam-Mir (7)</v>
      </c>
      <c r="J33" t="str">
        <f>IFERROR(__xludf.DUMMYFUNCTION("""COMPUTED_VALUE"""),"John Bruvold (8)")</f>
        <v>John Bruvold (8)</v>
      </c>
      <c r="K33" t="str">
        <f>IFERROR(__xludf.DUMMYFUNCTION("""COMPUTED_VALUE"""),"Ethan Huang (7)")</f>
        <v>Ethan Huang (7)</v>
      </c>
      <c r="L33" t="str">
        <f>IFERROR(__xludf.DUMMYFUNCTION("""COMPUTED_VALUE"""),"Aditi Bandaru (7)")</f>
        <v>Aditi Bandaru (7)</v>
      </c>
      <c r="M33" t="str">
        <f>IFERROR(__xludf.DUMMYFUNCTION("""COMPUTED_VALUE"""),"Player 6")</f>
        <v>Player 6</v>
      </c>
    </row>
    <row r="34">
      <c r="A34" s="1" t="s">
        <v>2</v>
      </c>
      <c r="B34">
        <f>IFERROR(__xludf.DUMMYFUNCTION("{IMPORTRANGE(""18KjuM_F6goZYnozVb7folIb5Hw_mfKQrNdVWKGx6j4s"",""Round 2!C32:H36""),IMPORTRANGE(""18KjuM_F6goZYnozVb7folIb5Hw_mfKQrNdVWKGx6j4s"",""Round 2!M32:R36"")}"),20.0)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IFERROR(__xludf.DUMMYFUNCTION("""COMPUTED_VALUE"""),10.0)</f>
        <v>10</v>
      </c>
      <c r="L34">
        <f>IFERROR(__xludf.DUMMYFUNCTION("""COMPUTED_VALUE"""),10.0)</f>
        <v>10</v>
      </c>
      <c r="M34" t="str">
        <f>IFERROR(__xludf.DUMMYFUNCTION("""COMPUTED_VALUE"""),"")</f>
        <v/>
      </c>
    </row>
    <row r="35">
      <c r="A35" s="1">
        <v>15.0</v>
      </c>
      <c r="B35">
        <f>IFERROR(__xludf.DUMMYFUNCTION("""COMPUTED_VALUE"""),1.0)</f>
        <v>1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IFERROR(__xludf.DUMMYFUNCTION("""COMPUTED_VALUE"""),1.0)</f>
        <v>1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IFERROR(__xludf.DUMMYFUNCTION("""COMPUTED_VALUE"""),0.0)</f>
        <v>0</v>
      </c>
      <c r="J35">
        <f>IFERROR(__xludf.DUMMYFUNCTION("""COMPUTED_VALUE"""),1.0)</f>
        <v>1</v>
      </c>
      <c r="K35">
        <f>IFERROR(__xludf.DUMMYFUNCTION("""COMPUTED_VALUE"""),0.0)</f>
        <v>0</v>
      </c>
      <c r="L35">
        <f>IFERROR(__xludf.DUMMYFUNCTION("""COMPUTED_VALUE"""),1.0)</f>
        <v>1</v>
      </c>
      <c r="M35">
        <f>IFERROR(__xludf.DUMMYFUNCTION("""COMPUTED_VALUE"""),0.0)</f>
        <v>0</v>
      </c>
    </row>
    <row r="36">
      <c r="A36" s="1">
        <v>10.0</v>
      </c>
      <c r="B36">
        <f>IFERROR(__xludf.DUMMYFUNCTION("""COMPUTED_VALUE"""),1.0)</f>
        <v>1</v>
      </c>
      <c r="C36">
        <f>IFERROR(__xludf.DUMMYFUNCTION("""COMPUTED_VALUE"""),3.0)</f>
        <v>3</v>
      </c>
      <c r="D36">
        <f>IFERROR(__xludf.DUMMYFUNCTION("""COMPUTED_VALUE"""),1.0)</f>
        <v>1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IFERROR(__xludf.DUMMYFUNCTION("""COMPUTED_VALUE"""),5.0)</f>
        <v>5</v>
      </c>
      <c r="I36">
        <f>IFERROR(__xludf.DUMMYFUNCTION("""COMPUTED_VALUE"""),2.0)</f>
        <v>2</v>
      </c>
      <c r="J36">
        <f>IFERROR(__xludf.DUMMYFUNCTION("""COMPUTED_VALUE"""),0.0)</f>
        <v>0</v>
      </c>
      <c r="K36">
        <f>IFERROR(__xludf.DUMMYFUNCTION("""COMPUTED_VALUE"""),1.0)</f>
        <v>1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1">
        <v>-5.0</v>
      </c>
      <c r="B37">
        <f>IFERROR(__xludf.DUMMYFUNCTION("""COMPUTED_VALUE"""),1.0)</f>
        <v>1</v>
      </c>
      <c r="C37">
        <f>IFERROR(__xludf.DUMMYFUNCTION("""COMPUTED_VALUE"""),0.0)</f>
        <v>0</v>
      </c>
      <c r="D37">
        <f>IFERROR(__xludf.DUMMYFUNCTION("""COMPUTED_VALUE"""),1.0)</f>
        <v>1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IFERROR(__xludf.DUMMYFUNCTION("""COMPUTED_VALUE"""),2.0)</f>
        <v>2</v>
      </c>
      <c r="I37">
        <f>IFERROR(__xludf.DUMMYFUNCTION("""COMPUTED_VALUE"""),2.0)</f>
        <v>2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1" t="s">
        <v>3</v>
      </c>
      <c r="B38">
        <f>IFERROR(__xludf.DUMMYFUNCTION("""COMPUTED_VALUE"""),20.0)</f>
        <v>20</v>
      </c>
      <c r="C38">
        <f>IFERROR(__xludf.DUMMYFUNCTION("""COMPUTED_VALUE"""),30.0)</f>
        <v>30</v>
      </c>
      <c r="D38">
        <f>IFERROR(__xludf.DUMMYFUNCTION("""COMPUTED_VALUE"""),5.0)</f>
        <v>5</v>
      </c>
      <c r="E38">
        <f>IFERROR(__xludf.DUMMYFUNCTION("""COMPUTED_VALUE"""),15.0)</f>
        <v>15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IFERROR(__xludf.DUMMYFUNCTION("""COMPUTED_VALUE"""),40.0)</f>
        <v>40</v>
      </c>
      <c r="I38">
        <f>IFERROR(__xludf.DUMMYFUNCTION("""COMPUTED_VALUE"""),10.0)</f>
        <v>10</v>
      </c>
      <c r="J38">
        <f>IFERROR(__xludf.DUMMYFUNCTION("""COMPUTED_VALUE"""),15.0)</f>
        <v>15</v>
      </c>
      <c r="K38">
        <f>IFERROR(__xludf.DUMMYFUNCTION("""COMPUTED_VALUE"""),10.0)</f>
        <v>10</v>
      </c>
      <c r="L38">
        <f>IFERROR(__xludf.DUMMYFUNCTION("""COMPUTED_VALUE"""),15.0)</f>
        <v>15</v>
      </c>
      <c r="M38">
        <f>IFERROR(__xludf.DUMMYFUNCTION("""COMPUTED_VALUE"""),0.0)</f>
        <v>0</v>
      </c>
    </row>
    <row r="39">
      <c r="A39" s="2" t="str">
        <f>IFERROR(__xludf.DUMMYFUNCTION("IMPORTRANGE(""18KjuM_F6goZYnozVb7folIb5Hw_mfKQrNdVWKGx6j4s"",""Round 2!W1"")"),"Question: 21")</f>
        <v>Question: 21</v>
      </c>
      <c r="B39" s="3" t="s">
        <v>10</v>
      </c>
    </row>
    <row r="40">
      <c r="A40" s="2"/>
    </row>
    <row r="41">
      <c r="A41" s="1" t="s">
        <v>11</v>
      </c>
      <c r="B41" t="str">
        <f>IFERROR(__xludf.DUMMYFUNCTION("{IMPORTRANGE(""1_YEY20HiFjspjicPICCMlL_lQXsksdB6d3m5vzHwuOI"",""Round 2!C1:H3""),IMPORTRANGE(""1_YEY20HiFjspjicPICCMlL_lQXsksdB6d3m5vzHwuOI"",""Round 2!M1:R3"")}"),"Del Norte (JV)")</f>
        <v>Del Norte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IFERROR(__xludf.DUMMYFUNCTION("""COMPUTED_VALUE"""),"Black Mountain B (JV)")</f>
        <v>Black Mountain B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2" t="str">
        <f>IFERROR(__xludf.DUMMYFUNCTION("CONCAT(""A BP: "",IMPORTRANGE(""1_YEY20HiFjspjicPICCMlL_lQXsksdB6d3m5vzHwuOI"",""Round 2!I32""))"),"A BP: 220")</f>
        <v>A BP: 220</v>
      </c>
      <c r="B42" t="str">
        <f>IFERROR(__xludf.DUMMYFUNCTION("""COMPUTED_VALUE"""),"Score: 375")</f>
        <v>Score: 375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135")</f>
        <v>Score: 135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2" t="str">
        <f>IFERROR(__xludf.DUMMYFUNCTION("CONCAT(""B BP: "",IMPORTRANGE(""1_YEY20HiFjspjicPICCMlL_lQXsksdB6d3m5vzHwuOI"",""Round 2!S32""))"),"B BP: 80")</f>
        <v>B BP: 80</v>
      </c>
      <c r="B43" t="str">
        <f>IFERROR(__xludf.DUMMYFUNCTION("""COMPUTED_VALUE"""),"Kinish Sathish (9)")</f>
        <v>Kinish Sathish (9)</v>
      </c>
      <c r="C43" t="str">
        <f>IFERROR(__xludf.DUMMYFUNCTION("""COMPUTED_VALUE"""),"Kyle Nagasawa (11)")</f>
        <v>Kyle Nagasawa (11)</v>
      </c>
      <c r="D43" t="str">
        <f>IFERROR(__xludf.DUMMYFUNCTION("""COMPUTED_VALUE"""),"Player 3")</f>
        <v>Player 3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IFERROR(__xludf.DUMMYFUNCTION("""COMPUTED_VALUE"""),"Pranay Kulkarni (7)")</f>
        <v>Pranay Kulkarni (7)</v>
      </c>
      <c r="I43" t="str">
        <f>IFERROR(__xludf.DUMMYFUNCTION("""COMPUTED_VALUE"""),"Lauren Yung (8)")</f>
        <v>Lauren Yung (8)</v>
      </c>
      <c r="J43" t="str">
        <f>IFERROR(__xludf.DUMMYFUNCTION("""COMPUTED_VALUE"""),"Raina Chatterjee (7)")</f>
        <v>Raina Chatterjee (7)</v>
      </c>
      <c r="K43" t="str">
        <f>IFERROR(__xludf.DUMMYFUNCTION("""COMPUTED_VALUE"""),"Anay Sabhnani (7)")</f>
        <v>Anay Sabhnani (7)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1" t="s">
        <v>2</v>
      </c>
      <c r="B44">
        <f>IFERROR(__xludf.DUMMYFUNCTION("{IMPORTRANGE(""1_YEY20HiFjspjicPICCMlL_lQXsksdB6d3m5vzHwuOI"",""Round 2!C32:H36""),IMPORTRANGE(""1_YEY20HiFjspjicPICCMlL_lQXsksdB6d3m5vzHwuOI"",""Round 2!M32:R36"")}"),20.0)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1">
        <v>15.0</v>
      </c>
      <c r="B45">
        <f>IFERROR(__xludf.DUMMYFUNCTION("""COMPUTED_VALUE"""),5.0)</f>
        <v>5</v>
      </c>
      <c r="C45">
        <f>IFERROR(__xludf.DUMMYFUNCTION("""COMPUTED_VALUE"""),1.0)</f>
        <v>1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IFERROR(__xludf.DUMMYFUNCTION("""COMPUTED_VALUE"""),0.0)</f>
        <v>0</v>
      </c>
      <c r="I45">
        <f>IFERROR(__xludf.DUMMYFUNCTION("""COMPUTED_VALUE"""),0.0)</f>
        <v>0</v>
      </c>
      <c r="J45">
        <f>IFERROR(__xludf.DUMMYFUNCTION("""COMPUTED_VALUE"""),1.0)</f>
        <v>1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1">
        <v>10.0</v>
      </c>
      <c r="B46">
        <f>IFERROR(__xludf.DUMMYFUNCTION("""COMPUTED_VALUE"""),2.0)</f>
        <v>2</v>
      </c>
      <c r="C46">
        <f>IFERROR(__xludf.DUMMYFUNCTION("""COMPUTED_VALUE"""),5.0)</f>
        <v>5</v>
      </c>
      <c r="D46">
        <f>IFERROR(__xludf.DUMMYFUNCTION("""COMPUTED_VALUE"""),0.0)</f>
        <v>0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IFERROR(__xludf.DUMMYFUNCTION("""COMPUTED_VALUE"""),0.0)</f>
        <v>0</v>
      </c>
      <c r="I46">
        <f>IFERROR(__xludf.DUMMYFUNCTION("""COMPUTED_VALUE"""),2.0)</f>
        <v>2</v>
      </c>
      <c r="J46">
        <f>IFERROR(__xludf.DUMMYFUNCTION("""COMPUTED_VALUE"""),0.0)</f>
        <v>0</v>
      </c>
      <c r="K46">
        <f>IFERROR(__xludf.DUMMYFUNCTION("""COMPUTED_VALUE"""),2.0)</f>
        <v>2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1">
        <v>-5.0</v>
      </c>
      <c r="B47">
        <f>IFERROR(__xludf.DUMMYFUNCTION("""COMPUTED_VALUE"""),0.0)</f>
        <v>0</v>
      </c>
      <c r="C47">
        <f>IFERROR(__xludf.DUMMYFUNCTION("""COMPUTED_VALUE"""),1.0)</f>
        <v>1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1" t="s">
        <v>3</v>
      </c>
      <c r="B48">
        <f>IFERROR(__xludf.DUMMYFUNCTION("""COMPUTED_VALUE"""),95.0)</f>
        <v>95</v>
      </c>
      <c r="C48">
        <f>IFERROR(__xludf.DUMMYFUNCTION("""COMPUTED_VALUE"""),60.0)</f>
        <v>60</v>
      </c>
      <c r="D48">
        <f>IFERROR(__xludf.DUMMYFUNCTION("""COMPUTED_VALUE"""),0.0)</f>
        <v>0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IFERROR(__xludf.DUMMYFUNCTION("""COMPUTED_VALUE"""),0.0)</f>
        <v>0</v>
      </c>
      <c r="I48">
        <f>IFERROR(__xludf.DUMMYFUNCTION("""COMPUTED_VALUE"""),20.0)</f>
        <v>20</v>
      </c>
      <c r="J48">
        <f>IFERROR(__xludf.DUMMYFUNCTION("""COMPUTED_VALUE"""),15.0)</f>
        <v>15</v>
      </c>
      <c r="K48">
        <f>IFERROR(__xludf.DUMMYFUNCTION("""COMPUTED_VALUE"""),20.0)</f>
        <v>20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2" t="str">
        <f>IFERROR(__xludf.DUMMYFUNCTION("IMPORTRANGE(""1_YEY20HiFjspjicPICCMlL_lQXsksdB6d3m5vzHwuOI"",""Round 2!W1"")"),"Question: 21")</f>
        <v>Question: 21</v>
      </c>
      <c r="B49" s="3" t="s">
        <v>13</v>
      </c>
    </row>
    <row r="50">
      <c r="A50" s="2"/>
    </row>
    <row r="51">
      <c r="A51" s="1" t="s">
        <v>14</v>
      </c>
      <c r="B51" t="str">
        <f>IFERROR(__xludf.DUMMYFUNCTION("{IMPORTRANGE(""1SYS5Ef48991ZUgqcGqj51eX2YgqKCzfrEZ_pUY01Lwo"",""Round 2!C1:H3""),IMPORTRANGE(""1SYS5Ef48991ZUgqcGqj51eX2YgqKCzfrEZ_pUY01Lwo"",""Round 2!M1:R3"")}"),"Canyon Crest D (JV)")</f>
        <v>Canyon Crest D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IFERROR(__xludf.DUMMYFUNCTION("""COMPUTED_VALUE"""),"La Serna B (JV)")</f>
        <v>La Serna B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2" t="str">
        <f>IFERROR(__xludf.DUMMYFUNCTION("CONCAT(""A BP: "",IMPORTRANGE(""1SYS5Ef48991ZUgqcGqj51eX2YgqKCzfrEZ_pUY01Lwo"",""Round 2!I32""))"),"A BP: 260")</f>
        <v>A BP: 260</v>
      </c>
      <c r="B52" t="str">
        <f>IFERROR(__xludf.DUMMYFUNCTION("""COMPUTED_VALUE"""),"Score: 420")</f>
        <v>Score: 420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60")</f>
        <v>Score: 60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2" t="str">
        <f>IFERROR(__xludf.DUMMYFUNCTION("CONCAT(""B BP: "",IMPORTRANGE(""1SYS5Ef48991ZUgqcGqj51eX2YgqKCzfrEZ_pUY01Lwo"",""Round 2!S32""))"),"B BP: 40")</f>
        <v>B BP: 40</v>
      </c>
      <c r="B53" t="str">
        <f>IFERROR(__xludf.DUMMYFUNCTION("""COMPUTED_VALUE"""),"Tompson Hsu (12)")</f>
        <v>Tompson Hsu (12)</v>
      </c>
      <c r="C53" t="str">
        <f>IFERROR(__xludf.DUMMYFUNCTION("""COMPUTED_VALUE"""),"Demitrius Hong (12)")</f>
        <v>Demitrius Hong (12)</v>
      </c>
      <c r="D53" t="str">
        <f>IFERROR(__xludf.DUMMYFUNCTION("""COMPUTED_VALUE"""),"Kyle Lu (12)")</f>
        <v>Kyle Lu (12)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IFERROR(__xludf.DUMMYFUNCTION("""COMPUTED_VALUE"""),"Liz Carrasco (12)")</f>
        <v>Liz Carrasco (12)</v>
      </c>
      <c r="I53" t="str">
        <f>IFERROR(__xludf.DUMMYFUNCTION("""COMPUTED_VALUE"""),"Jerred Casillas (12)")</f>
        <v>Jerred Casillas (12)</v>
      </c>
      <c r="J53" t="str">
        <f>IFERROR(__xludf.DUMMYFUNCTION("""COMPUTED_VALUE"""),"Colin Twisselmann (10)")</f>
        <v>Colin Twisselmann (10)</v>
      </c>
      <c r="K53" t="str">
        <f>IFERROR(__xludf.DUMMYFUNCTION("""COMPUTED_VALUE"""),"Player 4")</f>
        <v>Player 4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1" t="s">
        <v>2</v>
      </c>
      <c r="B54">
        <f>IFERROR(__xludf.DUMMYFUNCTION("{IMPORTRANGE(""1SYS5Ef48991ZUgqcGqj51eX2YgqKCzfrEZ_pUY01Lwo"",""Round 2!C32:H36""),IMPORTRANGE(""1SYS5Ef48991ZUgqcGqj51eX2YgqKCzfrEZ_pUY01Lwo"",""Round 2!M32:R36"")}"),20.0)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1">
        <v>15.0</v>
      </c>
      <c r="B55">
        <f>IFERROR(__xludf.DUMMYFUNCTION("""COMPUTED_VALUE"""),2.0)</f>
        <v>2</v>
      </c>
      <c r="C55">
        <f>IFERROR(__xludf.DUMMYFUNCTION("""COMPUTED_VALUE"""),2.0)</f>
        <v>2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IFERROR(__xludf.DUMMYFUNCTION("""COMPUTED_VALUE"""),0.0)</f>
        <v>0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1">
        <v>10.0</v>
      </c>
      <c r="B56">
        <f>IFERROR(__xludf.DUMMYFUNCTION("""COMPUTED_VALUE"""),1.0)</f>
        <v>1</v>
      </c>
      <c r="C56">
        <f>IFERROR(__xludf.DUMMYFUNCTION("""COMPUTED_VALUE"""),8.0)</f>
        <v>8</v>
      </c>
      <c r="D56">
        <f>IFERROR(__xludf.DUMMYFUNCTION("""COMPUTED_VALUE"""),2.0)</f>
        <v>2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IFERROR(__xludf.DUMMYFUNCTION("""COMPUTED_VALUE"""),0.0)</f>
        <v>0</v>
      </c>
      <c r="I56">
        <f>IFERROR(__xludf.DUMMYFUNCTION("""COMPUTED_VALUE"""),0.0)</f>
        <v>0</v>
      </c>
      <c r="J56">
        <f>IFERROR(__xludf.DUMMYFUNCTION("""COMPUTED_VALUE"""),3.0)</f>
        <v>3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1">
        <v>-5.0</v>
      </c>
      <c r="B57">
        <f>IFERROR(__xludf.DUMMYFUNCTION("""COMPUTED_VALUE"""),0.0)</f>
        <v>0</v>
      </c>
      <c r="C57">
        <f>IFERROR(__xludf.DUMMYFUNCTION("""COMPUTED_VALUE"""),1.0)</f>
        <v>1</v>
      </c>
      <c r="D57">
        <f>IFERROR(__xludf.DUMMYFUNCTION("""COMPUTED_VALUE"""),1.0)</f>
        <v>1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IFERROR(__xludf.DUMMYFUNCTION("""COMPUTED_VALUE"""),2.0)</f>
        <v>2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1" t="s">
        <v>3</v>
      </c>
      <c r="B58">
        <f>IFERROR(__xludf.DUMMYFUNCTION("""COMPUTED_VALUE"""),40.0)</f>
        <v>40</v>
      </c>
      <c r="C58">
        <f>IFERROR(__xludf.DUMMYFUNCTION("""COMPUTED_VALUE"""),105.0)</f>
        <v>105</v>
      </c>
      <c r="D58">
        <f>IFERROR(__xludf.DUMMYFUNCTION("""COMPUTED_VALUE"""),15.0)</f>
        <v>15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IFERROR(__xludf.DUMMYFUNCTION("""COMPUTED_VALUE"""),-10.0)</f>
        <v>-10</v>
      </c>
      <c r="I58">
        <f>IFERROR(__xludf.DUMMYFUNCTION("""COMPUTED_VALUE"""),0.0)</f>
        <v>0</v>
      </c>
      <c r="J58">
        <f>IFERROR(__xludf.DUMMYFUNCTION("""COMPUTED_VALUE"""),30.0)</f>
        <v>30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2" t="str">
        <f>IFERROR(__xludf.DUMMYFUNCTION("IMPORTRANGE(""1SYS5Ef48991ZUgqcGqj51eX2YgqKCzfrEZ_pUY01Lwo"",""Round 2!W1"")"),"Question: 21")</f>
        <v>Question: 21</v>
      </c>
      <c r="B59" s="3" t="s">
        <v>16</v>
      </c>
    </row>
    <row r="60">
      <c r="A60" s="2"/>
    </row>
    <row r="61">
      <c r="A61" s="1" t="s">
        <v>17</v>
      </c>
      <c r="B61" t="str">
        <f>IFERROR(__xludf.DUMMYFUNCTION("{IMPORTRANGE(""1UJlRLlhI2Hg_SAQqQOg0JGdwHhiagF7EVAtCX8UOYFc"",""Round 2!C1:H3""),IMPORTRANGE(""1UJlRLlhI2Hg_SAQqQOg0JGdwHhiagF7EVAtCX8UOYFc"",""Round 2!M1:R3"")}"),"Oak Valley A (JV)")</f>
        <v>Oak Valley A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IFERROR(__xludf.DUMMYFUNCTION("""COMPUTED_VALUE"""),"Scripps Ranch B (JV)")</f>
        <v>Scripps Ranch B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2" t="str">
        <f>IFERROR(__xludf.DUMMYFUNCTION("CONCAT(""A BP: "",IMPORTRANGE(""1UJlRLlhI2Hg_SAQqQOg0JGdwHhiagF7EVAtCX8UOYFc"",""Round 2!I32""))"),"A BP: 310")</f>
        <v>A BP: 310</v>
      </c>
      <c r="B62" t="str">
        <f>IFERROR(__xludf.DUMMYFUNCTION("""COMPUTED_VALUE"""),"Score: 485")</f>
        <v>Score: 485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165")</f>
        <v>Score: 165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2" t="str">
        <f>IFERROR(__xludf.DUMMYFUNCTION("CONCAT(""B BP: "",IMPORTRANGE(""1UJlRLlhI2Hg_SAQqQOg0JGdwHhiagF7EVAtCX8UOYFc"",""Round 2!S32""))"),"B BP: 100")</f>
        <v>B BP: 100</v>
      </c>
      <c r="B63" t="str">
        <f>IFERROR(__xludf.DUMMYFUNCTION("""COMPUTED_VALUE"""),"Conner Feng (8)")</f>
        <v>Conner Feng (8)</v>
      </c>
      <c r="C63" t="str">
        <f>IFERROR(__xludf.DUMMYFUNCTION("""COMPUTED_VALUE"""),"Raunak Mondal (7)")</f>
        <v>Raunak Mondal (7)</v>
      </c>
      <c r="D63" t="str">
        <f>IFERROR(__xludf.DUMMYFUNCTION("""COMPUTED_VALUE"""),"Jadon Pandian (7)")</f>
        <v>Jadon Pandian (7)</v>
      </c>
      <c r="E63" t="str">
        <f>IFERROR(__xludf.DUMMYFUNCTION("""COMPUTED_VALUE"""),"Jonas Brown (7)")</f>
        <v>Jonas Brown (7)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IFERROR(__xludf.DUMMYFUNCTION("""COMPUTED_VALUE"""),"Sam Wu (9)")</f>
        <v>Sam Wu (9)</v>
      </c>
      <c r="I63" t="str">
        <f>IFERROR(__xludf.DUMMYFUNCTION("""COMPUTED_VALUE"""),"Lawrence Lo (9)")</f>
        <v>Lawrence Lo (9)</v>
      </c>
      <c r="J63" t="str">
        <f>IFERROR(__xludf.DUMMYFUNCTION("""COMPUTED_VALUE"""),"Tristan Thai (9)")</f>
        <v>Tristan Thai (9)</v>
      </c>
      <c r="K63" t="str">
        <f>IFERROR(__xludf.DUMMYFUNCTION("""COMPUTED_VALUE"""),"Shabdika Gubba (9)")</f>
        <v>Shabdika Gubba (9)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1" t="s">
        <v>2</v>
      </c>
      <c r="B64">
        <f>IFERROR(__xludf.DUMMYFUNCTION("{IMPORTRANGE(""1UJlRLlhI2Hg_SAQqQOg0JGdwHhiagF7EVAtCX8UOYFc"",""Round 2!C32:H36""),IMPORTRANGE(""1UJlRLlhI2Hg_SAQqQOg0JGdwHhiagF7EVAtCX8UOYFc"",""Round 2!M32:R36"")}"),20.0)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1">
        <v>15.0</v>
      </c>
      <c r="B65">
        <f>IFERROR(__xludf.DUMMYFUNCTION("""COMPUTED_VALUE"""),3.0)</f>
        <v>3</v>
      </c>
      <c r="C65">
        <f>IFERROR(__xludf.DUMMYFUNCTION("""COMPUTED_VALUE"""),2.0)</f>
        <v>2</v>
      </c>
      <c r="D65">
        <f>IFERROR(__xludf.DUMMYFUNCTION("""COMPUTED_VALUE"""),0.0)</f>
        <v>0</v>
      </c>
      <c r="E65">
        <f>IFERROR(__xludf.DUMMYFUNCTION("""COMPUTED_VALUE"""),2.0)</f>
        <v>2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IFERROR(__xludf.DUMMYFUNCTION("""COMPUTED_VALUE"""),0.0)</f>
        <v>0</v>
      </c>
      <c r="J65">
        <f>IFERROR(__xludf.DUMMYFUNCTION("""COMPUTED_VALUE"""),1.0)</f>
        <v>1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1">
        <v>10.0</v>
      </c>
      <c r="B66">
        <f>IFERROR(__xludf.DUMMYFUNCTION("""COMPUTED_VALUE"""),2.0)</f>
        <v>2</v>
      </c>
      <c r="C66">
        <f>IFERROR(__xludf.DUMMYFUNCTION("""COMPUTED_VALUE"""),2.0)</f>
        <v>2</v>
      </c>
      <c r="D66">
        <f>IFERROR(__xludf.DUMMYFUNCTION("""COMPUTED_VALUE"""),1.0)</f>
        <v>1</v>
      </c>
      <c r="E66">
        <f>IFERROR(__xludf.DUMMYFUNCTION("""COMPUTED_VALUE"""),2.0)</f>
        <v>2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IFERROR(__xludf.DUMMYFUNCTION("""COMPUTED_VALUE"""),2.0)</f>
        <v>2</v>
      </c>
      <c r="I66">
        <f>IFERROR(__xludf.DUMMYFUNCTION("""COMPUTED_VALUE"""),1.0)</f>
        <v>1</v>
      </c>
      <c r="J66">
        <f>IFERROR(__xludf.DUMMYFUNCTION("""COMPUTED_VALUE"""),1.0)</f>
        <v>1</v>
      </c>
      <c r="K66">
        <f>IFERROR(__xludf.DUMMYFUNCTION("""COMPUTED_VALUE"""),1.0)</f>
        <v>1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1">
        <v>-5.0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IFERROR(__xludf.DUMMYFUNCTION("""COMPUTED_VALUE"""),0.0)</f>
        <v>0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1" t="s">
        <v>3</v>
      </c>
      <c r="B68">
        <f>IFERROR(__xludf.DUMMYFUNCTION("""COMPUTED_VALUE"""),65.0)</f>
        <v>65</v>
      </c>
      <c r="C68">
        <f>IFERROR(__xludf.DUMMYFUNCTION("""COMPUTED_VALUE"""),50.0)</f>
        <v>50</v>
      </c>
      <c r="D68">
        <f>IFERROR(__xludf.DUMMYFUNCTION("""COMPUTED_VALUE"""),10.0)</f>
        <v>10</v>
      </c>
      <c r="E68">
        <f>IFERROR(__xludf.DUMMYFUNCTION("""COMPUTED_VALUE"""),50.0)</f>
        <v>50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IFERROR(__xludf.DUMMYFUNCTION("""COMPUTED_VALUE"""),20.0)</f>
        <v>20</v>
      </c>
      <c r="I68">
        <f>IFERROR(__xludf.DUMMYFUNCTION("""COMPUTED_VALUE"""),10.0)</f>
        <v>10</v>
      </c>
      <c r="J68">
        <f>IFERROR(__xludf.DUMMYFUNCTION("""COMPUTED_VALUE"""),25.0)</f>
        <v>25</v>
      </c>
      <c r="K68">
        <f>IFERROR(__xludf.DUMMYFUNCTION("""COMPUTED_VALUE"""),10.0)</f>
        <v>10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2" t="str">
        <f>IFERROR(__xludf.DUMMYFUNCTION("IMPORTRANGE(""1UJlRLlhI2Hg_SAQqQOg0JGdwHhiagF7EVAtCX8UOYFc"",""Round 2!W1"")"),"Question: 21")</f>
        <v>Question: 21</v>
      </c>
      <c r="B69" s="3" t="s">
        <v>19</v>
      </c>
    </row>
    <row r="70">
      <c r="A70" s="2"/>
    </row>
    <row r="71">
      <c r="A71" s="1" t="s">
        <v>20</v>
      </c>
      <c r="B71" t="str">
        <f>IFERROR(__xludf.DUMMYFUNCTION("{IMPORTRANGE(""1jA96n0qbauznSt6-hkr51AslpxJqfrWgkafVtMV8_xU"",""Round 2!C1:H3""),IMPORTRANGE(""1jA96n0qbauznSt6-hkr51AslpxJqfrWgkafVtMV8_xU"",""Round 2!M1:R3"")}"),"Troy B (JV)")</f>
        <v>Troy B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IFERROR(__xludf.DUMMYFUNCTION("""COMPUTED_VALUE"""),"Rancho Bernardo (JV)")</f>
        <v>Rancho Bernardo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2" t="str">
        <f>IFERROR(__xludf.DUMMYFUNCTION("CONCAT(""A BP: "",IMPORTRANGE(""1jA96n0qbauznSt6-hkr51AslpxJqfrWgkafVtMV8_xU"",""Round 2!I32""))"),"A BP: 60")</f>
        <v>A BP: 60</v>
      </c>
      <c r="B72" t="str">
        <f>IFERROR(__xludf.DUMMYFUNCTION("""COMPUTED_VALUE"""),"Score: 70")</f>
        <v>Score: 70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435")</f>
        <v>Score: 435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2" t="str">
        <f>IFERROR(__xludf.DUMMYFUNCTION("CONCAT(""B BP: "",IMPORTRANGE(""1jA96n0qbauznSt6-hkr51AslpxJqfrWgkafVtMV8_xU"",""Round 2!S32""))"),"B BP: 270")</f>
        <v>B BP: 270</v>
      </c>
      <c r="B73" t="str">
        <f>IFERROR(__xludf.DUMMYFUNCTION("""COMPUTED_VALUE"""),"Ryan Salehi (11)")</f>
        <v>Ryan Salehi (11)</v>
      </c>
      <c r="C73" t="str">
        <f>IFERROR(__xludf.DUMMYFUNCTION("""COMPUTED_VALUE"""),"Juan Manalo (11)")</f>
        <v>Juan Manalo (11)</v>
      </c>
      <c r="D73" t="str">
        <f>IFERROR(__xludf.DUMMYFUNCTION("""COMPUTED_VALUE"""),"Luke Waldo (11)")</f>
        <v>Luke Waldo (11)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IFERROR(__xludf.DUMMYFUNCTION("""COMPUTED_VALUE"""),"YungYi Sun (12)")</f>
        <v>YungYi Sun (12)</v>
      </c>
      <c r="I73" t="str">
        <f>IFERROR(__xludf.DUMMYFUNCTION("""COMPUTED_VALUE"""),"Katheryn Garrett (11)")</f>
        <v>Katheryn Garrett (11)</v>
      </c>
      <c r="J73" t="str">
        <f>IFERROR(__xludf.DUMMYFUNCTION("""COMPUTED_VALUE"""),"Patrick Joyce (11)")</f>
        <v>Patrick Joyce (11)</v>
      </c>
      <c r="K73" t="str">
        <f>IFERROR(__xludf.DUMMYFUNCTION("""COMPUTED_VALUE"""),"Sandy Tran (12)")</f>
        <v>Sandy Tran (12)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1" t="s">
        <v>2</v>
      </c>
      <c r="B74">
        <f>IFERROR(__xludf.DUMMYFUNCTION("{IMPORTRANGE(""1jA96n0qbauznSt6-hkr51AslpxJqfrWgkafVtMV8_xU"",""Round 2!C32:H36""),IMPORTRANGE(""1jA96n0qbauznSt6-hkr51AslpxJqfrWgkafVtMV8_xU"",""Round 2!M32:R36"")}"),20.0)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1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IFERROR(__xludf.DUMMYFUNCTION("""COMPUTED_VALUE"""),1.0)</f>
        <v>1</v>
      </c>
      <c r="J75">
        <f>IFERROR(__xludf.DUMMYFUNCTION("""COMPUTED_VALUE"""),0.0)</f>
        <v>0</v>
      </c>
      <c r="K75">
        <f>IFERROR(__xludf.DUMMYFUNCTION("""COMPUTED_VALUE"""),4.0)</f>
        <v>4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1">
        <v>10.0</v>
      </c>
      <c r="B76">
        <f>IFERROR(__xludf.DUMMYFUNCTION("""COMPUTED_VALUE"""),1.0)</f>
        <v>1</v>
      </c>
      <c r="C76">
        <f>IFERROR(__xludf.DUMMYFUNCTION("""COMPUTED_VALUE"""),2.0)</f>
        <v>2</v>
      </c>
      <c r="D76">
        <f>IFERROR(__xludf.DUMMYFUNCTION("""COMPUTED_VALUE"""),0.0)</f>
        <v>0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IFERROR(__xludf.DUMMYFUNCTION("""COMPUTED_VALUE"""),2.0)</f>
        <v>2</v>
      </c>
      <c r="I76">
        <f>IFERROR(__xludf.DUMMYFUNCTION("""COMPUTED_VALUE"""),0.0)</f>
        <v>0</v>
      </c>
      <c r="J76">
        <f>IFERROR(__xludf.DUMMYFUNCTION("""COMPUTED_VALUE"""),0.0)</f>
        <v>0</v>
      </c>
      <c r="K76">
        <f>IFERROR(__xludf.DUMMYFUNCTION("""COMPUTED_VALUE"""),7.0)</f>
        <v>7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1">
        <v>-5.0</v>
      </c>
      <c r="B77">
        <f>IFERROR(__xludf.DUMMYFUNCTION("""COMPUTED_VALUE"""),1.0)</f>
        <v>1</v>
      </c>
      <c r="C77">
        <f>IFERROR(__xludf.DUMMYFUNCTION("""COMPUTED_VALUE"""),2.0)</f>
        <v>2</v>
      </c>
      <c r="D77">
        <f>IFERROR(__xludf.DUMMYFUNCTION("""COMPUTED_VALUE"""),1.0)</f>
        <v>1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1" t="s">
        <v>3</v>
      </c>
      <c r="B78">
        <f>IFERROR(__xludf.DUMMYFUNCTION("""COMPUTED_VALUE"""),5.0)</f>
        <v>5</v>
      </c>
      <c r="C78">
        <f>IFERROR(__xludf.DUMMYFUNCTION("""COMPUTED_VALUE"""),10.0)</f>
        <v>10</v>
      </c>
      <c r="D78">
        <f>IFERROR(__xludf.DUMMYFUNCTION("""COMPUTED_VALUE"""),-5.0)</f>
        <v>-5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IFERROR(__xludf.DUMMYFUNCTION("""COMPUTED_VALUE"""),20.0)</f>
        <v>20</v>
      </c>
      <c r="I78">
        <f>IFERROR(__xludf.DUMMYFUNCTION("""COMPUTED_VALUE"""),15.0)</f>
        <v>15</v>
      </c>
      <c r="J78">
        <f>IFERROR(__xludf.DUMMYFUNCTION("""COMPUTED_VALUE"""),0.0)</f>
        <v>0</v>
      </c>
      <c r="K78">
        <f>IFERROR(__xludf.DUMMYFUNCTION("""COMPUTED_VALUE"""),130.0)</f>
        <v>130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2" t="str">
        <f>IFERROR(__xludf.DUMMYFUNCTION("IMPORTRANGE(""1jA96n0qbauznSt6-hkr51AslpxJqfrWgkafVtMV8_xU"",""Round 2!W1"")"),"Question: 21")</f>
        <v>Question: 21</v>
      </c>
      <c r="B79" s="3" t="s">
        <v>22</v>
      </c>
    </row>
    <row r="80">
      <c r="A80" s="2"/>
    </row>
    <row r="81">
      <c r="A81" s="1" t="s">
        <v>23</v>
      </c>
      <c r="B81" t="str">
        <f>IFERROR(__xludf.DUMMYFUNCTION("{IMPORTRANGE(""1xw1EOjVhrK1PNJfOYiUsuJNrlpV53SmfJxYsFFolQ3s"",""Round 2!C1:H3""),IMPORTRANGE(""1xw1EOjVhrK1PNJfOYiUsuJNrlpV53SmfJxYsFFolQ3s"",""Round 2!M1:R3"")}"),"Westview C (JV)")</f>
        <v>Westview C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IFERROR(__xludf.DUMMYFUNCTION("""COMPUTED_VALUE"""),"Valley Center (JV)")</f>
        <v>Valley Center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2" t="str">
        <f>IFERROR(__xludf.DUMMYFUNCTION("CONCAT(""A BP: "",IMPORTRANGE(""1xw1EOjVhrK1PNJfOYiUsuJNrlpV53SmfJxYsFFolQ3s"",""Round 2!I32""))"),"A BP: 240")</f>
        <v>A BP: 240</v>
      </c>
      <c r="B82" t="str">
        <f>IFERROR(__xludf.DUMMYFUNCTION("""COMPUTED_VALUE"""),"Score: 375")</f>
        <v>Score: 375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160")</f>
        <v>Score: 160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2" t="str">
        <f>IFERROR(__xludf.DUMMYFUNCTION("CONCAT(""B BP: "",IMPORTRANGE(""1xw1EOjVhrK1PNJfOYiUsuJNrlpV53SmfJxYsFFolQ3s"",""Round 2!S32""))"),"B BP: 100")</f>
        <v>B BP: 100</v>
      </c>
      <c r="B83" t="str">
        <f>IFERROR(__xludf.DUMMYFUNCTION("""COMPUTED_VALUE"""),"Player 1")</f>
        <v>Player 1</v>
      </c>
      <c r="C83" t="str">
        <f>IFERROR(__xludf.DUMMYFUNCTION("""COMPUTED_VALUE"""),"Player 2")</f>
        <v>Player 2</v>
      </c>
      <c r="D83" t="str">
        <f>IFERROR(__xludf.DUMMYFUNCTION("""COMPUTED_VALUE"""),"Rohan Kumar (11)")</f>
        <v>Rohan Kumar (11)</v>
      </c>
      <c r="E83" t="str">
        <f>IFERROR(__xludf.DUMMYFUNCTION("""COMPUTED_VALUE"""),"Aiken Wang (9)")</f>
        <v>Aiken Wang (9)</v>
      </c>
      <c r="F83" t="str">
        <f>IFERROR(__xludf.DUMMYFUNCTION("""COMPUTED_VALUE"""),"Radhika Sreelal (10)")</f>
        <v>Radhika Sreelal (10)</v>
      </c>
      <c r="G83" t="str">
        <f>IFERROR(__xludf.DUMMYFUNCTION("""COMPUTED_VALUE"""),"Player 6")</f>
        <v>Player 6</v>
      </c>
      <c r="H83" t="str">
        <f>IFERROR(__xludf.DUMMYFUNCTION("""COMPUTED_VALUE"""),"Ava Downey (12)")</f>
        <v>Ava Downey (12)</v>
      </c>
      <c r="I83" t="str">
        <f>IFERROR(__xludf.DUMMYFUNCTION("""COMPUTED_VALUE"""),"Mehreen Sing (12)")</f>
        <v>Mehreen Sing (12)</v>
      </c>
      <c r="J83" t="str">
        <f>IFERROR(__xludf.DUMMYFUNCTION("""COMPUTED_VALUE"""),"Aaron Martinez (11)")</f>
        <v>Aaron Martinez (11)</v>
      </c>
      <c r="K83" t="str">
        <f>IFERROR(__xludf.DUMMYFUNCTION("""COMPUTED_VALUE"""),"Leon Thigh (11)")</f>
        <v>Leon Thigh (11)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1" t="s">
        <v>2</v>
      </c>
      <c r="B84">
        <f>IFERROR(__xludf.DUMMYFUNCTION("{IMPORTRANGE(""1xw1EOjVhrK1PNJfOYiUsuJNrlpV53SmfJxYsFFolQ3s"",""Round 2!C32:H36""),IMPORTRANGE(""1xw1EOjVhrK1PNJfOYiUsuJNrlpV53SmfJxYsFFolQ3s"",""Round 2!M32:R36"")}"),20.0)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1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IFERROR(__xludf.DUMMYFUNCTION("""COMPUTED_VALUE"""),0.0)</f>
        <v>0</v>
      </c>
      <c r="E85">
        <f>IFERROR(__xludf.DUMMYFUNCTION("""COMPUTED_VALUE"""),3.0)</f>
        <v>3</v>
      </c>
      <c r="F85">
        <f>IFERROR(__xludf.DUMMYFUNCTION("""COMPUTED_VALUE"""),1.0)</f>
        <v>1</v>
      </c>
      <c r="G85">
        <f>IFERROR(__xludf.DUMMYFUNCTION("""COMPUTED_VALUE"""),0.0)</f>
        <v>0</v>
      </c>
      <c r="H85">
        <f>IFERROR(__xludf.DUMMYFUNCTION("""COMPUTED_VALUE"""),1.0)</f>
        <v>1</v>
      </c>
      <c r="I85">
        <f>IFERROR(__xludf.DUMMYFUNCTION("""COMPUTED_VALUE"""),0.0)</f>
        <v>0</v>
      </c>
      <c r="J85">
        <f>IFERROR(__xludf.DUMMYFUNCTION("""COMPUTED_VALUE"""),1.0)</f>
        <v>1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1">
        <v>10.0</v>
      </c>
      <c r="B86">
        <f>IFERROR(__xludf.DUMMYFUNCTION("""COMPUTED_VALUE"""),0.0)</f>
        <v>0</v>
      </c>
      <c r="C86">
        <f>IFERROR(__xludf.DUMMYFUNCTION("""COMPUTED_VALUE"""),0.0)</f>
        <v>0</v>
      </c>
      <c r="D86">
        <f>IFERROR(__xludf.DUMMYFUNCTION("""COMPUTED_VALUE"""),6.0)</f>
        <v>6</v>
      </c>
      <c r="E86">
        <f>IFERROR(__xludf.DUMMYFUNCTION("""COMPUTED_VALUE"""),2.0)</f>
        <v>2</v>
      </c>
      <c r="F86">
        <f>IFERROR(__xludf.DUMMYFUNCTION("""COMPUTED_VALUE"""),1.0)</f>
        <v>1</v>
      </c>
      <c r="G86">
        <f>IFERROR(__xludf.DUMMYFUNCTION("""COMPUTED_VALUE"""),0.0)</f>
        <v>0</v>
      </c>
      <c r="H86">
        <f>IFERROR(__xludf.DUMMYFUNCTION("""COMPUTED_VALUE"""),0.0)</f>
        <v>0</v>
      </c>
      <c r="I86">
        <f>IFERROR(__xludf.DUMMYFUNCTION("""COMPUTED_VALUE"""),0.0)</f>
        <v>0</v>
      </c>
      <c r="J86">
        <f>IFERROR(__xludf.DUMMYFUNCTION("""COMPUTED_VALUE"""),2.0)</f>
        <v>2</v>
      </c>
      <c r="K86">
        <f>IFERROR(__xludf.DUMMYFUNCTION("""COMPUTED_VALUE"""),1.0)</f>
        <v>1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1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IFERROR(__xludf.DUMMYFUNCTION("""COMPUTED_VALUE"""),2.0)</f>
        <v>2</v>
      </c>
      <c r="E87">
        <f>IFERROR(__xludf.DUMMYFUNCTION("""COMPUTED_VALUE"""),0.0)</f>
        <v>0</v>
      </c>
      <c r="F87">
        <f>IFERROR(__xludf.DUMMYFUNCTION("""COMPUTED_VALUE"""),1.0)</f>
        <v>1</v>
      </c>
      <c r="G87">
        <f>IFERROR(__xludf.DUMMYFUNCTION("""COMPUTED_VALUE"""),0.0)</f>
        <v>0</v>
      </c>
      <c r="H87">
        <f>IFERROR(__xludf.DUMMYFUNCTION("""COMPUTED_VALUE"""),0.0)</f>
        <v>0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1" t="s">
        <v>3</v>
      </c>
      <c r="B88">
        <f>IFERROR(__xludf.DUMMYFUNCTION("""COMPUTED_VALUE"""),0.0)</f>
        <v>0</v>
      </c>
      <c r="C88">
        <f>IFERROR(__xludf.DUMMYFUNCTION("""COMPUTED_VALUE"""),0.0)</f>
        <v>0</v>
      </c>
      <c r="D88">
        <f>IFERROR(__xludf.DUMMYFUNCTION("""COMPUTED_VALUE"""),50.0)</f>
        <v>50</v>
      </c>
      <c r="E88">
        <f>IFERROR(__xludf.DUMMYFUNCTION("""COMPUTED_VALUE"""),65.0)</f>
        <v>65</v>
      </c>
      <c r="F88">
        <f>IFERROR(__xludf.DUMMYFUNCTION("""COMPUTED_VALUE"""),20.0)</f>
        <v>20</v>
      </c>
      <c r="G88">
        <f>IFERROR(__xludf.DUMMYFUNCTION("""COMPUTED_VALUE"""),0.0)</f>
        <v>0</v>
      </c>
      <c r="H88">
        <f>IFERROR(__xludf.DUMMYFUNCTION("""COMPUTED_VALUE"""),15.0)</f>
        <v>15</v>
      </c>
      <c r="I88">
        <f>IFERROR(__xludf.DUMMYFUNCTION("""COMPUTED_VALUE"""),0.0)</f>
        <v>0</v>
      </c>
      <c r="J88">
        <f>IFERROR(__xludf.DUMMYFUNCTION("""COMPUTED_VALUE"""),35.0)</f>
        <v>35</v>
      </c>
      <c r="K88">
        <f>IFERROR(__xludf.DUMMYFUNCTION("""COMPUTED_VALUE"""),10.0)</f>
        <v>10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2" t="str">
        <f>IFERROR(__xludf.DUMMYFUNCTION("IMPORTRANGE(""1xw1EOjVhrK1PNJfOYiUsuJNrlpV53SmfJxYsFFolQ3s"",""Round 2!W1"")"),"Question: 21")</f>
        <v>Question: 21</v>
      </c>
      <c r="B89" s="3" t="s">
        <v>25</v>
      </c>
    </row>
    <row r="90">
      <c r="A90" s="2"/>
    </row>
    <row r="91">
      <c r="A91" s="1" t="s">
        <v>1</v>
      </c>
      <c r="B91" t="str">
        <f>IFERROR(__xludf.DUMMYFUNCTION("{IMPORTRANGE(""15wOrdFuJAb1a4MoX5CG4apiBD2jUJ7mBu58Uk-8Mo7s"",""Round 2!C1:H3""),IMPORTRANGE(""15wOrdFuJAb1a4MoX5CG4apiBD2jUJ7mBu58Uk-8Mo7s"",""Round 2!M1:R3"")}"),"Team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2" t="str">
        <f>IFERROR(__xludf.DUMMYFUNCTION("CONCAT(""A BP: "",IMPORTRANGE(""15wOrdFuJAb1a4MoX5CG4apiBD2jUJ7mBu58Uk-8Mo7s"",""Round 2!I32""))"),"A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2" t="str">
        <f>IFERROR(__xludf.DUMMYFUNCTION("CONCAT(""B BP: "",IMPORTRANGE(""15wOrdFuJAb1a4MoX5CG4apiBD2jUJ7mBu58Uk-8Mo7s"",""Round 2!S32""))"),"B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1" t="s">
        <v>2</v>
      </c>
      <c r="B94">
        <f>IFERROR(__xludf.DUMMYFUNCTION("{IMPORTRANGE(""15wOrdFuJAb1a4MoX5CG4apiBD2jUJ7mBu58Uk-8Mo7s"",""Round 2!C32:H36""),IMPORTRANGE(""15wOrdFuJAb1a4MoX5CG4apiBD2jUJ7mBu58Uk-8Mo7s"",""Round 2!M32:R36"")}"),20.0)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1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1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1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1" t="s">
        <v>3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2" t="str">
        <f>IFERROR(__xludf.DUMMYFUNCTION("IMPORTRANGE(""15wOrdFuJAb1a4MoX5CG4apiBD2jUJ7mBu58Uk-8Mo7s"",""Round 2!W1"")"),"Question: 1")</f>
        <v>Question: 1</v>
      </c>
      <c r="B99" s="3" t="s">
        <v>27</v>
      </c>
    </row>
    <row r="100">
      <c r="A100" s="2"/>
    </row>
    <row r="101">
      <c r="A101" s="1" t="s">
        <v>1</v>
      </c>
      <c r="B101" t="str">
        <f>IFERROR(__xludf.DUMMYFUNCTION("{IMPORTRANGE(""1GfJqS1rsy-VutTmPVnm9E2VdinIG-GnQO5b3bhaiX1s"",""Round 2!C1:H3""),IMPORTRANGE(""1GfJqS1rsy-VutTmPVnm9E2VdinIG-GnQO5b3bhaiX1s"",""Round 2!M1:R3"")}"),"Team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2" t="str">
        <f>IFERROR(__xludf.DUMMYFUNCTION("CONCAT(""A BP: "",IMPORTRANGE(""1GfJqS1rsy-VutTmPVnm9E2VdinIG-GnQO5b3bhaiX1s"",""Round 2!I32""))"),"A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2" t="str">
        <f>IFERROR(__xludf.DUMMYFUNCTION("CONCAT(""B BP: "",IMPORTRANGE(""1GfJqS1rsy-VutTmPVnm9E2VdinIG-GnQO5b3bhaiX1s"",""Round 2!S32""))"),"B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1" t="s">
        <v>2</v>
      </c>
      <c r="B104">
        <f>IFERROR(__xludf.DUMMYFUNCTION("{IMPORTRANGE(""1GfJqS1rsy-VutTmPVnm9E2VdinIG-GnQO5b3bhaiX1s"",""Round 2!C32:H36""),IMPORTRANGE(""1GfJqS1rsy-VutTmPVnm9E2VdinIG-GnQO5b3bhaiX1s"",""Round 2!M32:R36"")}"),20.0)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1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1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1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1" t="s">
        <v>3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2" t="str">
        <f>IFERROR(__xludf.DUMMYFUNCTION("IMPORTRANGE(""1GfJqS1rsy-VutTmPVnm9E2VdinIG-GnQO5b3bhaiX1s"",""Round 2!W1"")"),"Question: 1")</f>
        <v>Question: 1</v>
      </c>
      <c r="B109" s="3" t="s">
        <v>29</v>
      </c>
    </row>
    <row r="110">
      <c r="A110" s="2"/>
    </row>
    <row r="111">
      <c r="A111" s="1" t="s">
        <v>30</v>
      </c>
      <c r="B111" t="str">
        <f>IFERROR(__xludf.DUMMYFUNCTION("{IMPORTRANGE(""17CLUEFflDBSa8dyH5vsXfHme4RV8IhzD-mxe9_c9I5k"",""Round 2!C1:H3""),IMPORTRANGE(""17CLUEFflDBSa8dyH5vsXfHme4RV8IhzD-mxe9_c9I5k"",""Round 2!M1:R3"")}"),"Canyon Crest B (V)")</f>
        <v>Canyon Crest B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IFERROR(__xludf.DUMMYFUNCTION("""COMPUTED_VALUE"""),"Canyon Crest C (V)")</f>
        <v>Canyon Crest C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2" t="str">
        <f>IFERROR(__xludf.DUMMYFUNCTION("CONCAT(""A BP: "",IMPORTRANGE(""17CLUEFflDBSa8dyH5vsXfHme4RV8IhzD-mxe9_c9I5k"",""Round 2!I32""))"),"A BP: 280")</f>
        <v>A BP: 280</v>
      </c>
      <c r="B112" t="str">
        <f>IFERROR(__xludf.DUMMYFUNCTION("""COMPUTED_VALUE"""),"Score: 460")</f>
        <v>Score: 460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35")</f>
        <v>Score: 35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2" t="str">
        <f>IFERROR(__xludf.DUMMYFUNCTION("CONCAT(""B BP: "",IMPORTRANGE(""17CLUEFflDBSa8dyH5vsXfHme4RV8IhzD-mxe9_c9I5k"",""Round 2!S32""))"),"B BP: 10")</f>
        <v>B BP: 10</v>
      </c>
      <c r="B113" t="str">
        <f>IFERROR(__xludf.DUMMYFUNCTION("""COMPUTED_VALUE"""),"Shreyank Kadadi (12)")</f>
        <v>Shreyank Kadadi (12)</v>
      </c>
      <c r="C113" t="str">
        <f>IFERROR(__xludf.DUMMYFUNCTION("""COMPUTED_VALUE"""),"Jonathan Hsieh (12)")</f>
        <v>Jonathan Hsieh (12)</v>
      </c>
      <c r="D113" t="str">
        <f>IFERROR(__xludf.DUMMYFUNCTION("""COMPUTED_VALUE"""),"Kevin Luo (10)")</f>
        <v>Kevin Luo (10)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IFERROR(__xludf.DUMMYFUNCTION("""COMPUTED_VALUE"""),"Paul Mola (11)")</f>
        <v>Paul Mola (11)</v>
      </c>
      <c r="I113" t="str">
        <f>IFERROR(__xludf.DUMMYFUNCTION("""COMPUTED_VALUE"""),"James Wright (11)")</f>
        <v>James Wright (11)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1" t="s">
        <v>2</v>
      </c>
      <c r="B114">
        <f>IFERROR(__xludf.DUMMYFUNCTION("{IMPORTRANGE(""17CLUEFflDBSa8dyH5vsXfHme4RV8IhzD-mxe9_c9I5k"",""Round 2!C32:H36""),IMPORTRANGE(""17CLUEFflDBSa8dyH5vsXfHme4RV8IhzD-mxe9_c9I5k"",""Round 2!M32:R36"")}"),20.0)</f>
        <v>20</v>
      </c>
      <c r="C114">
        <f>IFERROR(__xludf.DUMMYFUNCTION("""COMPUTED_VALUE"""),16.0)</f>
        <v>16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1">
        <v>15.0</v>
      </c>
      <c r="B115">
        <f>IFERROR(__xludf.DUMMYFUNCTION("""COMPUTED_VALUE"""),3.0)</f>
        <v>3</v>
      </c>
      <c r="C115">
        <f>IFERROR(__xludf.DUMMYFUNCTION("""COMPUTED_VALUE"""),1.0)</f>
        <v>1</v>
      </c>
      <c r="D115">
        <f>IFERROR(__xludf.DUMMYFUNCTION("""COMPUTED_VALUE"""),2.0)</f>
        <v>2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IFERROR(__xludf.DUMMYFUNCTION("""COMPUTED_VALUE"""),0.0)</f>
        <v>0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1">
        <v>10.0</v>
      </c>
      <c r="B116">
        <f>IFERROR(__xludf.DUMMYFUNCTION("""COMPUTED_VALUE"""),6.0)</f>
        <v>6</v>
      </c>
      <c r="C116">
        <f>IFERROR(__xludf.DUMMYFUNCTION("""COMPUTED_VALUE"""),2.0)</f>
        <v>2</v>
      </c>
      <c r="D116">
        <f>IFERROR(__xludf.DUMMYFUNCTION("""COMPUTED_VALUE"""),2.0)</f>
        <v>2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IFERROR(__xludf.DUMMYFUNCTION("""COMPUTED_VALUE"""),4.0)</f>
        <v>4</v>
      </c>
      <c r="I116">
        <f>IFERROR(__xludf.DUMMYFUNCTION("""COMPUTED_VALUE"""),0.0)</f>
        <v>0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1">
        <v>-5.0</v>
      </c>
      <c r="B117">
        <f>IFERROR(__xludf.DUMMYFUNCTION("""COMPUTED_VALUE"""),1.0)</f>
        <v>1</v>
      </c>
      <c r="C117">
        <f>IFERROR(__xludf.DUMMYFUNCTION("""COMPUTED_VALUE"""),1.0)</f>
        <v>1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IFERROR(__xludf.DUMMYFUNCTION("""COMPUTED_VALUE"""),3.0)</f>
        <v>3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1" t="s">
        <v>3</v>
      </c>
      <c r="B118">
        <f>IFERROR(__xludf.DUMMYFUNCTION("""COMPUTED_VALUE"""),100.0)</f>
        <v>100</v>
      </c>
      <c r="C118">
        <f>IFERROR(__xludf.DUMMYFUNCTION("""COMPUTED_VALUE"""),30.0)</f>
        <v>30</v>
      </c>
      <c r="D118">
        <f>IFERROR(__xludf.DUMMYFUNCTION("""COMPUTED_VALUE"""),50.0)</f>
        <v>50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IFERROR(__xludf.DUMMYFUNCTION("""COMPUTED_VALUE"""),25.0)</f>
        <v>25</v>
      </c>
      <c r="I118">
        <f>IFERROR(__xludf.DUMMYFUNCTION("""COMPUTED_VALUE"""),0.0)</f>
        <v>0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2" t="str">
        <f>IFERROR(__xludf.DUMMYFUNCTION("IMPORTRANGE(""17CLUEFflDBSa8dyH5vsXfHme4RV8IhzD-mxe9_c9I5k"",""Round 2!W1"")"),"Question: 21")</f>
        <v>Question: 21</v>
      </c>
      <c r="B119" s="3" t="s">
        <v>31</v>
      </c>
    </row>
    <row r="120">
      <c r="A120" s="2"/>
    </row>
    <row r="121">
      <c r="A121" s="1" t="s">
        <v>32</v>
      </c>
      <c r="B121" t="str">
        <f>IFERROR(__xludf.DUMMYFUNCTION("{IMPORTRANGE(""1Knt8XDGFY_MP2OzeadT1pDENTLOdk9Ab_Rd9IdW0kzc"",""Round 2!C1:H3""),IMPORTRANGE(""1Knt8XDGFY_MP2OzeadT1pDENTLOdk9Ab_Rd9IdW0kzc"",""Round 2!M1:R3"")}"),"Arcadia (V)")</f>
        <v>Arcadia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IFERROR(__xludf.DUMMYFUNCTION("""COMPUTED_VALUE"""),"Scripps Ranch A (V)")</f>
        <v>Scripps Ranch A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2" t="str">
        <f>IFERROR(__xludf.DUMMYFUNCTION("CONCAT(""A BP: "",IMPORTRANGE(""1Knt8XDGFY_MP2OzeadT1pDENTLOdk9Ab_Rd9IdW0kzc"",""Round 2!I32""))"),"A BP: 390")</f>
        <v>A BP: 390</v>
      </c>
      <c r="B122" t="str">
        <f>IFERROR(__xludf.DUMMYFUNCTION("""COMPUTED_VALUE"""),"Score: 605")</f>
        <v>Score: 605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30")</f>
        <v>Score: 30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2" t="str">
        <f>IFERROR(__xludf.DUMMYFUNCTION("CONCAT(""B BP: "",IMPORTRANGE(""1Knt8XDGFY_MP2OzeadT1pDENTLOdk9Ab_Rd9IdW0kzc"",""Round 2!S32""))"),"B BP: 20")</f>
        <v>B BP: 20</v>
      </c>
      <c r="B123" t="str">
        <f>IFERROR(__xludf.DUMMYFUNCTION("""COMPUTED_VALUE"""),"Amogh Kulkarni (10)")</f>
        <v>Amogh Kulkarni (10)</v>
      </c>
      <c r="C123" t="str">
        <f>IFERROR(__xludf.DUMMYFUNCTION("""COMPUTED_VALUE"""),"Spencer Cheng (12)")</f>
        <v>Spencer Cheng (12)</v>
      </c>
      <c r="D123" t="str">
        <f>IFERROR(__xludf.DUMMYFUNCTION("""COMPUTED_VALUE"""),"Ryan Sun (10)")</f>
        <v>Ryan Sun (10)</v>
      </c>
      <c r="E123" t="str">
        <f>IFERROR(__xludf.DUMMYFUNCTION("""COMPUTED_VALUE"""),"Sanjith Menon (10)")</f>
        <v>Sanjith Menon (10)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IFERROR(__xludf.DUMMYFUNCTION("""COMPUTED_VALUE"""),"Jack Hoover (12)")</f>
        <v>Jack Hoover (12)</v>
      </c>
      <c r="I123" t="str">
        <f>IFERROR(__xludf.DUMMYFUNCTION("""COMPUTED_VALUE"""),"Jeremy Ngo (12)")</f>
        <v>Jeremy Ngo (12)</v>
      </c>
      <c r="J123" t="str">
        <f>IFERROR(__xludf.DUMMYFUNCTION("""COMPUTED_VALUE"""),"Albert Gu (12)")</f>
        <v>Albert Gu (12)</v>
      </c>
      <c r="K123" t="str">
        <f>IFERROR(__xludf.DUMMYFUNCTION("""COMPUTED_VALUE"""),"Player 4")</f>
        <v>Player 4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1" t="s">
        <v>2</v>
      </c>
      <c r="B124">
        <f>IFERROR(__xludf.DUMMYFUNCTION("{IMPORTRANGE(""1Knt8XDGFY_MP2OzeadT1pDENTLOdk9Ab_Rd9IdW0kzc"",""Round 2!C32:H36""),IMPORTRANGE(""1Knt8XDGFY_MP2OzeadT1pDENTLOdk9Ab_Rd9IdW0kzc"",""Round 2!M32:R36"")}"),20.0)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1">
        <v>15.0</v>
      </c>
      <c r="B125">
        <f>IFERROR(__xludf.DUMMYFUNCTION("""COMPUTED_VALUE"""),5.0)</f>
        <v>5</v>
      </c>
      <c r="C125">
        <f>IFERROR(__xludf.DUMMYFUNCTION("""COMPUTED_VALUE"""),2.0)</f>
        <v>2</v>
      </c>
      <c r="D125">
        <f>IFERROR(__xludf.DUMMYFUNCTION("""COMPUTED_VALUE"""),1.0)</f>
        <v>1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1">
        <v>10.0</v>
      </c>
      <c r="B126">
        <f>IFERROR(__xludf.DUMMYFUNCTION("""COMPUTED_VALUE"""),8.0)</f>
        <v>8</v>
      </c>
      <c r="C126">
        <f>IFERROR(__xludf.DUMMYFUNCTION("""COMPUTED_VALUE"""),1.0)</f>
        <v>1</v>
      </c>
      <c r="D126">
        <f>IFERROR(__xludf.DUMMYFUNCTION("""COMPUTED_VALUE"""),1.0)</f>
        <v>1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IFERROR(__xludf.DUMMYFUNCTION("""COMPUTED_VALUE"""),0.0)</f>
        <v>0</v>
      </c>
      <c r="I126">
        <f>IFERROR(__xludf.DUMMYFUNCTION("""COMPUTED_VALUE"""),1.0)</f>
        <v>1</v>
      </c>
      <c r="J126">
        <f>IFERROR(__xludf.DUMMYFUNCTION("""COMPUTED_VALUE"""),1.0)</f>
        <v>1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1">
        <v>-5.0</v>
      </c>
      <c r="B127">
        <f>IFERROR(__xludf.DUMMYFUNCTION("""COMPUTED_VALUE"""),0.0)</f>
        <v>0</v>
      </c>
      <c r="C127">
        <f>IFERROR(__xludf.DUMMYFUNCTION("""COMPUTED_VALUE"""),1.0)</f>
        <v>1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IFERROR(__xludf.DUMMYFUNCTION("""COMPUTED_VALUE"""),0.0)</f>
        <v>0</v>
      </c>
      <c r="I127">
        <f>IFERROR(__xludf.DUMMYFUNCTION("""COMPUTED_VALUE"""),0.0)</f>
        <v>0</v>
      </c>
      <c r="J127">
        <f>IFERROR(__xludf.DUMMYFUNCTION("""COMPUTED_VALUE"""),2.0)</f>
        <v>2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1" t="s">
        <v>3</v>
      </c>
      <c r="B128">
        <f>IFERROR(__xludf.DUMMYFUNCTION("""COMPUTED_VALUE"""),155.0)</f>
        <v>155</v>
      </c>
      <c r="C128">
        <f>IFERROR(__xludf.DUMMYFUNCTION("""COMPUTED_VALUE"""),35.0)</f>
        <v>35</v>
      </c>
      <c r="D128">
        <f>IFERROR(__xludf.DUMMYFUNCTION("""COMPUTED_VALUE"""),25.0)</f>
        <v>25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IFERROR(__xludf.DUMMYFUNCTION("""COMPUTED_VALUE"""),0.0)</f>
        <v>0</v>
      </c>
      <c r="I128">
        <f>IFERROR(__xludf.DUMMYFUNCTION("""COMPUTED_VALUE"""),10.0)</f>
        <v>10</v>
      </c>
      <c r="J128">
        <f>IFERROR(__xludf.DUMMYFUNCTION("""COMPUTED_VALUE"""),0.0)</f>
        <v>0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2" t="str">
        <f>IFERROR(__xludf.DUMMYFUNCTION("IMPORTRANGE(""1Knt8XDGFY_MP2OzeadT1pDENTLOdk9Ab_Rd9IdW0kzc"",""Round 2!W1"")"),"Question: 21")</f>
        <v>Question: 21</v>
      </c>
      <c r="B129" s="3" t="s">
        <v>33</v>
      </c>
    </row>
    <row r="130">
      <c r="A130" s="2"/>
    </row>
    <row r="131">
      <c r="A131" s="1" t="s">
        <v>34</v>
      </c>
      <c r="B131" t="str">
        <f>IFERROR(__xludf.DUMMYFUNCTION("{IMPORTRANGE(""16i4gsLDaJasgGgtJt27HweoboYNaal3qpX3MtxIR2f0"",""Round 2!C1:H3""),IMPORTRANGE(""16i4gsLDaJasgGgtJt27HweoboYNaal3qpX3MtxIR2f0"",""Round 2!M1:R3"")}"),"Westview A (V)")</f>
        <v>Westview A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IFERROR(__xludf.DUMMYFUNCTION("""COMPUTED_VALUE"""),"La Jolla (V)")</f>
        <v>La Jolla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2" t="str">
        <f>IFERROR(__xludf.DUMMYFUNCTION("CONCAT(""A BP: "",IMPORTRANGE(""16i4gsLDaJasgGgtJt27HweoboYNaal3qpX3MtxIR2f0"",""Round 2!I32""))"),"A BP: 420")</f>
        <v>A BP: 420</v>
      </c>
      <c r="B132" t="str">
        <f>IFERROR(__xludf.DUMMYFUNCTION("""COMPUTED_VALUE"""),"Score: 640")</f>
        <v>Score: 640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55")</f>
        <v>Score: 55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2" t="str">
        <f>IFERROR(__xludf.DUMMYFUNCTION("CONCAT(""B BP: "",IMPORTRANGE(""16i4gsLDaJasgGgtJt27HweoboYNaal3qpX3MtxIR2f0"",""Round 2!S32""))"),"B BP: 40")</f>
        <v>B BP: 40</v>
      </c>
      <c r="B133" t="str">
        <f>IFERROR(__xludf.DUMMYFUNCTION("""COMPUTED_VALUE"""),"Shahar Schwartz (12)")</f>
        <v>Shahar Schwartz (12)</v>
      </c>
      <c r="C133" t="str">
        <f>IFERROR(__xludf.DUMMYFUNCTION("""COMPUTED_VALUE"""),"Junu Song (12)")</f>
        <v>Junu Song (12)</v>
      </c>
      <c r="D133" t="str">
        <f>IFERROR(__xludf.DUMMYFUNCTION("""COMPUTED_VALUE"""),"Daniel Jung (12)")</f>
        <v>Daniel Jung (12)</v>
      </c>
      <c r="E133" t="str">
        <f>IFERROR(__xludf.DUMMYFUNCTION("""COMPUTED_VALUE"""),"Gary Lin (11)")</f>
        <v>Gary Lin (11)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IFERROR(__xludf.DUMMYFUNCTION("""COMPUTED_VALUE"""),"Caleb Cruz (11)")</f>
        <v>Caleb Cruz (11)</v>
      </c>
      <c r="I133" t="str">
        <f>IFERROR(__xludf.DUMMYFUNCTION("""COMPUTED_VALUE"""),"Richard Chao (11)")</f>
        <v>Richard Chao (11)</v>
      </c>
      <c r="J133" t="str">
        <f>IFERROR(__xludf.DUMMYFUNCTION("""COMPUTED_VALUE"""),"Kevin Park (11)")</f>
        <v>Kevin Park (11)</v>
      </c>
      <c r="K133" t="str">
        <f>IFERROR(__xludf.DUMMYFUNCTION("""COMPUTED_VALUE"""),"David Smith (11)")</f>
        <v>David Smith (11)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1" t="s">
        <v>2</v>
      </c>
      <c r="B134">
        <f>IFERROR(__xludf.DUMMYFUNCTION("{IMPORTRANGE(""16i4gsLDaJasgGgtJt27HweoboYNaal3qpX3MtxIR2f0"",""Round 2!C32:H36""),IMPORTRANGE(""16i4gsLDaJasgGgtJt27HweoboYNaal3qpX3MtxIR2f0"",""Round 2!M32:R36"")}"),20.0)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1">
        <v>15.0</v>
      </c>
      <c r="B135">
        <f>IFERROR(__xludf.DUMMYFUNCTION("""COMPUTED_VALUE"""),5.0)</f>
        <v>5</v>
      </c>
      <c r="C135">
        <f>IFERROR(__xludf.DUMMYFUNCTION("""COMPUTED_VALUE"""),1.0)</f>
        <v>1</v>
      </c>
      <c r="D135">
        <f>IFERROR(__xludf.DUMMYFUNCTION("""COMPUTED_VALUE"""),1.0)</f>
        <v>1</v>
      </c>
      <c r="E135">
        <f>IFERROR(__xludf.DUMMYFUNCTION("""COMPUTED_VALUE"""),2.0)</f>
        <v>2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IFERROR(__xludf.DUMMYFUNCTION("""COMPUTED_VALUE"""),0.0)</f>
        <v>0</v>
      </c>
      <c r="I135">
        <f>IFERROR(__xludf.DUMMYFUNCTION("""COMPUTED_VALUE"""),1.0)</f>
        <v>1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1">
        <v>10.0</v>
      </c>
      <c r="B136">
        <f>IFERROR(__xludf.DUMMYFUNCTION("""COMPUTED_VALUE"""),5.0)</f>
        <v>5</v>
      </c>
      <c r="C136">
        <f>IFERROR(__xludf.DUMMYFUNCTION("""COMPUTED_VALUE"""),3.0)</f>
        <v>3</v>
      </c>
      <c r="D136">
        <f>IFERROR(__xludf.DUMMYFUNCTION("""COMPUTED_VALUE"""),0.0)</f>
        <v>0</v>
      </c>
      <c r="E136">
        <f>IFERROR(__xludf.DUMMYFUNCTION("""COMPUTED_VALUE"""),1.0)</f>
        <v>1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IFERROR(__xludf.DUMMYFUNCTION("""COMPUTED_VALUE"""),0.0)</f>
        <v>0</v>
      </c>
      <c r="I136">
        <f>IFERROR(__xludf.DUMMYFUNCTION("""COMPUTED_VALUE"""),0.0)</f>
        <v>0</v>
      </c>
      <c r="J136">
        <f>IFERROR(__xludf.DUMMYFUNCTION("""COMPUTED_VALUE"""),1.0)</f>
        <v>1</v>
      </c>
      <c r="K136">
        <f>IFERROR(__xludf.DUMMYFUNCTION("""COMPUTED_VALUE"""),0.0)</f>
        <v>0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1">
        <v>-5.0</v>
      </c>
      <c r="B137">
        <f>IFERROR(__xludf.DUMMYFUNCTION("""COMPUTED_VALUE"""),1.0)</f>
        <v>1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IFERROR(__xludf.DUMMYFUNCTION("""COMPUTED_VALUE"""),0.0)</f>
        <v>0</v>
      </c>
      <c r="I137">
        <f>IFERROR(__xludf.DUMMYFUNCTION("""COMPUTED_VALUE"""),1.0)</f>
        <v>1</v>
      </c>
      <c r="J137">
        <f>IFERROR(__xludf.DUMMYFUNCTION("""COMPUTED_VALUE"""),1.0)</f>
        <v>1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1" t="s">
        <v>3</v>
      </c>
      <c r="B138">
        <f>IFERROR(__xludf.DUMMYFUNCTION("""COMPUTED_VALUE"""),120.0)</f>
        <v>120</v>
      </c>
      <c r="C138">
        <f>IFERROR(__xludf.DUMMYFUNCTION("""COMPUTED_VALUE"""),45.0)</f>
        <v>45</v>
      </c>
      <c r="D138">
        <f>IFERROR(__xludf.DUMMYFUNCTION("""COMPUTED_VALUE"""),15.0)</f>
        <v>15</v>
      </c>
      <c r="E138">
        <f>IFERROR(__xludf.DUMMYFUNCTION("""COMPUTED_VALUE"""),40.0)</f>
        <v>40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IFERROR(__xludf.DUMMYFUNCTION("""COMPUTED_VALUE"""),0.0)</f>
        <v>0</v>
      </c>
      <c r="I138">
        <f>IFERROR(__xludf.DUMMYFUNCTION("""COMPUTED_VALUE"""),10.0)</f>
        <v>10</v>
      </c>
      <c r="J138">
        <f>IFERROR(__xludf.DUMMYFUNCTION("""COMPUTED_VALUE"""),5.0)</f>
        <v>5</v>
      </c>
      <c r="K138">
        <f>IFERROR(__xludf.DUMMYFUNCTION("""COMPUTED_VALUE"""),0.0)</f>
        <v>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2" t="str">
        <f>IFERROR(__xludf.DUMMYFUNCTION("IMPORTRANGE(""16i4gsLDaJasgGgtJt27HweoboYNaal3qpX3MtxIR2f0"",""Round 2!W1"")"),"Question: 21")</f>
        <v>Question: 21</v>
      </c>
      <c r="B139" s="3" t="s">
        <v>35</v>
      </c>
    </row>
    <row r="140">
      <c r="A140" s="2"/>
    </row>
    <row r="141">
      <c r="A141" s="1" t="s">
        <v>36</v>
      </c>
      <c r="B141" t="str">
        <f>IFERROR(__xludf.DUMMYFUNCTION("{IMPORTRANGE(""1KRyI2c190uhOTF270Hsdzh1rgG565QIaE9TymteaGNY"",""Round 2!C1:H3""),IMPORTRANGE(""1KRyI2c190uhOTF270Hsdzh1rgG565QIaE9TymteaGNY"",""Round 2!M1:R3"")}"),"Canyon Crest A (V)")</f>
        <v>Canyon Crest A (V)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IFERROR(__xludf.DUMMYFUNCTION("""COMPUTED_VALUE"""),"Santa Monica B (V)")</f>
        <v>Santa Monica B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2" t="str">
        <f>IFERROR(__xludf.DUMMYFUNCTION("CONCAT(""A BP: "",IMPORTRANGE(""1KRyI2c190uhOTF270Hsdzh1rgG565QIaE9TymteaGNY"",""Round 2!I32""))"),"A BP: 380")</f>
        <v>A BP: 380</v>
      </c>
      <c r="B142" t="str">
        <f>IFERROR(__xludf.DUMMYFUNCTION("""COMPUTED_VALUE"""),"Score: 600")</f>
        <v>Score: 600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-10")</f>
        <v>Score: -10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2" t="str">
        <f>IFERROR(__xludf.DUMMYFUNCTION("CONCAT(""B BP: "",IMPORTRANGE(""1KRyI2c190uhOTF270Hsdzh1rgG565QIaE9TymteaGNY"",""Round 2!S32""))"),"B BP: 0")</f>
        <v>B BP: 0</v>
      </c>
      <c r="B143" t="str">
        <f>IFERROR(__xludf.DUMMYFUNCTION("""COMPUTED_VALUE"""),"Raymond Song (12)")</f>
        <v>Raymond Song (12)</v>
      </c>
      <c r="C143" t="str">
        <f>IFERROR(__xludf.DUMMYFUNCTION("""COMPUTED_VALUE"""),"Wesley Zhang (12)")</f>
        <v>Wesley Zhang (12)</v>
      </c>
      <c r="D143" t="str">
        <f>IFERROR(__xludf.DUMMYFUNCTION("""COMPUTED_VALUE"""),"Leo Gu (10)")</f>
        <v>Leo Gu (10)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IFERROR(__xludf.DUMMYFUNCTION("""COMPUTED_VALUE"""),"Kethan Raman (10)")</f>
        <v>Kethan Raman (10)</v>
      </c>
      <c r="I143" t="str">
        <f>IFERROR(__xludf.DUMMYFUNCTION("""COMPUTED_VALUE"""),"Ethan Hopkins (10)")</f>
        <v>Ethan Hopkins (10)</v>
      </c>
      <c r="J143" t="str">
        <f>IFERROR(__xludf.DUMMYFUNCTION("""COMPUTED_VALUE"""),"Jacob Cohen (10)")</f>
        <v>Jacob Cohen (10)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1" t="s">
        <v>2</v>
      </c>
      <c r="B144">
        <f>IFERROR(__xludf.DUMMYFUNCTION("{IMPORTRANGE(""1KRyI2c190uhOTF270Hsdzh1rgG565QIaE9TymteaGNY"",""Round 2!C32:H36""),IMPORTRANGE(""1KRyI2c190uhOTF270Hsdzh1rgG565QIaE9TymteaGNY"",""Round 2!M32:R36"")}"),20.0)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1">
        <v>15.0</v>
      </c>
      <c r="B145">
        <f>IFERROR(__xludf.DUMMYFUNCTION("""COMPUTED_VALUE"""),3.0)</f>
        <v>3</v>
      </c>
      <c r="C145">
        <f>IFERROR(__xludf.DUMMYFUNCTION("""COMPUTED_VALUE"""),6.0)</f>
        <v>6</v>
      </c>
      <c r="D145">
        <f>IFERROR(__xludf.DUMMYFUNCTION("""COMPUTED_VALUE"""),1.0)</f>
        <v>1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1">
        <v>10.0</v>
      </c>
      <c r="B146">
        <f>IFERROR(__xludf.DUMMYFUNCTION("""COMPUTED_VALUE"""),4.0)</f>
        <v>4</v>
      </c>
      <c r="C146">
        <f>IFERROR(__xludf.DUMMYFUNCTION("""COMPUTED_VALUE"""),3.0)</f>
        <v>3</v>
      </c>
      <c r="D146">
        <f>IFERROR(__xludf.DUMMYFUNCTION("""COMPUTED_VALUE"""),1.0)</f>
        <v>1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IFERROR(__xludf.DUMMYFUNCTION("""COMPUTED_VALUE"""),0.0)</f>
        <v>0</v>
      </c>
      <c r="I146">
        <f>IFERROR(__xludf.DUMMYFUNCTION("""COMPUTED_VALUE"""),0.0)</f>
        <v>0</v>
      </c>
      <c r="J146">
        <f>IFERROR(__xludf.DUMMYFUNCTION("""COMPUTED_VALUE"""),0.0)</f>
        <v>0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1">
        <v>-5.0</v>
      </c>
      <c r="B147">
        <f>IFERROR(__xludf.DUMMYFUNCTION("""COMPUTED_VALUE"""),1.0)</f>
        <v>1</v>
      </c>
      <c r="C147">
        <f>IFERROR(__xludf.DUMMYFUNCTION("""COMPUTED_VALUE"""),1.0)</f>
        <v>1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IFERROR(__xludf.DUMMYFUNCTION("""COMPUTED_VALUE"""),1.0)</f>
        <v>1</v>
      </c>
      <c r="I147">
        <f>IFERROR(__xludf.DUMMYFUNCTION("""COMPUTED_VALUE"""),0.0)</f>
        <v>0</v>
      </c>
      <c r="J147">
        <f>IFERROR(__xludf.DUMMYFUNCTION("""COMPUTED_VALUE"""),1.0)</f>
        <v>1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1" t="s">
        <v>3</v>
      </c>
      <c r="B148">
        <f>IFERROR(__xludf.DUMMYFUNCTION("""COMPUTED_VALUE"""),80.0)</f>
        <v>80</v>
      </c>
      <c r="C148">
        <f>IFERROR(__xludf.DUMMYFUNCTION("""COMPUTED_VALUE"""),115.0)</f>
        <v>115</v>
      </c>
      <c r="D148">
        <f>IFERROR(__xludf.DUMMYFUNCTION("""COMPUTED_VALUE"""),25.0)</f>
        <v>25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IFERROR(__xludf.DUMMYFUNCTION("""COMPUTED_VALUE"""),-5.0)</f>
        <v>-5</v>
      </c>
      <c r="I148">
        <f>IFERROR(__xludf.DUMMYFUNCTION("""COMPUTED_VALUE"""),0.0)</f>
        <v>0</v>
      </c>
      <c r="J148">
        <f>IFERROR(__xludf.DUMMYFUNCTION("""COMPUTED_VALUE"""),-5.0)</f>
        <v>-5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2" t="str">
        <f>IFERROR(__xludf.DUMMYFUNCTION("IMPORTRANGE(""1KRyI2c190uhOTF270Hsdzh1rgG565QIaE9TymteaGNY"",""Round 2!W1"")"),"Question: 21")</f>
        <v>Question: 21</v>
      </c>
      <c r="B149" s="3" t="s">
        <v>37</v>
      </c>
    </row>
    <row r="150">
      <c r="A150" s="2"/>
    </row>
    <row r="151">
      <c r="A151" s="1" t="s">
        <v>38</v>
      </c>
      <c r="B151" t="str">
        <f>IFERROR(__xludf.DUMMYFUNCTION("{IMPORTRANGE(""1zr0uYCpJ5izByVOUCsr6JXezthGEdLXnwOrjIKGx5XI"",""Round 2!C1:H3""),IMPORTRANGE(""1zr0uYCpJ5izByVOUCsr6JXezthGEdLXnwOrjIKGx5XI"",""Round 2!M1:R3"")}"),"Santa Monica A (V)")</f>
        <v>Santa Monica A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IFERROR(__xludf.DUMMYFUNCTION("""COMPUTED_VALUE"""),"Cathedral Catholic (V)")</f>
        <v>Cathedral Catholic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2" t="str">
        <f>IFERROR(__xludf.DUMMYFUNCTION("CONCAT(""A BP: "",IMPORTRANGE(""1zr0uYCpJ5izByVOUCsr6JXezthGEdLXnwOrjIKGx5XI"",""Round 2!I32""))"),"A BP: 280")</f>
        <v>A BP: 280</v>
      </c>
      <c r="B152" t="str">
        <f>IFERROR(__xludf.DUMMYFUNCTION("""COMPUTED_VALUE"""),"Score: 435")</f>
        <v>Score: 435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85")</f>
        <v>Score: 85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2" t="str">
        <f>IFERROR(__xludf.DUMMYFUNCTION("CONCAT(""B BP: "",IMPORTRANGE(""1zr0uYCpJ5izByVOUCsr6JXezthGEdLXnwOrjIKGx5XI"",""Round 2!S32""))"),"B BP: 50")</f>
        <v>B BP: 50</v>
      </c>
      <c r="B153" t="str">
        <f>IFERROR(__xludf.DUMMYFUNCTION("""COMPUTED_VALUE"""),"Josh Xu (11)")</f>
        <v>Josh Xu (11)</v>
      </c>
      <c r="C153" t="str">
        <f>IFERROR(__xludf.DUMMYFUNCTION("""COMPUTED_VALUE"""),"Player 2")</f>
        <v>Player 2</v>
      </c>
      <c r="D153" t="str">
        <f>IFERROR(__xludf.DUMMYFUNCTION("""COMPUTED_VALUE"""),"Player 3")</f>
        <v>Player 3</v>
      </c>
      <c r="E153" t="str">
        <f>IFERROR(__xludf.DUMMYFUNCTION("""COMPUTED_VALUE"""),"Player 4")</f>
        <v>Player 4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IFERROR(__xludf.DUMMYFUNCTION("""COMPUTED_VALUE"""),"Ryan Shakiba (10)")</f>
        <v>Ryan Shakiba (10)</v>
      </c>
      <c r="I153" t="str">
        <f>IFERROR(__xludf.DUMMYFUNCTION("""COMPUTED_VALUE"""),"Jacob Titcomb (11)")</f>
        <v>Jacob Titcomb (11)</v>
      </c>
      <c r="J153" t="str">
        <f>IFERROR(__xludf.DUMMYFUNCTION("""COMPUTED_VALUE"""),"Mikayla Nang (11)")</f>
        <v>Mikayla Nang (11)</v>
      </c>
      <c r="K153" t="str">
        <f>IFERROR(__xludf.DUMMYFUNCTION("""COMPUTED_VALUE"""),"Sinead Archdeacon (10)")</f>
        <v>Sinead Archdeacon (10)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1" t="s">
        <v>2</v>
      </c>
      <c r="B154">
        <f>IFERROR(__xludf.DUMMYFUNCTION("{IMPORTRANGE(""1zr0uYCpJ5izByVOUCsr6JXezthGEdLXnwOrjIKGx5XI"",""Round 2!C32:H36""),IMPORTRANGE(""1zr0uYCpJ5izByVOUCsr6JXezthGEdLXnwOrjIKGx5XI"",""Round 2!M32:R36"")}"),20.0)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1">
        <v>15.0</v>
      </c>
      <c r="B155">
        <f>IFERROR(__xludf.DUMMYFUNCTION("""COMPUTED_VALUE"""),1.0)</f>
        <v>1</v>
      </c>
      <c r="C155">
        <f>IFERROR(__xludf.DUMMYFUNCTION("""COMPUTED_VALUE"""),0.0)</f>
        <v>0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IFERROR(__xludf.DUMMYFUNCTION("""COMPUTED_VALUE"""),2.0)</f>
        <v>2</v>
      </c>
      <c r="I155">
        <f>IFERROR(__xludf.DUMMYFUNCTION("""COMPUTED_VALUE"""),0.0)</f>
        <v>0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1">
        <v>10.0</v>
      </c>
      <c r="B156">
        <f>IFERROR(__xludf.DUMMYFUNCTION("""COMPUTED_VALUE"""),14.0)</f>
        <v>14</v>
      </c>
      <c r="C156">
        <f>IFERROR(__xludf.DUMMYFUNCTION("""COMPUTED_VALUE"""),0.0)</f>
        <v>0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IFERROR(__xludf.DUMMYFUNCTION("""COMPUTED_VALUE"""),0.0)</f>
        <v>0</v>
      </c>
      <c r="I156">
        <f>IFERROR(__xludf.DUMMYFUNCTION("""COMPUTED_VALUE"""),1.0)</f>
        <v>1</v>
      </c>
      <c r="J156">
        <f>IFERROR(__xludf.DUMMYFUNCTION("""COMPUTED_VALUE"""),0.0)</f>
        <v>0</v>
      </c>
      <c r="K156">
        <f>IFERROR(__xludf.DUMMYFUNCTION("""COMPUTED_VALUE"""),1.0)</f>
        <v>1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1">
        <v>-5.0</v>
      </c>
      <c r="B157">
        <f>IFERROR(__xludf.DUMMYFUNCTION("""COMPUTED_VALUE"""),0.0)</f>
        <v>0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IFERROR(__xludf.DUMMYFUNCTION("""COMPUTED_VALUE"""),2.0)</f>
        <v>2</v>
      </c>
      <c r="I157">
        <f>IFERROR(__xludf.DUMMYFUNCTION("""COMPUTED_VALUE"""),0.0)</f>
        <v>0</v>
      </c>
      <c r="J157">
        <f>IFERROR(__xludf.DUMMYFUNCTION("""COMPUTED_VALUE"""),0.0)</f>
        <v>0</v>
      </c>
      <c r="K157">
        <f>IFERROR(__xludf.DUMMYFUNCTION("""COMPUTED_VALUE"""),1.0)</f>
        <v>1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1" t="s">
        <v>3</v>
      </c>
      <c r="B158">
        <f>IFERROR(__xludf.DUMMYFUNCTION("""COMPUTED_VALUE"""),155.0)</f>
        <v>155</v>
      </c>
      <c r="C158">
        <f>IFERROR(__xludf.DUMMYFUNCTION("""COMPUTED_VALUE"""),0.0)</f>
        <v>0</v>
      </c>
      <c r="D158">
        <f>IFERROR(__xludf.DUMMYFUNCTION("""COMPUTED_VALUE"""),0.0)</f>
        <v>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IFERROR(__xludf.DUMMYFUNCTION("""COMPUTED_VALUE"""),20.0)</f>
        <v>20</v>
      </c>
      <c r="I158">
        <f>IFERROR(__xludf.DUMMYFUNCTION("""COMPUTED_VALUE"""),10.0)</f>
        <v>10</v>
      </c>
      <c r="J158">
        <f>IFERROR(__xludf.DUMMYFUNCTION("""COMPUTED_VALUE"""),0.0)</f>
        <v>0</v>
      </c>
      <c r="K158">
        <f>IFERROR(__xludf.DUMMYFUNCTION("""COMPUTED_VALUE"""),5.0)</f>
        <v>5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2" t="str">
        <f>IFERROR(__xludf.DUMMYFUNCTION("IMPORTRANGE(""1zr0uYCpJ5izByVOUCsr6JXezthGEdLXnwOrjIKGx5XI"",""Round 2!W1"")"),"Question: 21")</f>
        <v>Question: 21</v>
      </c>
      <c r="B159" s="3" t="s">
        <v>39</v>
      </c>
    </row>
    <row r="160">
      <c r="A160" s="2"/>
    </row>
    <row r="161">
      <c r="A161" s="1" t="s">
        <v>40</v>
      </c>
      <c r="B161" t="str">
        <f>IFERROR(__xludf.DUMMYFUNCTION("{IMPORTRANGE(""1TVrjNI5RE1VozIr906BhaTKMFP0VPx8aUGpyt_loukE"",""Round 2!C1:H3""),IMPORTRANGE(""1TVrjNI5RE1VozIr906BhaTKMFP0VPx8aUGpyt_loukE"",""Round 2!M1:R3"")}"),"Troy A (V)")</f>
        <v>Troy A (V)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IFERROR(__xludf.DUMMYFUNCTION("""COMPUTED_VALUE"""),"Westview B (V)")</f>
        <v>Westview B (V)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2" t="str">
        <f>IFERROR(__xludf.DUMMYFUNCTION("CONCAT(""A BP: "",IMPORTRANGE(""1TVrjNI5RE1VozIr906BhaTKMFP0VPx8aUGpyt_loukE"",""Round 2!I32""))"),"A BP: 30")</f>
        <v>A BP: 30</v>
      </c>
      <c r="B162" t="str">
        <f>IFERROR(__xludf.DUMMYFUNCTION("""COMPUTED_VALUE"""),"Score: 65")</f>
        <v>Score: 65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390")</f>
        <v>Score: 390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2" t="str">
        <f>IFERROR(__xludf.DUMMYFUNCTION("CONCAT(""B BP: "",IMPORTRANGE(""1TVrjNI5RE1VozIr906BhaTKMFP0VPx8aUGpyt_loukE"",""Round 2!S32""))"),"B BP: 230")</f>
        <v>B BP: 230</v>
      </c>
      <c r="B163" t="str">
        <f>IFERROR(__xludf.DUMMYFUNCTION("""COMPUTED_VALUE"""),"Luke Park (11)")</f>
        <v>Luke Park (11)</v>
      </c>
      <c r="C163" t="str">
        <f>IFERROR(__xludf.DUMMYFUNCTION("""COMPUTED_VALUE"""),"Tyler Kim (11)")</f>
        <v>Tyler Kim (11)</v>
      </c>
      <c r="D163" t="str">
        <f>IFERROR(__xludf.DUMMYFUNCTION("""COMPUTED_VALUE"""),"Henry Tang (10)")</f>
        <v>Henry Tang (10)</v>
      </c>
      <c r="E163" t="str">
        <f>IFERROR(__xludf.DUMMYFUNCTION("""COMPUTED_VALUE"""),"Daniel Shin (10)")</f>
        <v>Daniel Shin (10)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IFERROR(__xludf.DUMMYFUNCTION("""COMPUTED_VALUE"""),"Nicholas Dai (11)")</f>
        <v>Nicholas Dai (11)</v>
      </c>
      <c r="I163" t="str">
        <f>IFERROR(__xludf.DUMMYFUNCTION("""COMPUTED_VALUE"""),"Pramod Shastry (9)")</f>
        <v>Pramod Shastry (9)</v>
      </c>
      <c r="J163" t="str">
        <f>IFERROR(__xludf.DUMMYFUNCTION("""COMPUTED_VALUE"""),"Richard Lin (9)")</f>
        <v>Richard Lin (9)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1" t="s">
        <v>2</v>
      </c>
      <c r="B164">
        <f>IFERROR(__xludf.DUMMYFUNCTION("{IMPORTRANGE(""1TVrjNI5RE1VozIr906BhaTKMFP0VPx8aUGpyt_loukE"",""Round 2!C32:H36""),IMPORTRANGE(""1TVrjNI5RE1VozIr906BhaTKMFP0VPx8aUGpyt_loukE"",""Round 2!M32:R36"")}"),20.0)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1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IFERROR(__xludf.DUMMYFUNCTION("""COMPUTED_VALUE"""),4.0)</f>
        <v>4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1">
        <v>10.0</v>
      </c>
      <c r="B166">
        <f>IFERROR(__xludf.DUMMYFUNCTION("""COMPUTED_VALUE"""),0.0)</f>
        <v>0</v>
      </c>
      <c r="C166">
        <f>IFERROR(__xludf.DUMMYFUNCTION("""COMPUTED_VALUE"""),0.0)</f>
        <v>0</v>
      </c>
      <c r="D166">
        <f>IFERROR(__xludf.DUMMYFUNCTION("""COMPUTED_VALUE"""),1.0)</f>
        <v>1</v>
      </c>
      <c r="E166">
        <f>IFERROR(__xludf.DUMMYFUNCTION("""COMPUTED_VALUE"""),3.0)</f>
        <v>3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IFERROR(__xludf.DUMMYFUNCTION("""COMPUTED_VALUE"""),4.0)</f>
        <v>4</v>
      </c>
      <c r="I166">
        <f>IFERROR(__xludf.DUMMYFUNCTION("""COMPUTED_VALUE"""),3.0)</f>
        <v>3</v>
      </c>
      <c r="J166">
        <f>IFERROR(__xludf.DUMMYFUNCTION("""COMPUTED_VALUE"""),4.0)</f>
        <v>4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1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IFERROR(__xludf.DUMMYFUNCTION("""COMPUTED_VALUE"""),1.0)</f>
        <v>1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IFERROR(__xludf.DUMMYFUNCTION("""COMPUTED_VALUE"""),1.0)</f>
        <v>1</v>
      </c>
      <c r="I167">
        <f>IFERROR(__xludf.DUMMYFUNCTION("""COMPUTED_VALUE"""),1.0)</f>
        <v>1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1" t="s">
        <v>3</v>
      </c>
      <c r="B168">
        <f>IFERROR(__xludf.DUMMYFUNCTION("""COMPUTED_VALUE"""),0.0)</f>
        <v>0</v>
      </c>
      <c r="C168">
        <f>IFERROR(__xludf.DUMMYFUNCTION("""COMPUTED_VALUE"""),0.0)</f>
        <v>0</v>
      </c>
      <c r="D168">
        <f>IFERROR(__xludf.DUMMYFUNCTION("""COMPUTED_VALUE"""),5.0)</f>
        <v>5</v>
      </c>
      <c r="E168">
        <f>IFERROR(__xludf.DUMMYFUNCTION("""COMPUTED_VALUE"""),30.0)</f>
        <v>30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IFERROR(__xludf.DUMMYFUNCTION("""COMPUTED_VALUE"""),35.0)</f>
        <v>35</v>
      </c>
      <c r="I168">
        <f>IFERROR(__xludf.DUMMYFUNCTION("""COMPUTED_VALUE"""),85.0)</f>
        <v>85</v>
      </c>
      <c r="J168">
        <f>IFERROR(__xludf.DUMMYFUNCTION("""COMPUTED_VALUE"""),40.0)</f>
        <v>40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2" t="str">
        <f>IFERROR(__xludf.DUMMYFUNCTION("IMPORTRANGE(""1TVrjNI5RE1VozIr906BhaTKMFP0VPx8aUGpyt_loukE"",""Round 2!W1"")"),"Question: 21")</f>
        <v>Question: 21</v>
      </c>
      <c r="B169" s="3" t="s">
        <v>41</v>
      </c>
    </row>
    <row r="170">
      <c r="A170" s="2"/>
    </row>
    <row r="171">
      <c r="A171" s="1" t="s">
        <v>42</v>
      </c>
      <c r="B171" t="str">
        <f>IFERROR(__xludf.DUMMYFUNCTION("{IMPORTRANGE(""1xRz0po-ejgp-QRvMkY44z3u2CePgTccasdyrrVALbmE"",""Round 2!C1:H3""),IMPORTRANGE(""1xRz0po-ejgp-QRvMkY44z3u2CePgTccasdyrrVALbmE"",""Round 2!M1:R3"")}"),"Team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2" t="str">
        <f>IFERROR(__xludf.DUMMYFUNCTION("CONCAT(""A BP: "",IMPORTRANGE(""1xRz0po-ejgp-QRvMkY44z3u2CePgTccasdyrrVALbmE"",""Round 2!I32""))"),"A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2" t="str">
        <f>IFERROR(__xludf.DUMMYFUNCTION("CONCAT(""B BP: "",IMPORTRANGE(""1xRz0po-ejgp-QRvMkY44z3u2CePgTccasdyrrVALbmE"",""Round 2!S32""))"),"B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1" t="s">
        <v>2</v>
      </c>
      <c r="B174">
        <f>IFERROR(__xludf.DUMMYFUNCTION("{IMPORTRANGE(""1xRz0po-ejgp-QRvMkY44z3u2CePgTccasdyrrVALbmE"",""Round 2!C32:H36""),IMPORTRANGE(""1xRz0po-ejgp-QRvMkY44z3u2CePgTccasdyrrVALbmE"",""Round 2!M32:R36"")}"),20.0)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1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1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1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1" t="s">
        <v>3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2" t="str">
        <f>IFERROR(__xludf.DUMMYFUNCTION("IMPORTRANGE(""1xRz0po-ejgp-QRvMkY44z3u2CePgTccasdyrrVALbmE"",""Round 2!W1"")"),"Question: 1")</f>
        <v>Question: 1</v>
      </c>
      <c r="B179" s="3" t="s">
        <v>43</v>
      </c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 t="s">
        <v>0</v>
      </c>
      <c r="B1" t="str">
        <f>IFERROR(__xludf.DUMMYFUNCTION("{IMPORTRANGE(""1JXwZ4AjXctyKvWy9qFKCX518NRYJYhSX9Jii0HPBCUs"",""Round 3!C1:H3""),IMPORTRANGE(""1JXwZ4AjXctyKvWy9qFKCX518NRYJYhSX9Jii0HPBCUs"",""Round 3!M1:R3"")}"),"Team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2" t="str">
        <f>IFERROR(__xludf.DUMMYFUNCTION("CONCAT(""A BP: "",IMPORTRANGE(""1JXwZ4AjXctyKvWy9qFKCX518NRYJYhSX9Jii0HPBCUs"",""Round 3!I32""))"),"A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2" t="str">
        <f>IFERROR(__xludf.DUMMYFUNCTION("CONCAT(""B BP: "",IMPORTRANGE(""1JXwZ4AjXctyKvWy9qFKCX518NRYJYhSX9Jii0HPBCUs"",""Round 3!S32""))"),"B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1" t="s">
        <v>2</v>
      </c>
      <c r="B4">
        <f>IFERROR(__xludf.DUMMYFUNCTION("{IMPORTRANGE(""1JXwZ4AjXctyKvWy9qFKCX518NRYJYhSX9Jii0HPBCUs"",""Round 3!C32:H36""),IMPORTRANGE(""1JXwZ4AjXctyKvWy9qFKCX518NRYJYhSX9Jii0HPBCUs"",""Round 3!M32:R36"")}"),20.0)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1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1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1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1" t="s">
        <v>3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2" t="str">
        <f>IFERROR(__xludf.DUMMYFUNCTION("IMPORTRANGE(""1JXwZ4AjXctyKvWy9qFKCX518NRYJYhSX9Jii0HPBCUs"",""Round 3!W1"")"),"Question: 1")</f>
        <v>Question: 1</v>
      </c>
      <c r="B9" s="3" t="s">
        <v>4</v>
      </c>
    </row>
    <row r="10">
      <c r="A10" s="1"/>
    </row>
    <row r="11">
      <c r="A11" s="1" t="s">
        <v>5</v>
      </c>
      <c r="B11" t="str">
        <f>IFERROR(__xludf.DUMMYFUNCTION("{IMPORTRANGE(""1GBDUn_ZojNLX5OJCVBEhvJbdm0c55Z7lPcE4L6WH89o"",""Round 3!C1:H3""),IMPORTRANGE(""1GBDUn_ZojNLX5OJCVBEhvJbdm0c55Z7lPcE4L6WH89o"",""Round 3!M1:R3"")}"),"Team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2" t="str">
        <f>IFERROR(__xludf.DUMMYFUNCTION("CONCAT(""A BP: "",IMPORTRANGE(""1GBDUn_ZojNLX5OJCVBEhvJbdm0c55Z7lPcE4L6WH89o"",""Round 3!I32""))"),"A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2" t="str">
        <f>IFERROR(__xludf.DUMMYFUNCTION("CONCAT(""B BP: "",IMPORTRANGE(""1GBDUn_ZojNLX5OJCVBEhvJbdm0c55Z7lPcE4L6WH89o"",""Round 3!S32""))"),"B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1" t="s">
        <v>2</v>
      </c>
      <c r="B14">
        <f>IFERROR(__xludf.DUMMYFUNCTION("{IMPORTRANGE(""1GBDUn_ZojNLX5OJCVBEhvJbdm0c55Z7lPcE4L6WH89o"",""Round 3!C32:H36""),IMPORTRANGE(""1GBDUn_ZojNLX5OJCVBEhvJbdm0c55Z7lPcE4L6WH89o"",""Round 3!M32:R36"")}"),20.0)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1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1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1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1" t="s">
        <v>3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2" t="str">
        <f>IFERROR(__xludf.DUMMYFUNCTION("IMPORTRANGE(""1GBDUn_ZojNLX5OJCVBEhvJbdm0c55Z7lPcE4L6WH89o"",""Round 3!W1"")"),"Question: 1")</f>
        <v>Question: 1</v>
      </c>
      <c r="B19" s="3" t="s">
        <v>6</v>
      </c>
    </row>
    <row r="20">
      <c r="A20" s="2"/>
    </row>
    <row r="21">
      <c r="A21" s="1" t="s">
        <v>7</v>
      </c>
      <c r="B21" t="str">
        <f>IFERROR(__xludf.DUMMYFUNCTION("{IMPORTRANGE(""19Dum1qlL_dEwf1AEniLf02Eg9XaNXi1GMkI5M4_Ei6w"",""Round 3!C1:H3""),IMPORTRANGE(""19Dum1qlL_dEwf1AEniLf02Eg9XaNXi1GMkI5M4_Ei6w"",""Round 3!M1:R3"")}"),"Team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2" t="str">
        <f>IFERROR(__xludf.DUMMYFUNCTION("CONCAT(""A BP: "",IMPORTRANGE(""19Dum1qlL_dEwf1AEniLf02Eg9XaNXi1GMkI5M4_Ei6w"",""Round 3!I32""))"),"A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2" t="str">
        <f>IFERROR(__xludf.DUMMYFUNCTION("CONCAT(""B BP: "",IMPORTRANGE(""19Dum1qlL_dEwf1AEniLf02Eg9XaNXi1GMkI5M4_Ei6w"",""Round 3!S32""))"),"B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1" t="s">
        <v>2</v>
      </c>
      <c r="B24">
        <f>IFERROR(__xludf.DUMMYFUNCTION("{IMPORTRANGE(""19Dum1qlL_dEwf1AEniLf02Eg9XaNXi1GMkI5M4_Ei6w"",""Round 3!C32:H36""),IMPORTRANGE(""19Dum1qlL_dEwf1AEniLf02Eg9XaNXi1GMkI5M4_Ei6w"",""Round 3!M32:R36"")}"),20.0)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1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1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1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1" t="s">
        <v>3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2" t="str">
        <f>IFERROR(__xludf.DUMMYFUNCTION("IMPORTRANGE(""19Dum1qlL_dEwf1AEniLf02Eg9XaNXi1GMkI5M4_Ei6w"",""Round 3!W1"")"),"Question: 1")</f>
        <v>Question: 1</v>
      </c>
      <c r="B29" s="3" t="s">
        <v>8</v>
      </c>
    </row>
    <row r="30">
      <c r="A30" s="2"/>
    </row>
    <row r="31">
      <c r="A31" s="1" t="s">
        <v>9</v>
      </c>
      <c r="B31" t="str">
        <f>IFERROR(__xludf.DUMMYFUNCTION("{IMPORTRANGE(""18KjuM_F6goZYnozVb7folIb5Hw_mfKQrNdVWKGx6j4s"",""Round 3!C1:H3""),IMPORTRANGE(""18KjuM_F6goZYnozVb7folIb5Hw_mfKQrNdVWKGx6j4s"",""Round 3!M1:R3"")}"),"La Serna B (JV)")</f>
        <v>La Serna B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IFERROR(__xludf.DUMMYFUNCTION("""COMPUTED_VALUE"""),"Oak Valley B (JV)")</f>
        <v>Oak Valley B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2" t="str">
        <f>IFERROR(__xludf.DUMMYFUNCTION("CONCAT(""A BP: "",IMPORTRANGE(""18KjuM_F6goZYnozVb7folIb5Hw_mfKQrNdVWKGx6j4s"",""Round 3!I32""))"),"A BP: 10")</f>
        <v>A BP: 10</v>
      </c>
      <c r="B32" t="str">
        <f>IFERROR(__xludf.DUMMYFUNCTION("""COMPUTED_VALUE"""),"Score: 20")</f>
        <v>Score: 20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285")</f>
        <v>Score: 285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2" t="str">
        <f>IFERROR(__xludf.DUMMYFUNCTION("CONCAT(""B BP: "",IMPORTRANGE(""18KjuM_F6goZYnozVb7folIb5Hw_mfKQrNdVWKGx6j4s"",""Round 3!S32""))"),"B BP: 160")</f>
        <v>B BP: 160</v>
      </c>
      <c r="B33" t="str">
        <f>IFERROR(__xludf.DUMMYFUNCTION("""COMPUTED_VALUE"""),"Colin Twisselmann (10)")</f>
        <v>Colin Twisselmann (10)</v>
      </c>
      <c r="C33" t="str">
        <f>IFERROR(__xludf.DUMMYFUNCTION("""COMPUTED_VALUE"""),"Jerred Casillas (12)")</f>
        <v>Jerred Casillas (12)</v>
      </c>
      <c r="D33" t="str">
        <f>IFERROR(__xludf.DUMMYFUNCTION("""COMPUTED_VALUE"""),"Liz Carrasco (12)")</f>
        <v>Liz Carrasco (12)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IFERROR(__xludf.DUMMYFUNCTION("""COMPUTED_VALUE"""),"Rohan Gaikwad (8)")</f>
        <v>Rohan Gaikwad (8)</v>
      </c>
      <c r="I33" t="str">
        <f>IFERROR(__xludf.DUMMYFUNCTION("""COMPUTED_VALUE"""),"Amina Aslam-Mir (7)")</f>
        <v>Amina Aslam-Mir (7)</v>
      </c>
      <c r="J33" t="str">
        <f>IFERROR(__xludf.DUMMYFUNCTION("""COMPUTED_VALUE"""),"John Bruvold (8)")</f>
        <v>John Bruvold (8)</v>
      </c>
      <c r="K33" t="str">
        <f>IFERROR(__xludf.DUMMYFUNCTION("""COMPUTED_VALUE"""),"Ethan Huang (7)")</f>
        <v>Ethan Huang (7)</v>
      </c>
      <c r="L33" t="str">
        <f>IFERROR(__xludf.DUMMYFUNCTION("""COMPUTED_VALUE"""),"Aditi Bandaru (7)")</f>
        <v>Aditi Bandaru (7)</v>
      </c>
      <c r="M33" t="str">
        <f>IFERROR(__xludf.DUMMYFUNCTION("""COMPUTED_VALUE"""),"Player 6")</f>
        <v>Player 6</v>
      </c>
    </row>
    <row r="34">
      <c r="A34" s="1" t="s">
        <v>2</v>
      </c>
      <c r="B34">
        <f>IFERROR(__xludf.DUMMYFUNCTION("{IMPORTRANGE(""18KjuM_F6goZYnozVb7folIb5Hw_mfKQrNdVWKGx6j4s"",""Round 3!C32:H36""),IMPORTRANGE(""18KjuM_F6goZYnozVb7folIb5Hw_mfKQrNdVWKGx6j4s"",""Round 3!M32:R36"")}"),20.0)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IFERROR(__xludf.DUMMYFUNCTION("""COMPUTED_VALUE"""),10.0)</f>
        <v>10</v>
      </c>
      <c r="L34">
        <f>IFERROR(__xludf.DUMMYFUNCTION("""COMPUTED_VALUE"""),10.0)</f>
        <v>10</v>
      </c>
      <c r="M34" t="str">
        <f>IFERROR(__xludf.DUMMYFUNCTION("""COMPUTED_VALUE"""),"")</f>
        <v/>
      </c>
    </row>
    <row r="35">
      <c r="A35" s="1">
        <v>15.0</v>
      </c>
      <c r="B35">
        <f>IFERROR(__xludf.DUMMYFUNCTION("""COMPUTED_VALUE"""),0.0)</f>
        <v>0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IFERROR(__xludf.DUMMYFUNCTION("""COMPUTED_VALUE"""),3.0)</f>
        <v>3</v>
      </c>
      <c r="I35">
        <f>IFERROR(__xludf.DUMMYFUNCTION("""COMPUTED_VALUE"""),0.0)</f>
        <v>0</v>
      </c>
      <c r="J35">
        <f>IFERROR(__xludf.DUMMYFUNCTION("""COMPUTED_VALUE"""),1.0)</f>
        <v>1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1">
        <v>10.0</v>
      </c>
      <c r="B36">
        <f>IFERROR(__xludf.DUMMYFUNCTION("""COMPUTED_VALUE"""),0.0)</f>
        <v>0</v>
      </c>
      <c r="C36">
        <f>IFERROR(__xludf.DUMMYFUNCTION("""COMPUTED_VALUE"""),0.0)</f>
        <v>0</v>
      </c>
      <c r="D36">
        <f>IFERROR(__xludf.DUMMYFUNCTION("""COMPUTED_VALUE"""),1.0)</f>
        <v>1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IFERROR(__xludf.DUMMYFUNCTION("""COMPUTED_VALUE"""),5.0)</f>
        <v>5</v>
      </c>
      <c r="I36">
        <f>IFERROR(__xludf.DUMMYFUNCTION("""COMPUTED_VALUE"""),2.0)</f>
        <v>2</v>
      </c>
      <c r="J36">
        <f>IFERROR(__xludf.DUMMYFUNCTION("""COMPUTED_VALUE"""),0.0)</f>
        <v>0</v>
      </c>
      <c r="K36">
        <f>IFERROR(__xludf.DUMMYFUNCTION("""COMPUTED_VALUE"""),1.0)</f>
        <v>1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1">
        <v>-5.0</v>
      </c>
      <c r="B37">
        <f>IFERROR(__xludf.DUMMYFUNCTION("""COMPUTED_VALUE"""),0.0)</f>
        <v>0</v>
      </c>
      <c r="C37">
        <f>IFERROR(__xludf.DUMMYFUNCTION("""COMPUTED_VALUE"""),0.0)</f>
        <v>0</v>
      </c>
      <c r="D37">
        <f>IFERROR(__xludf.DUMMYFUNCTION("""COMPUTED_VALUE"""),0.0)</f>
        <v>0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IFERROR(__xludf.DUMMYFUNCTION("""COMPUTED_VALUE"""),0.0)</f>
        <v>0</v>
      </c>
      <c r="I37">
        <f>IFERROR(__xludf.DUMMYFUNCTION("""COMPUTED_VALUE"""),1.0)</f>
        <v>1</v>
      </c>
      <c r="J37">
        <f>IFERROR(__xludf.DUMMYFUNCTION("""COMPUTED_VALUE"""),0.0)</f>
        <v>0</v>
      </c>
      <c r="K37">
        <f>IFERROR(__xludf.DUMMYFUNCTION("""COMPUTED_VALUE"""),1.0)</f>
        <v>1</v>
      </c>
      <c r="L37">
        <f>IFERROR(__xludf.DUMMYFUNCTION("""COMPUTED_VALUE"""),1.0)</f>
        <v>1</v>
      </c>
      <c r="M37">
        <f>IFERROR(__xludf.DUMMYFUNCTION("""COMPUTED_VALUE"""),0.0)</f>
        <v>0</v>
      </c>
    </row>
    <row r="38">
      <c r="A38" s="1" t="s">
        <v>3</v>
      </c>
      <c r="B38">
        <f>IFERROR(__xludf.DUMMYFUNCTION("""COMPUTED_VALUE"""),0.0)</f>
        <v>0</v>
      </c>
      <c r="C38">
        <f>IFERROR(__xludf.DUMMYFUNCTION("""COMPUTED_VALUE"""),0.0)</f>
        <v>0</v>
      </c>
      <c r="D38">
        <f>IFERROR(__xludf.DUMMYFUNCTION("""COMPUTED_VALUE"""),10.0)</f>
        <v>10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IFERROR(__xludf.DUMMYFUNCTION("""COMPUTED_VALUE"""),95.0)</f>
        <v>95</v>
      </c>
      <c r="I38">
        <f>IFERROR(__xludf.DUMMYFUNCTION("""COMPUTED_VALUE"""),15.0)</f>
        <v>15</v>
      </c>
      <c r="J38">
        <f>IFERROR(__xludf.DUMMYFUNCTION("""COMPUTED_VALUE"""),15.0)</f>
        <v>15</v>
      </c>
      <c r="K38">
        <f>IFERROR(__xludf.DUMMYFUNCTION("""COMPUTED_VALUE"""),5.0)</f>
        <v>5</v>
      </c>
      <c r="L38">
        <f>IFERROR(__xludf.DUMMYFUNCTION("""COMPUTED_VALUE"""),-5.0)</f>
        <v>-5</v>
      </c>
      <c r="M38">
        <f>IFERROR(__xludf.DUMMYFUNCTION("""COMPUTED_VALUE"""),0.0)</f>
        <v>0</v>
      </c>
    </row>
    <row r="39">
      <c r="A39" s="2" t="str">
        <f>IFERROR(__xludf.DUMMYFUNCTION("IMPORTRANGE(""18KjuM_F6goZYnozVb7folIb5Hw_mfKQrNdVWKGx6j4s"",""Round 3!W1"")"),"Question: 21")</f>
        <v>Question: 21</v>
      </c>
      <c r="B39" s="3" t="s">
        <v>10</v>
      </c>
    </row>
    <row r="40">
      <c r="A40" s="2"/>
    </row>
    <row r="41">
      <c r="A41" s="1" t="s">
        <v>12</v>
      </c>
      <c r="B41" t="str">
        <f>IFERROR(__xludf.DUMMYFUNCTION("{IMPORTRANGE(""1_YEY20HiFjspjicPICCMlL_lQXsksdB6d3m5vzHwuOI"",""Round 3!C1:H3""),IMPORTRANGE(""1_YEY20HiFjspjicPICCMlL_lQXsksdB6d3m5vzHwuOI"",""Round 3!M1:R3"")}"),"Scripps Ranch B (JV)")</f>
        <v>Scripps Ranch B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IFERROR(__xludf.DUMMYFUNCTION("""COMPUTED_VALUE"""),"Black Mountain B (JV)")</f>
        <v>Black Mountain B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2" t="str">
        <f>IFERROR(__xludf.DUMMYFUNCTION("CONCAT(""A BP: "",IMPORTRANGE(""1_YEY20HiFjspjicPICCMlL_lQXsksdB6d3m5vzHwuOI"",""Round 3!I32""))"),"A BP: 190")</f>
        <v>A BP: 190</v>
      </c>
      <c r="B42" t="str">
        <f>IFERROR(__xludf.DUMMYFUNCTION("""COMPUTED_VALUE"""),"Score: 305")</f>
        <v>Score: 305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130")</f>
        <v>Score: 130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2" t="str">
        <f>IFERROR(__xludf.DUMMYFUNCTION("CONCAT(""B BP: "",IMPORTRANGE(""1_YEY20HiFjspjicPICCMlL_lQXsksdB6d3m5vzHwuOI"",""Round 3!S32""))"),"B BP: 70")</f>
        <v>B BP: 70</v>
      </c>
      <c r="B43" t="str">
        <f>IFERROR(__xludf.DUMMYFUNCTION("""COMPUTED_VALUE"""),"Lawrence Lo (9)")</f>
        <v>Lawrence Lo (9)</v>
      </c>
      <c r="C43" t="str">
        <f>IFERROR(__xludf.DUMMYFUNCTION("""COMPUTED_VALUE"""),"Sam Wu (9)")</f>
        <v>Sam Wu (9)</v>
      </c>
      <c r="D43" t="str">
        <f>IFERROR(__xludf.DUMMYFUNCTION("""COMPUTED_VALUE"""),"Tristan Thai (9)")</f>
        <v>Tristan Thai (9)</v>
      </c>
      <c r="E43" t="str">
        <f>IFERROR(__xludf.DUMMYFUNCTION("""COMPUTED_VALUE"""),"Shabdika Gubba (9)")</f>
        <v>Shabdika Gubba (9)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IFERROR(__xludf.DUMMYFUNCTION("""COMPUTED_VALUE"""),"Pranay Kulkarni (7)")</f>
        <v>Pranay Kulkarni (7)</v>
      </c>
      <c r="I43" t="str">
        <f>IFERROR(__xludf.DUMMYFUNCTION("""COMPUTED_VALUE"""),"Lauren Yung (8)")</f>
        <v>Lauren Yung (8)</v>
      </c>
      <c r="J43" t="str">
        <f>IFERROR(__xludf.DUMMYFUNCTION("""COMPUTED_VALUE"""),"Raina Chatterjee (7)")</f>
        <v>Raina Chatterjee (7)</v>
      </c>
      <c r="K43" t="str">
        <f>IFERROR(__xludf.DUMMYFUNCTION("""COMPUTED_VALUE"""),"Anay Sabhnani (7)")</f>
        <v>Anay Sabhnani (7)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1" t="s">
        <v>2</v>
      </c>
      <c r="B44">
        <f>IFERROR(__xludf.DUMMYFUNCTION("{IMPORTRANGE(""1_YEY20HiFjspjicPICCMlL_lQXsksdB6d3m5vzHwuOI"",""Round 3!C32:H36""),IMPORTRANGE(""1_YEY20HiFjspjicPICCMlL_lQXsksdB6d3m5vzHwuOI"",""Round 3!M32:R36"")}"),20.0)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1">
        <v>15.0</v>
      </c>
      <c r="B45">
        <f>IFERROR(__xludf.DUMMYFUNCTION("""COMPUTED_VALUE"""),0.0)</f>
        <v>0</v>
      </c>
      <c r="C45">
        <f>IFERROR(__xludf.DUMMYFUNCTION("""COMPUTED_VALUE"""),1.0)</f>
        <v>1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IFERROR(__xludf.DUMMYFUNCTION("""COMPUTED_VALUE"""),2.0)</f>
        <v>2</v>
      </c>
      <c r="I45">
        <f>IFERROR(__xludf.DUMMYFUNCTION("""COMPUTED_VALUE"""),0.0)</f>
        <v>0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1">
        <v>10.0</v>
      </c>
      <c r="B46">
        <f>IFERROR(__xludf.DUMMYFUNCTION("""COMPUTED_VALUE"""),10.0)</f>
        <v>10</v>
      </c>
      <c r="C46">
        <f>IFERROR(__xludf.DUMMYFUNCTION("""COMPUTED_VALUE"""),0.0)</f>
        <v>0</v>
      </c>
      <c r="D46">
        <f>IFERROR(__xludf.DUMMYFUNCTION("""COMPUTED_VALUE"""),1.0)</f>
        <v>1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IFERROR(__xludf.DUMMYFUNCTION("""COMPUTED_VALUE"""),1.0)</f>
        <v>1</v>
      </c>
      <c r="I46">
        <f>IFERROR(__xludf.DUMMYFUNCTION("""COMPUTED_VALUE"""),0.0)</f>
        <v>0</v>
      </c>
      <c r="J46">
        <f>IFERROR(__xludf.DUMMYFUNCTION("""COMPUTED_VALUE"""),0.0)</f>
        <v>0</v>
      </c>
      <c r="K46">
        <f>IFERROR(__xludf.DUMMYFUNCTION("""COMPUTED_VALUE"""),2.0)</f>
        <v>2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1">
        <v>-5.0</v>
      </c>
      <c r="B47">
        <f>IFERROR(__xludf.DUMMYFUNCTION("""COMPUTED_VALUE"""),0.0)</f>
        <v>0</v>
      </c>
      <c r="C47">
        <f>IFERROR(__xludf.DUMMYFUNCTION("""COMPUTED_VALUE"""),1.0)</f>
        <v>1</v>
      </c>
      <c r="D47">
        <f>IFERROR(__xludf.DUMMYFUNCTION("""COMPUTED_VALUE"""),1.0)</f>
        <v>1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1" t="s">
        <v>3</v>
      </c>
      <c r="B48">
        <f>IFERROR(__xludf.DUMMYFUNCTION("""COMPUTED_VALUE"""),100.0)</f>
        <v>100</v>
      </c>
      <c r="C48">
        <f>IFERROR(__xludf.DUMMYFUNCTION("""COMPUTED_VALUE"""),10.0)</f>
        <v>10</v>
      </c>
      <c r="D48">
        <f>IFERROR(__xludf.DUMMYFUNCTION("""COMPUTED_VALUE"""),5.0)</f>
        <v>5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IFERROR(__xludf.DUMMYFUNCTION("""COMPUTED_VALUE"""),40.0)</f>
        <v>40</v>
      </c>
      <c r="I48">
        <f>IFERROR(__xludf.DUMMYFUNCTION("""COMPUTED_VALUE"""),0.0)</f>
        <v>0</v>
      </c>
      <c r="J48">
        <f>IFERROR(__xludf.DUMMYFUNCTION("""COMPUTED_VALUE"""),0.0)</f>
        <v>0</v>
      </c>
      <c r="K48">
        <f>IFERROR(__xludf.DUMMYFUNCTION("""COMPUTED_VALUE"""),20.0)</f>
        <v>20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2" t="str">
        <f>IFERROR(__xludf.DUMMYFUNCTION("IMPORTRANGE(""1_YEY20HiFjspjicPICCMlL_lQXsksdB6d3m5vzHwuOI"",""Round 3!W1"")"),"Question: 21")</f>
        <v>Question: 21</v>
      </c>
      <c r="B49" s="3" t="s">
        <v>13</v>
      </c>
    </row>
    <row r="50">
      <c r="A50" s="2"/>
    </row>
    <row r="51">
      <c r="A51" s="1" t="s">
        <v>15</v>
      </c>
      <c r="B51" t="str">
        <f>IFERROR(__xludf.DUMMYFUNCTION("{IMPORTRANGE(""1SYS5Ef48991ZUgqcGqj51eX2YgqKCzfrEZ_pUY01Lwo"",""Round 3!C1:H3""),IMPORTRANGE(""1SYS5Ef48991ZUgqcGqj51eX2YgqKCzfrEZ_pUY01Lwo"",""Round 3!M1:R3"")}"),"Black Mountain A (JV)")</f>
        <v>Black Mountain A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IFERROR(__xludf.DUMMYFUNCTION("""COMPUTED_VALUE"""),"Troy B (JV)")</f>
        <v>Troy B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2" t="str">
        <f>IFERROR(__xludf.DUMMYFUNCTION("CONCAT(""A BP: "",IMPORTRANGE(""1SYS5Ef48991ZUgqcGqj51eX2YgqKCzfrEZ_pUY01Lwo"",""Round 3!I32""))"),"A BP: 110")</f>
        <v>A BP: 110</v>
      </c>
      <c r="B52" t="str">
        <f>IFERROR(__xludf.DUMMYFUNCTION("""COMPUTED_VALUE"""),"Score: 220")</f>
        <v>Score: 220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230")</f>
        <v>Score: 230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2" t="str">
        <f>IFERROR(__xludf.DUMMYFUNCTION("CONCAT(""B BP: "",IMPORTRANGE(""1SYS5Ef48991ZUgqcGqj51eX2YgqKCzfrEZ_pUY01Lwo"",""Round 3!S32""))"),"B BP: 150")</f>
        <v>B BP: 150</v>
      </c>
      <c r="B53" t="str">
        <f>IFERROR(__xludf.DUMMYFUNCTION("""COMPUTED_VALUE"""),"Adarsh Venkateswaran (8)")</f>
        <v>Adarsh Venkateswaran (8)</v>
      </c>
      <c r="C53" t="str">
        <f>IFERROR(__xludf.DUMMYFUNCTION("""COMPUTED_VALUE"""),"Anvit Watwani (7)")</f>
        <v>Anvit Watwani (7)</v>
      </c>
      <c r="D53" t="str">
        <f>IFERROR(__xludf.DUMMYFUNCTION("""COMPUTED_VALUE"""),"Edwin Chang (8)")</f>
        <v>Edwin Chang (8)</v>
      </c>
      <c r="E53" t="str">
        <f>IFERROR(__xludf.DUMMYFUNCTION("""COMPUTED_VALUE"""),"Tanvi Bhide (7)")</f>
        <v>Tanvi Bhide (7)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IFERROR(__xludf.DUMMYFUNCTION("""COMPUTED_VALUE"""),"Juan Manalo (11)")</f>
        <v>Juan Manalo (11)</v>
      </c>
      <c r="I53" t="str">
        <f>IFERROR(__xludf.DUMMYFUNCTION("""COMPUTED_VALUE"""),"Ryan Salehi (11)")</f>
        <v>Ryan Salehi (11)</v>
      </c>
      <c r="J53" t="str">
        <f>IFERROR(__xludf.DUMMYFUNCTION("""COMPUTED_VALUE"""),"Luke Waldo (11)")</f>
        <v>Luke Waldo (11)</v>
      </c>
      <c r="K53" t="str">
        <f>IFERROR(__xludf.DUMMYFUNCTION("""COMPUTED_VALUE"""),"Player 4")</f>
        <v>Player 4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1" t="s">
        <v>2</v>
      </c>
      <c r="B54">
        <f>IFERROR(__xludf.DUMMYFUNCTION("{IMPORTRANGE(""1SYS5Ef48991ZUgqcGqj51eX2YgqKCzfrEZ_pUY01Lwo"",""Round 3!C32:H36""),IMPORTRANGE(""1SYS5Ef48991ZUgqcGqj51eX2YgqKCzfrEZ_pUY01Lwo"",""Round 3!M32:R36"")}"),20.0)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1">
        <v>15.0</v>
      </c>
      <c r="B55">
        <f>IFERROR(__xludf.DUMMYFUNCTION("""COMPUTED_VALUE"""),2.0)</f>
        <v>2</v>
      </c>
      <c r="C55">
        <f>IFERROR(__xludf.DUMMYFUNCTION("""COMPUTED_VALUE"""),3.0)</f>
        <v>3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IFERROR(__xludf.DUMMYFUNCTION("""COMPUTED_VALUE"""),1.0)</f>
        <v>1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1">
        <v>10.0</v>
      </c>
      <c r="B56">
        <f>IFERROR(__xludf.DUMMYFUNCTION("""COMPUTED_VALUE"""),1.0)</f>
        <v>1</v>
      </c>
      <c r="C56">
        <f>IFERROR(__xludf.DUMMYFUNCTION("""COMPUTED_VALUE"""),3.0)</f>
        <v>3</v>
      </c>
      <c r="D56">
        <f>IFERROR(__xludf.DUMMYFUNCTION("""COMPUTED_VALUE"""),0.0)</f>
        <v>0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IFERROR(__xludf.DUMMYFUNCTION("""COMPUTED_VALUE"""),3.0)</f>
        <v>3</v>
      </c>
      <c r="I56">
        <f>IFERROR(__xludf.DUMMYFUNCTION("""COMPUTED_VALUE"""),2.0)</f>
        <v>2</v>
      </c>
      <c r="J56">
        <f>IFERROR(__xludf.DUMMYFUNCTION("""COMPUTED_VALUE"""),2.0)</f>
        <v>2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1">
        <v>-5.0</v>
      </c>
      <c r="B57">
        <f>IFERROR(__xludf.DUMMYFUNCTION("""COMPUTED_VALUE"""),0.0)</f>
        <v>0</v>
      </c>
      <c r="C57">
        <f>IFERROR(__xludf.DUMMYFUNCTION("""COMPUTED_VALUE"""),1.0)</f>
        <v>1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IFERROR(__xludf.DUMMYFUNCTION("""COMPUTED_VALUE"""),1.0)</f>
        <v>1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1" t="s">
        <v>3</v>
      </c>
      <c r="B58">
        <f>IFERROR(__xludf.DUMMYFUNCTION("""COMPUTED_VALUE"""),40.0)</f>
        <v>40</v>
      </c>
      <c r="C58">
        <f>IFERROR(__xludf.DUMMYFUNCTION("""COMPUTED_VALUE"""),70.0)</f>
        <v>70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IFERROR(__xludf.DUMMYFUNCTION("""COMPUTED_VALUE"""),40.0)</f>
        <v>40</v>
      </c>
      <c r="I58">
        <f>IFERROR(__xludf.DUMMYFUNCTION("""COMPUTED_VALUE"""),20.0)</f>
        <v>20</v>
      </c>
      <c r="J58">
        <f>IFERROR(__xludf.DUMMYFUNCTION("""COMPUTED_VALUE"""),20.0)</f>
        <v>20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2" t="str">
        <f>IFERROR(__xludf.DUMMYFUNCTION("IMPORTRANGE(""1SYS5Ef48991ZUgqcGqj51eX2YgqKCzfrEZ_pUY01Lwo"",""Round 3!W1"")"),"Question: 21")</f>
        <v>Question: 21</v>
      </c>
      <c r="B59" s="3" t="s">
        <v>16</v>
      </c>
    </row>
    <row r="60">
      <c r="A60" s="2"/>
    </row>
    <row r="61">
      <c r="A61" s="1" t="s">
        <v>17</v>
      </c>
      <c r="B61" t="str">
        <f>IFERROR(__xludf.DUMMYFUNCTION("{IMPORTRANGE(""1UJlRLlhI2Hg_SAQqQOg0JGdwHhiagF7EVAtCX8UOYFc"",""Round 3!C1:H3""),IMPORTRANGE(""1UJlRLlhI2Hg_SAQqQOg0JGdwHhiagF7EVAtCX8UOYFc"",""Round 3!M1:R3"")}"),"Del Norte (JV)")</f>
        <v>Del Norte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IFERROR(__xludf.DUMMYFUNCTION("""COMPUTED_VALUE"""),"Valley Center (JV)")</f>
        <v>Valley Center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2" t="str">
        <f>IFERROR(__xludf.DUMMYFUNCTION("CONCAT(""A BP: "",IMPORTRANGE(""1UJlRLlhI2Hg_SAQqQOg0JGdwHhiagF7EVAtCX8UOYFc"",""Round 3!I32""))"),"A BP: 130")</f>
        <v>A BP: 130</v>
      </c>
      <c r="B62" t="str">
        <f>IFERROR(__xludf.DUMMYFUNCTION("""COMPUTED_VALUE"""),"Score: 230")</f>
        <v>Score: 230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120")</f>
        <v>Score: 120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2" t="str">
        <f>IFERROR(__xludf.DUMMYFUNCTION("CONCAT(""B BP: "",IMPORTRANGE(""1UJlRLlhI2Hg_SAQqQOg0JGdwHhiagF7EVAtCX8UOYFc"",""Round 3!S32""))"),"B BP: 80")</f>
        <v>B BP: 80</v>
      </c>
      <c r="B63" t="str">
        <f>IFERROR(__xludf.DUMMYFUNCTION("""COMPUTED_VALUE"""),"Kinish Sathish (9)")</f>
        <v>Kinish Sathish (9)</v>
      </c>
      <c r="C63" t="str">
        <f>IFERROR(__xludf.DUMMYFUNCTION("""COMPUTED_VALUE"""),"Kyle Nagasawa (11)")</f>
        <v>Kyle Nagasawa (11)</v>
      </c>
      <c r="D63" t="str">
        <f>IFERROR(__xludf.DUMMYFUNCTION("""COMPUTED_VALUE"""),"Player 3")</f>
        <v>Player 3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IFERROR(__xludf.DUMMYFUNCTION("""COMPUTED_VALUE"""),"Ava Downey (12)")</f>
        <v>Ava Downey (12)</v>
      </c>
      <c r="I63" t="str">
        <f>IFERROR(__xludf.DUMMYFUNCTION("""COMPUTED_VALUE"""),"Mehreen Sing (12)")</f>
        <v>Mehreen Sing (12)</v>
      </c>
      <c r="J63" t="str">
        <f>IFERROR(__xludf.DUMMYFUNCTION("""COMPUTED_VALUE"""),"Aaron Martinez (11)")</f>
        <v>Aaron Martinez (11)</v>
      </c>
      <c r="K63" t="str">
        <f>IFERROR(__xludf.DUMMYFUNCTION("""COMPUTED_VALUE"""),"Leon Thigh (11)")</f>
        <v>Leon Thigh (11)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1" t="s">
        <v>2</v>
      </c>
      <c r="B64">
        <f>IFERROR(__xludf.DUMMYFUNCTION("{IMPORTRANGE(""1UJlRLlhI2Hg_SAQqQOg0JGdwHhiagF7EVAtCX8UOYFc"",""Round 3!C32:H36""),IMPORTRANGE(""1UJlRLlhI2Hg_SAQqQOg0JGdwHhiagF7EVAtCX8UOYFc"",""Round 3!M32:R36"")}"),20.0)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1">
        <v>15.0</v>
      </c>
      <c r="B65">
        <f>IFERROR(__xludf.DUMMYFUNCTION("""COMPUTED_VALUE"""),2.0)</f>
        <v>2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IFERROR(__xludf.DUMMYFUNCTION("""COMPUTED_VALUE"""),0.0)</f>
        <v>0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1">
        <v>10.0</v>
      </c>
      <c r="B66">
        <f>IFERROR(__xludf.DUMMYFUNCTION("""COMPUTED_VALUE"""),7.0)</f>
        <v>7</v>
      </c>
      <c r="C66">
        <f>IFERROR(__xludf.DUMMYFUNCTION("""COMPUTED_VALUE"""),1.0)</f>
        <v>1</v>
      </c>
      <c r="D66">
        <f>IFERROR(__xludf.DUMMYFUNCTION("""COMPUTED_VALUE"""),0.0)</f>
        <v>0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IFERROR(__xludf.DUMMYFUNCTION("""COMPUTED_VALUE"""),1.0)</f>
        <v>1</v>
      </c>
      <c r="I66">
        <f>IFERROR(__xludf.DUMMYFUNCTION("""COMPUTED_VALUE"""),0.0)</f>
        <v>0</v>
      </c>
      <c r="J66">
        <f>IFERROR(__xludf.DUMMYFUNCTION("""COMPUTED_VALUE"""),5.0)</f>
        <v>5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1">
        <v>-5.0</v>
      </c>
      <c r="B67">
        <f>IFERROR(__xludf.DUMMYFUNCTION("""COMPUTED_VALUE"""),0.0)</f>
        <v>0</v>
      </c>
      <c r="C67">
        <f>IFERROR(__xludf.DUMMYFUNCTION("""COMPUTED_VALUE"""),2.0)</f>
        <v>2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IFERROR(__xludf.DUMMYFUNCTION("""COMPUTED_VALUE"""),2.0)</f>
        <v>2</v>
      </c>
      <c r="I67">
        <f>IFERROR(__xludf.DUMMYFUNCTION("""COMPUTED_VALUE"""),0.0)</f>
        <v>0</v>
      </c>
      <c r="J67">
        <f>IFERROR(__xludf.DUMMYFUNCTION("""COMPUTED_VALUE"""),2.0)</f>
        <v>2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1" t="s">
        <v>3</v>
      </c>
      <c r="B68">
        <f>IFERROR(__xludf.DUMMYFUNCTION("""COMPUTED_VALUE"""),100.0)</f>
        <v>100</v>
      </c>
      <c r="C68">
        <f>IFERROR(__xludf.DUMMYFUNCTION("""COMPUTED_VALUE"""),0.0)</f>
        <v>0</v>
      </c>
      <c r="D68">
        <f>IFERROR(__xludf.DUMMYFUNCTION("""COMPUTED_VALUE"""),0.0)</f>
        <v>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IFERROR(__xludf.DUMMYFUNCTION("""COMPUTED_VALUE"""),0.0)</f>
        <v>0</v>
      </c>
      <c r="I68">
        <f>IFERROR(__xludf.DUMMYFUNCTION("""COMPUTED_VALUE"""),0.0)</f>
        <v>0</v>
      </c>
      <c r="J68">
        <f>IFERROR(__xludf.DUMMYFUNCTION("""COMPUTED_VALUE"""),40.0)</f>
        <v>40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2" t="str">
        <f>IFERROR(__xludf.DUMMYFUNCTION("IMPORTRANGE(""1UJlRLlhI2Hg_SAQqQOg0JGdwHhiagF7EVAtCX8UOYFc"",""Round 3!W1"")"),"Question: 21")</f>
        <v>Question: 21</v>
      </c>
      <c r="B69" s="3" t="s">
        <v>19</v>
      </c>
    </row>
    <row r="70">
      <c r="A70" s="2"/>
    </row>
    <row r="71">
      <c r="A71" s="1" t="s">
        <v>20</v>
      </c>
      <c r="B71" t="str">
        <f>IFERROR(__xludf.DUMMYFUNCTION("{IMPORTRANGE(""1jA96n0qbauznSt6-hkr51AslpxJqfrWgkafVtMV8_xU"",""Round 3!C1:H3""),IMPORTRANGE(""1jA96n0qbauznSt6-hkr51AslpxJqfrWgkafVtMV8_xU"",""Round 3!M1:R3"")}"),"Canyon Crest D (JV)")</f>
        <v>Canyon Crest D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IFERROR(__xludf.DUMMYFUNCTION("""COMPUTED_VALUE"""),"Oak Valley C (JV)")</f>
        <v>Oak Valley C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2" t="str">
        <f>IFERROR(__xludf.DUMMYFUNCTION("CONCAT(""A BP: "",IMPORTRANGE(""1jA96n0qbauznSt6-hkr51AslpxJqfrWgkafVtMV8_xU"",""Round 3!I32""))"),"A BP: 220")</f>
        <v>A BP: 220</v>
      </c>
      <c r="B72" t="str">
        <f>IFERROR(__xludf.DUMMYFUNCTION("""COMPUTED_VALUE"""),"Score: 340")</f>
        <v>Score: 340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50")</f>
        <v>Score: 50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2" t="str">
        <f>IFERROR(__xludf.DUMMYFUNCTION("CONCAT(""B BP: "",IMPORTRANGE(""1jA96n0qbauznSt6-hkr51AslpxJqfrWgkafVtMV8_xU"",""Round 3!S32""))"),"B BP: 30")</f>
        <v>B BP: 30</v>
      </c>
      <c r="B73" t="str">
        <f>IFERROR(__xludf.DUMMYFUNCTION("""COMPUTED_VALUE"""),"Kyle Lu (12)")</f>
        <v>Kyle Lu (12)</v>
      </c>
      <c r="C73" t="str">
        <f>IFERROR(__xludf.DUMMYFUNCTION("""COMPUTED_VALUE"""),"Demitrius Hong (12)")</f>
        <v>Demitrius Hong (12)</v>
      </c>
      <c r="D73" t="str">
        <f>IFERROR(__xludf.DUMMYFUNCTION("""COMPUTED_VALUE"""),"Tompson Hsu (12)")</f>
        <v>Tompson Hsu (12)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IFERROR(__xludf.DUMMYFUNCTION("""COMPUTED_VALUE"""),"Sarah Feng (6)")</f>
        <v>Sarah Feng (6)</v>
      </c>
      <c r="I73" t="str">
        <f>IFERROR(__xludf.DUMMYFUNCTION("""COMPUTED_VALUE"""),"Chinmay Ramamurthy (7)")</f>
        <v>Chinmay Ramamurthy (7)</v>
      </c>
      <c r="J73" t="str">
        <f>IFERROR(__xludf.DUMMYFUNCTION("""COMPUTED_VALUE"""),"Saanvi Agarwal (6)")</f>
        <v>Saanvi Agarwal (6)</v>
      </c>
      <c r="K73" t="str">
        <f>IFERROR(__xludf.DUMMYFUNCTION("""COMPUTED_VALUE"""),"Tay Kim (7)")</f>
        <v>Tay Kim (7)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1" t="s">
        <v>2</v>
      </c>
      <c r="B74">
        <f>IFERROR(__xludf.DUMMYFUNCTION("{IMPORTRANGE(""1jA96n0qbauznSt6-hkr51AslpxJqfrWgkafVtMV8_xU"",""Round 3!C32:H36""),IMPORTRANGE(""1jA96n0qbauznSt6-hkr51AslpxJqfrWgkafVtMV8_xU"",""Round 3!M32:R36"")}"),20.0)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1">
        <v>15.0</v>
      </c>
      <c r="B75">
        <f>IFERROR(__xludf.DUMMYFUNCTION("""COMPUTED_VALUE"""),1.0)</f>
        <v>1</v>
      </c>
      <c r="C75">
        <f>IFERROR(__xludf.DUMMYFUNCTION("""COMPUTED_VALUE"""),1.0)</f>
        <v>1</v>
      </c>
      <c r="D75">
        <f>IFERROR(__xludf.DUMMYFUNCTION("""COMPUTED_VALUE"""),1.0)</f>
        <v>1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IFERROR(__xludf.DUMMYFUNCTION("""COMPUTED_VALUE"""),0.0)</f>
        <v>0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1">
        <v>10.0</v>
      </c>
      <c r="B76">
        <f>IFERROR(__xludf.DUMMYFUNCTION("""COMPUTED_VALUE"""),4.0)</f>
        <v>4</v>
      </c>
      <c r="C76">
        <f>IFERROR(__xludf.DUMMYFUNCTION("""COMPUTED_VALUE"""),4.0)</f>
        <v>4</v>
      </c>
      <c r="D76">
        <f>IFERROR(__xludf.DUMMYFUNCTION("""COMPUTED_VALUE"""),1.0)</f>
        <v>1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IFERROR(__xludf.DUMMYFUNCTION("""COMPUTED_VALUE"""),0.0)</f>
        <v>0</v>
      </c>
      <c r="I76">
        <f>IFERROR(__xludf.DUMMYFUNCTION("""COMPUTED_VALUE"""),3.0)</f>
        <v>3</v>
      </c>
      <c r="J76">
        <f>IFERROR(__xludf.DUMMYFUNCTION("""COMPUTED_VALUE"""),0.0)</f>
        <v>0</v>
      </c>
      <c r="K76">
        <f>IFERROR(__xludf.DUMMYFUNCTION("""COMPUTED_VALUE"""),1.0)</f>
        <v>1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1">
        <v>-5.0</v>
      </c>
      <c r="B77">
        <f>IFERROR(__xludf.DUMMYFUNCTION("""COMPUTED_VALUE"""),0.0)</f>
        <v>0</v>
      </c>
      <c r="C77">
        <f>IFERROR(__xludf.DUMMYFUNCTION("""COMPUTED_VALUE"""),2.0)</f>
        <v>2</v>
      </c>
      <c r="D77">
        <f>IFERROR(__xludf.DUMMYFUNCTION("""COMPUTED_VALUE"""),1.0)</f>
        <v>1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IFERROR(__xludf.DUMMYFUNCTION("""COMPUTED_VALUE"""),1.0)</f>
        <v>1</v>
      </c>
      <c r="J77">
        <f>IFERROR(__xludf.DUMMYFUNCTION("""COMPUTED_VALUE"""),2.0)</f>
        <v>2</v>
      </c>
      <c r="K77">
        <f>IFERROR(__xludf.DUMMYFUNCTION("""COMPUTED_VALUE"""),1.0)</f>
        <v>1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1" t="s">
        <v>3</v>
      </c>
      <c r="B78">
        <f>IFERROR(__xludf.DUMMYFUNCTION("""COMPUTED_VALUE"""),55.0)</f>
        <v>55</v>
      </c>
      <c r="C78">
        <f>IFERROR(__xludf.DUMMYFUNCTION("""COMPUTED_VALUE"""),45.0)</f>
        <v>45</v>
      </c>
      <c r="D78">
        <f>IFERROR(__xludf.DUMMYFUNCTION("""COMPUTED_VALUE"""),20.0)</f>
        <v>20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IFERROR(__xludf.DUMMYFUNCTION("""COMPUTED_VALUE"""),0.0)</f>
        <v>0</v>
      </c>
      <c r="I78">
        <f>IFERROR(__xludf.DUMMYFUNCTION("""COMPUTED_VALUE"""),25.0)</f>
        <v>25</v>
      </c>
      <c r="J78">
        <f>IFERROR(__xludf.DUMMYFUNCTION("""COMPUTED_VALUE"""),-10.0)</f>
        <v>-10</v>
      </c>
      <c r="K78">
        <f>IFERROR(__xludf.DUMMYFUNCTION("""COMPUTED_VALUE"""),5.0)</f>
        <v>5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2" t="str">
        <f>IFERROR(__xludf.DUMMYFUNCTION("IMPORTRANGE(""1jA96n0qbauznSt6-hkr51AslpxJqfrWgkafVtMV8_xU"",""Round 3!W1"")"),"Question: 21")</f>
        <v>Question: 21</v>
      </c>
      <c r="B79" s="3" t="s">
        <v>22</v>
      </c>
    </row>
    <row r="80">
      <c r="A80" s="2"/>
    </row>
    <row r="81">
      <c r="A81" s="1" t="s">
        <v>23</v>
      </c>
      <c r="B81" t="str">
        <f>IFERROR(__xludf.DUMMYFUNCTION("{IMPORTRANGE(""1xw1EOjVhrK1PNJfOYiUsuJNrlpV53SmfJxYsFFolQ3s"",""Round 3!C1:H3""),IMPORTRANGE(""1xw1EOjVhrK1PNJfOYiUsuJNrlpV53SmfJxYsFFolQ3s"",""Round 3!M1:R3"")}"),"La Serna A (JV)")</f>
        <v>La Serna A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IFERROR(__xludf.DUMMYFUNCTION("""COMPUTED_VALUE"""),"Oak Valley A (JV)")</f>
        <v>Oak Valley A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2" t="str">
        <f>IFERROR(__xludf.DUMMYFUNCTION("CONCAT(""A BP: "",IMPORTRANGE(""1xw1EOjVhrK1PNJfOYiUsuJNrlpV53SmfJxYsFFolQ3s"",""Round 3!I32""))"),"A BP: 30")</f>
        <v>A BP: 30</v>
      </c>
      <c r="B82" t="str">
        <f>IFERROR(__xludf.DUMMYFUNCTION("""COMPUTED_VALUE"""),"Score: 35")</f>
        <v>Score: 35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680")</f>
        <v>Score: 680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2" t="str">
        <f>IFERROR(__xludf.DUMMYFUNCTION("CONCAT(""B BP: "",IMPORTRANGE(""1xw1EOjVhrK1PNJfOYiUsuJNrlpV53SmfJxYsFFolQ3s"",""Round 3!S32""))"),"B BP: 460")</f>
        <v>B BP: 460</v>
      </c>
      <c r="B83" t="str">
        <f>IFERROR(__xludf.DUMMYFUNCTION("""COMPUTED_VALUE"""),"Jay Gamez (12)")</f>
        <v>Jay Gamez (12)</v>
      </c>
      <c r="C83" t="str">
        <f>IFERROR(__xludf.DUMMYFUNCTION("""COMPUTED_VALUE"""),"Ian Brennan (12)")</f>
        <v>Ian Brennan (12)</v>
      </c>
      <c r="D83" t="str">
        <f>IFERROR(__xludf.DUMMYFUNCTION("""COMPUTED_VALUE"""),"Cole Aedo (12)")</f>
        <v>Cole Aedo (12)</v>
      </c>
      <c r="E83" t="str">
        <f>IFERROR(__xludf.DUMMYFUNCTION("""COMPUTED_VALUE"""),"Player 4")</f>
        <v>Player 4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IFERROR(__xludf.DUMMYFUNCTION("""COMPUTED_VALUE"""),"Conner Feng (8)")</f>
        <v>Conner Feng (8)</v>
      </c>
      <c r="I83" t="str">
        <f>IFERROR(__xludf.DUMMYFUNCTION("""COMPUTED_VALUE"""),"Raunak Mondal (7)")</f>
        <v>Raunak Mondal (7)</v>
      </c>
      <c r="J83" t="str">
        <f>IFERROR(__xludf.DUMMYFUNCTION("""COMPUTED_VALUE"""),"Jadon Pandian (7)")</f>
        <v>Jadon Pandian (7)</v>
      </c>
      <c r="K83" t="str">
        <f>IFERROR(__xludf.DUMMYFUNCTION("""COMPUTED_VALUE"""),"Jonas Brown (7)")</f>
        <v>Jonas Brown (7)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1" t="s">
        <v>2</v>
      </c>
      <c r="B84">
        <f>IFERROR(__xludf.DUMMYFUNCTION("{IMPORTRANGE(""1xw1EOjVhrK1PNJfOYiUsuJNrlpV53SmfJxYsFFolQ3s"",""Round 3!C32:H36""),IMPORTRANGE(""1xw1EOjVhrK1PNJfOYiUsuJNrlpV53SmfJxYsFFolQ3s"",""Round 3!M32:R36"")}"),20.0)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1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IFERROR(__xludf.DUMMYFUNCTION("""COMPUTED_VALUE"""),6.0)</f>
        <v>6</v>
      </c>
      <c r="I85">
        <f>IFERROR(__xludf.DUMMYFUNCTION("""COMPUTED_VALUE"""),1.0)</f>
        <v>1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1">
        <v>10.0</v>
      </c>
      <c r="B86">
        <f>IFERROR(__xludf.DUMMYFUNCTION("""COMPUTED_VALUE"""),0.0)</f>
        <v>0</v>
      </c>
      <c r="C86">
        <f>IFERROR(__xludf.DUMMYFUNCTION("""COMPUTED_VALUE"""),0.0)</f>
        <v>0</v>
      </c>
      <c r="D86">
        <f>IFERROR(__xludf.DUMMYFUNCTION("""COMPUTED_VALUE"""),1.0)</f>
        <v>1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IFERROR(__xludf.DUMMYFUNCTION("""COMPUTED_VALUE"""),12.0)</f>
        <v>12</v>
      </c>
      <c r="I86">
        <f>IFERROR(__xludf.DUMMYFUNCTION("""COMPUTED_VALUE"""),0.0)</f>
        <v>0</v>
      </c>
      <c r="J86">
        <f>IFERROR(__xludf.DUMMYFUNCTION("""COMPUTED_VALUE"""),0.0)</f>
        <v>0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1">
        <v>-5.0</v>
      </c>
      <c r="B87">
        <f>IFERROR(__xludf.DUMMYFUNCTION("""COMPUTED_VALUE"""),1.0)</f>
        <v>1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IFERROR(__xludf.DUMMYFUNCTION("""COMPUTED_VALUE"""),1.0)</f>
        <v>1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1" t="s">
        <v>3</v>
      </c>
      <c r="B88">
        <f>IFERROR(__xludf.DUMMYFUNCTION("""COMPUTED_VALUE"""),-5.0)</f>
        <v>-5</v>
      </c>
      <c r="C88">
        <f>IFERROR(__xludf.DUMMYFUNCTION("""COMPUTED_VALUE"""),0.0)</f>
        <v>0</v>
      </c>
      <c r="D88">
        <f>IFERROR(__xludf.DUMMYFUNCTION("""COMPUTED_VALUE"""),10.0)</f>
        <v>10</v>
      </c>
      <c r="E88">
        <f>IFERROR(__xludf.DUMMYFUNCTION("""COMPUTED_VALUE"""),0.0)</f>
        <v>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IFERROR(__xludf.DUMMYFUNCTION("""COMPUTED_VALUE"""),205.0)</f>
        <v>205</v>
      </c>
      <c r="I88">
        <f>IFERROR(__xludf.DUMMYFUNCTION("""COMPUTED_VALUE"""),15.0)</f>
        <v>15</v>
      </c>
      <c r="J88">
        <f>IFERROR(__xludf.DUMMYFUNCTION("""COMPUTED_VALUE"""),0.0)</f>
        <v>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2" t="str">
        <f>IFERROR(__xludf.DUMMYFUNCTION("IMPORTRANGE(""1xw1EOjVhrK1PNJfOYiUsuJNrlpV53SmfJxYsFFolQ3s"",""Round 3!W1"")"),"Question: 21")</f>
        <v>Question: 21</v>
      </c>
      <c r="B89" s="3" t="s">
        <v>25</v>
      </c>
    </row>
    <row r="90">
      <c r="A90" s="2"/>
    </row>
    <row r="91">
      <c r="A91" s="1" t="s">
        <v>26</v>
      </c>
      <c r="B91" t="str">
        <f>IFERROR(__xludf.DUMMYFUNCTION("{IMPORTRANGE(""15wOrdFuJAb1a4MoX5CG4apiBD2jUJ7mBu58Uk-8Mo7s"",""Round 3!C1:H3""),IMPORTRANGE(""15wOrdFuJAb1a4MoX5CG4apiBD2jUJ7mBu58Uk-8Mo7s"",""Round 3!M1:R3"")}"),"Team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2" t="str">
        <f>IFERROR(__xludf.DUMMYFUNCTION("CONCAT(""A BP: "",IMPORTRANGE(""15wOrdFuJAb1a4MoX5CG4apiBD2jUJ7mBu58Uk-8Mo7s"",""Round 3!I32""))"),"A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2" t="str">
        <f>IFERROR(__xludf.DUMMYFUNCTION("CONCAT(""B BP: "",IMPORTRANGE(""15wOrdFuJAb1a4MoX5CG4apiBD2jUJ7mBu58Uk-8Mo7s"",""Round 3!S32""))"),"B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1" t="s">
        <v>2</v>
      </c>
      <c r="B94">
        <f>IFERROR(__xludf.DUMMYFUNCTION("{IMPORTRANGE(""15wOrdFuJAb1a4MoX5CG4apiBD2jUJ7mBu58Uk-8Mo7s"",""Round 3!C32:H36""),IMPORTRANGE(""15wOrdFuJAb1a4MoX5CG4apiBD2jUJ7mBu58Uk-8Mo7s"",""Round 3!M32:R36"")}"),20.0)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1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1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1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1" t="s">
        <v>3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2" t="str">
        <f>IFERROR(__xludf.DUMMYFUNCTION("IMPORTRANGE(""15wOrdFuJAb1a4MoX5CG4apiBD2jUJ7mBu58Uk-8Mo7s"",""Round 3!W1"")"),"Question: 1")</f>
        <v>Question: 1</v>
      </c>
      <c r="B99" s="3" t="s">
        <v>27</v>
      </c>
    </row>
    <row r="100">
      <c r="A100" s="2"/>
    </row>
    <row r="101">
      <c r="A101" s="1" t="s">
        <v>28</v>
      </c>
      <c r="B101" t="str">
        <f>IFERROR(__xludf.DUMMYFUNCTION("{IMPORTRANGE(""1GfJqS1rsy-VutTmPVnm9E2VdinIG-GnQO5b3bhaiX1s"",""Round 3!C1:H3""),IMPORTRANGE(""1GfJqS1rsy-VutTmPVnm9E2VdinIG-GnQO5b3bhaiX1s"",""Round 3!M1:R3"")}"),"Team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2" t="str">
        <f>IFERROR(__xludf.DUMMYFUNCTION("CONCAT(""A BP: "",IMPORTRANGE(""1GfJqS1rsy-VutTmPVnm9E2VdinIG-GnQO5b3bhaiX1s"",""Round 3!I32""))"),"A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2" t="str">
        <f>IFERROR(__xludf.DUMMYFUNCTION("CONCAT(""B BP: "",IMPORTRANGE(""1GfJqS1rsy-VutTmPVnm9E2VdinIG-GnQO5b3bhaiX1s"",""Round 3!S32""))"),"B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1" t="s">
        <v>2</v>
      </c>
      <c r="B104">
        <f>IFERROR(__xludf.DUMMYFUNCTION("{IMPORTRANGE(""1GfJqS1rsy-VutTmPVnm9E2VdinIG-GnQO5b3bhaiX1s"",""Round 3!C32:H36""),IMPORTRANGE(""1GfJqS1rsy-VutTmPVnm9E2VdinIG-GnQO5b3bhaiX1s"",""Round 3!M32:R36"")}"),20.0)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1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1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1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1" t="s">
        <v>3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2" t="str">
        <f>IFERROR(__xludf.DUMMYFUNCTION("IMPORTRANGE(""1GfJqS1rsy-VutTmPVnm9E2VdinIG-GnQO5b3bhaiX1s"",""Round 3!W1"")"),"Question: 1")</f>
        <v>Question: 1</v>
      </c>
      <c r="B109" s="3" t="s">
        <v>29</v>
      </c>
    </row>
    <row r="110">
      <c r="A110" s="2"/>
    </row>
    <row r="111">
      <c r="A111" s="1" t="s">
        <v>30</v>
      </c>
      <c r="B111" t="str">
        <f>IFERROR(__xludf.DUMMYFUNCTION("{IMPORTRANGE(""17CLUEFflDBSa8dyH5vsXfHme4RV8IhzD-mxe9_c9I5k"",""Round 3!C1:H3""),IMPORTRANGE(""17CLUEFflDBSa8dyH5vsXfHme4RV8IhzD-mxe9_c9I5k"",""Round 3!M1:R3"")}"),"La Jolla (V)")</f>
        <v>La Jolla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IFERROR(__xludf.DUMMYFUNCTION("""COMPUTED_VALUE"""),"Canyon Crest C (V)")</f>
        <v>Canyon Crest C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2" t="str">
        <f>IFERROR(__xludf.DUMMYFUNCTION("CONCAT(""A BP: "",IMPORTRANGE(""17CLUEFflDBSa8dyH5vsXfHme4RV8IhzD-mxe9_c9I5k"",""Round 3!I32""))"),"A BP: 180")</f>
        <v>A BP: 180</v>
      </c>
      <c r="B112" t="str">
        <f>IFERROR(__xludf.DUMMYFUNCTION("""COMPUTED_VALUE"""),"Score: 295")</f>
        <v>Score: 295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35")</f>
        <v>Score: 35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2" t="str">
        <f>IFERROR(__xludf.DUMMYFUNCTION("CONCAT(""B BP: "",IMPORTRANGE(""17CLUEFflDBSa8dyH5vsXfHme4RV8IhzD-mxe9_c9I5k"",""Round 3!S32""))"),"B BP: 20")</f>
        <v>B BP: 20</v>
      </c>
      <c r="B113" t="str">
        <f>IFERROR(__xludf.DUMMYFUNCTION("""COMPUTED_VALUE"""),"David Smith (11)")</f>
        <v>David Smith (11)</v>
      </c>
      <c r="C113" t="str">
        <f>IFERROR(__xludf.DUMMYFUNCTION("""COMPUTED_VALUE"""),"Kevin Park (11)")</f>
        <v>Kevin Park (11)</v>
      </c>
      <c r="D113" t="str">
        <f>IFERROR(__xludf.DUMMYFUNCTION("""COMPUTED_VALUE"""),"Richard Chao (11)")</f>
        <v>Richard Chao (11)</v>
      </c>
      <c r="E113" t="str">
        <f>IFERROR(__xludf.DUMMYFUNCTION("""COMPUTED_VALUE"""),"Caleb Cruz (11)")</f>
        <v>Caleb Cruz (11)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IFERROR(__xludf.DUMMYFUNCTION("""COMPUTED_VALUE"""),"Paul Mola (11)")</f>
        <v>Paul Mola (11)</v>
      </c>
      <c r="I113" t="str">
        <f>IFERROR(__xludf.DUMMYFUNCTION("""COMPUTED_VALUE"""),"James Wright (11)")</f>
        <v>James Wright (11)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1" t="s">
        <v>2</v>
      </c>
      <c r="B114">
        <f>IFERROR(__xludf.DUMMYFUNCTION("{IMPORTRANGE(""17CLUEFflDBSa8dyH5vsXfHme4RV8IhzD-mxe9_c9I5k"",""Round 3!C32:H36""),IMPORTRANGE(""17CLUEFflDBSa8dyH5vsXfHme4RV8IhzD-mxe9_c9I5k"",""Round 3!M32:R36"")}"),20.0)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1">
        <v>15.0</v>
      </c>
      <c r="B115">
        <f>IFERROR(__xludf.DUMMYFUNCTION("""COMPUTED_VALUE"""),0.0)</f>
        <v>0</v>
      </c>
      <c r="C115">
        <f>IFERROR(__xludf.DUMMYFUNCTION("""COMPUTED_VALUE"""),1.0)</f>
        <v>1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IFERROR(__xludf.DUMMYFUNCTION("""COMPUTED_VALUE"""),0.0)</f>
        <v>0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1">
        <v>10.0</v>
      </c>
      <c r="B116">
        <f>IFERROR(__xludf.DUMMYFUNCTION("""COMPUTED_VALUE"""),3.0)</f>
        <v>3</v>
      </c>
      <c r="C116">
        <f>IFERROR(__xludf.DUMMYFUNCTION("""COMPUTED_VALUE"""),6.0)</f>
        <v>6</v>
      </c>
      <c r="D116">
        <f>IFERROR(__xludf.DUMMYFUNCTION("""COMPUTED_VALUE"""),2.0)</f>
        <v>2</v>
      </c>
      <c r="E116">
        <f>IFERROR(__xludf.DUMMYFUNCTION("""COMPUTED_VALUE"""),1.0)</f>
        <v>1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IFERROR(__xludf.DUMMYFUNCTION("""COMPUTED_VALUE"""),1.0)</f>
        <v>1</v>
      </c>
      <c r="I116">
        <f>IFERROR(__xludf.DUMMYFUNCTION("""COMPUTED_VALUE"""),1.0)</f>
        <v>1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1">
        <v>-5.0</v>
      </c>
      <c r="B117">
        <f>IFERROR(__xludf.DUMMYFUNCTION("""COMPUTED_VALUE"""),0.0)</f>
        <v>0</v>
      </c>
      <c r="C117">
        <f>IFERROR(__xludf.DUMMYFUNCTION("""COMPUTED_VALUE"""),3.0)</f>
        <v>3</v>
      </c>
      <c r="D117">
        <f>IFERROR(__xludf.DUMMYFUNCTION("""COMPUTED_VALUE"""),1.0)</f>
        <v>1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IFERROR(__xludf.DUMMYFUNCTION("""COMPUTED_VALUE"""),0.0)</f>
        <v>0</v>
      </c>
      <c r="I117">
        <f>IFERROR(__xludf.DUMMYFUNCTION("""COMPUTED_VALUE"""),1.0)</f>
        <v>1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1" t="s">
        <v>3</v>
      </c>
      <c r="B118">
        <f>IFERROR(__xludf.DUMMYFUNCTION("""COMPUTED_VALUE"""),30.0)</f>
        <v>30</v>
      </c>
      <c r="C118">
        <f>IFERROR(__xludf.DUMMYFUNCTION("""COMPUTED_VALUE"""),60.0)</f>
        <v>60</v>
      </c>
      <c r="D118">
        <f>IFERROR(__xludf.DUMMYFUNCTION("""COMPUTED_VALUE"""),15.0)</f>
        <v>15</v>
      </c>
      <c r="E118">
        <f>IFERROR(__xludf.DUMMYFUNCTION("""COMPUTED_VALUE"""),10.0)</f>
        <v>10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IFERROR(__xludf.DUMMYFUNCTION("""COMPUTED_VALUE"""),10.0)</f>
        <v>10</v>
      </c>
      <c r="I118">
        <f>IFERROR(__xludf.DUMMYFUNCTION("""COMPUTED_VALUE"""),5.0)</f>
        <v>5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2" t="str">
        <f>IFERROR(__xludf.DUMMYFUNCTION("IMPORTRANGE(""17CLUEFflDBSa8dyH5vsXfHme4RV8IhzD-mxe9_c9I5k"",""Round 3!W1"")"),"Question: 21")</f>
        <v>Question: 21</v>
      </c>
      <c r="B119" s="3" t="s">
        <v>31</v>
      </c>
    </row>
    <row r="120">
      <c r="A120" s="2"/>
    </row>
    <row r="121">
      <c r="A121" s="1" t="s">
        <v>32</v>
      </c>
      <c r="B121" t="str">
        <f>IFERROR(__xludf.DUMMYFUNCTION("{IMPORTRANGE(""1Knt8XDGFY_MP2OzeadT1pDENTLOdk9Ab_Rd9IdW0kzc"",""Round 3!C1:H3""),IMPORTRANGE(""1Knt8XDGFY_MP2OzeadT1pDENTLOdk9Ab_Rd9IdW0kzc"",""Round 3!M1:R3"")}"),"Santa Monica B (V)")</f>
        <v>Santa Monica B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IFERROR(__xludf.DUMMYFUNCTION("""COMPUTED_VALUE"""),"Scripps Ranch A (V)")</f>
        <v>Scripps Ranch A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2" t="str">
        <f>IFERROR(__xludf.DUMMYFUNCTION("CONCAT(""A BP: "",IMPORTRANGE(""1Knt8XDGFY_MP2OzeadT1pDENTLOdk9Ab_Rd9IdW0kzc"",""Round 3!I32""))"),"A BP: 100")</f>
        <v>A BP: 100</v>
      </c>
      <c r="B122" t="str">
        <f>IFERROR(__xludf.DUMMYFUNCTION("""COMPUTED_VALUE"""),"Score: 150")</f>
        <v>Score: 150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210")</f>
        <v>Score: 210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2" t="str">
        <f>IFERROR(__xludf.DUMMYFUNCTION("CONCAT(""B BP: "",IMPORTRANGE(""1Knt8XDGFY_MP2OzeadT1pDENTLOdk9Ab_Rd9IdW0kzc"",""Round 3!S32""))"),"B BP: 130")</f>
        <v>B BP: 130</v>
      </c>
      <c r="B123" t="str">
        <f>IFERROR(__xludf.DUMMYFUNCTION("""COMPUTED_VALUE"""),"Kethan Raman (10)")</f>
        <v>Kethan Raman (10)</v>
      </c>
      <c r="C123" t="str">
        <f>IFERROR(__xludf.DUMMYFUNCTION("""COMPUTED_VALUE"""),"Ethan Hopkins (10)")</f>
        <v>Ethan Hopkins (10)</v>
      </c>
      <c r="D123" t="str">
        <f>IFERROR(__xludf.DUMMYFUNCTION("""COMPUTED_VALUE"""),"Jacob Cohen (10)")</f>
        <v>Jacob Cohen (10)</v>
      </c>
      <c r="E123" t="str">
        <f>IFERROR(__xludf.DUMMYFUNCTION("""COMPUTED_VALUE"""),"Player 4")</f>
        <v>Player 4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IFERROR(__xludf.DUMMYFUNCTION("""COMPUTED_VALUE"""),"Jack Hoover (12)")</f>
        <v>Jack Hoover (12)</v>
      </c>
      <c r="I123" t="str">
        <f>IFERROR(__xludf.DUMMYFUNCTION("""COMPUTED_VALUE"""),"Jeremy Ngo (12)")</f>
        <v>Jeremy Ngo (12)</v>
      </c>
      <c r="J123" t="str">
        <f>IFERROR(__xludf.DUMMYFUNCTION("""COMPUTED_VALUE"""),"Albert Gu (12)")</f>
        <v>Albert Gu (12)</v>
      </c>
      <c r="K123" t="str">
        <f>IFERROR(__xludf.DUMMYFUNCTION("""COMPUTED_VALUE"""),"Player 4")</f>
        <v>Player 4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1" t="s">
        <v>2</v>
      </c>
      <c r="B124">
        <f>IFERROR(__xludf.DUMMYFUNCTION("{IMPORTRANGE(""1Knt8XDGFY_MP2OzeadT1pDENTLOdk9Ab_Rd9IdW0kzc"",""Round 3!C32:H36""),IMPORTRANGE(""1Knt8XDGFY_MP2OzeadT1pDENTLOdk9Ab_Rd9IdW0kzc"",""Round 3!M32:R36"")}"),20.0)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1">
        <v>15.0</v>
      </c>
      <c r="B125">
        <f>IFERROR(__xludf.DUMMYFUNCTION("""COMPUTED_VALUE"""),0.0)</f>
        <v>0</v>
      </c>
      <c r="C125">
        <f>IFERROR(__xludf.DUMMYFUNCTION("""COMPUTED_VALUE"""),0.0)</f>
        <v>0</v>
      </c>
      <c r="D125">
        <f>IFERROR(__xludf.DUMMYFUNCTION("""COMPUTED_VALUE"""),0.0)</f>
        <v>0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1">
        <v>10.0</v>
      </c>
      <c r="B126">
        <f>IFERROR(__xludf.DUMMYFUNCTION("""COMPUTED_VALUE"""),4.0)</f>
        <v>4</v>
      </c>
      <c r="C126">
        <f>IFERROR(__xludf.DUMMYFUNCTION("""COMPUTED_VALUE"""),0.0)</f>
        <v>0</v>
      </c>
      <c r="D126">
        <f>IFERROR(__xludf.DUMMYFUNCTION("""COMPUTED_VALUE"""),3.0)</f>
        <v>3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IFERROR(__xludf.DUMMYFUNCTION("""COMPUTED_VALUE"""),1.0)</f>
        <v>1</v>
      </c>
      <c r="I126">
        <f>IFERROR(__xludf.DUMMYFUNCTION("""COMPUTED_VALUE"""),4.0)</f>
        <v>4</v>
      </c>
      <c r="J126">
        <f>IFERROR(__xludf.DUMMYFUNCTION("""COMPUTED_VALUE"""),5.0)</f>
        <v>5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1">
        <v>-5.0</v>
      </c>
      <c r="B127">
        <f>IFERROR(__xludf.DUMMYFUNCTION("""COMPUTED_VALUE"""),3.0)</f>
        <v>3</v>
      </c>
      <c r="C127">
        <f>IFERROR(__xludf.DUMMYFUNCTION("""COMPUTED_VALUE"""),0.0)</f>
        <v>0</v>
      </c>
      <c r="D127">
        <f>IFERROR(__xludf.DUMMYFUNCTION("""COMPUTED_VALUE"""),1.0)</f>
        <v>1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IFERROR(__xludf.DUMMYFUNCTION("""COMPUTED_VALUE"""),1.0)</f>
        <v>1</v>
      </c>
      <c r="I127">
        <f>IFERROR(__xludf.DUMMYFUNCTION("""COMPUTED_VALUE"""),0.0)</f>
        <v>0</v>
      </c>
      <c r="J127">
        <f>IFERROR(__xludf.DUMMYFUNCTION("""COMPUTED_VALUE"""),3.0)</f>
        <v>3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1" t="s">
        <v>3</v>
      </c>
      <c r="B128">
        <f>IFERROR(__xludf.DUMMYFUNCTION("""COMPUTED_VALUE"""),25.0)</f>
        <v>25</v>
      </c>
      <c r="C128">
        <f>IFERROR(__xludf.DUMMYFUNCTION("""COMPUTED_VALUE"""),0.0)</f>
        <v>0</v>
      </c>
      <c r="D128">
        <f>IFERROR(__xludf.DUMMYFUNCTION("""COMPUTED_VALUE"""),25.0)</f>
        <v>25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IFERROR(__xludf.DUMMYFUNCTION("""COMPUTED_VALUE"""),5.0)</f>
        <v>5</v>
      </c>
      <c r="I128">
        <f>IFERROR(__xludf.DUMMYFUNCTION("""COMPUTED_VALUE"""),40.0)</f>
        <v>40</v>
      </c>
      <c r="J128">
        <f>IFERROR(__xludf.DUMMYFUNCTION("""COMPUTED_VALUE"""),35.0)</f>
        <v>35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2" t="str">
        <f>IFERROR(__xludf.DUMMYFUNCTION("IMPORTRANGE(""1Knt8XDGFY_MP2OzeadT1pDENTLOdk9Ab_Rd9IdW0kzc"",""Round 3!W1"")"),"Question: 21")</f>
        <v>Question: 21</v>
      </c>
      <c r="B129" s="3" t="s">
        <v>33</v>
      </c>
    </row>
    <row r="130">
      <c r="A130" s="2"/>
    </row>
    <row r="131">
      <c r="A131" s="1" t="s">
        <v>34</v>
      </c>
      <c r="B131" t="str">
        <f>IFERROR(__xludf.DUMMYFUNCTION("{IMPORTRANGE(""16i4gsLDaJasgGgtJt27HweoboYNaal3qpX3MtxIR2f0"",""Round 3!C1:H3""),IMPORTRANGE(""16i4gsLDaJasgGgtJt27HweoboYNaal3qpX3MtxIR2f0"",""Round 3!M1:R3"")}"),"Westview A (V)")</f>
        <v>Westview A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IFERROR(__xludf.DUMMYFUNCTION("""COMPUTED_VALUE"""),"Cathedral Catholic (V)")</f>
        <v>Cathedral Catholic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2" t="str">
        <f>IFERROR(__xludf.DUMMYFUNCTION("CONCAT(""A BP: "",IMPORTRANGE(""16i4gsLDaJasgGgtJt27HweoboYNaal3qpX3MtxIR2f0"",""Round 3!I32""))"),"A BP: 300")</f>
        <v>A BP: 300</v>
      </c>
      <c r="B132" t="str">
        <f>IFERROR(__xludf.DUMMYFUNCTION("""COMPUTED_VALUE"""),"Score: 455")</f>
        <v>Score: 455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55")</f>
        <v>Score: 55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2" t="str">
        <f>IFERROR(__xludf.DUMMYFUNCTION("CONCAT(""B BP: "",IMPORTRANGE(""16i4gsLDaJasgGgtJt27HweoboYNaal3qpX3MtxIR2f0"",""Round 3!S32""))"),"B BP: 30")</f>
        <v>B BP: 30</v>
      </c>
      <c r="B133" t="str">
        <f>IFERROR(__xludf.DUMMYFUNCTION("""COMPUTED_VALUE"""),"Shahar Schwartz (12)")</f>
        <v>Shahar Schwartz (12)</v>
      </c>
      <c r="C133" t="str">
        <f>IFERROR(__xludf.DUMMYFUNCTION("""COMPUTED_VALUE"""),"Junu Song (12)")</f>
        <v>Junu Song (12)</v>
      </c>
      <c r="D133" t="str">
        <f>IFERROR(__xludf.DUMMYFUNCTION("""COMPUTED_VALUE"""),"Daniel Jung (12)")</f>
        <v>Daniel Jung (12)</v>
      </c>
      <c r="E133" t="str">
        <f>IFERROR(__xludf.DUMMYFUNCTION("""COMPUTED_VALUE"""),"Gary Lin (11)")</f>
        <v>Gary Lin (11)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IFERROR(__xludf.DUMMYFUNCTION("""COMPUTED_VALUE"""),"Ryan Shakiba (10)")</f>
        <v>Ryan Shakiba (10)</v>
      </c>
      <c r="I133" t="str">
        <f>IFERROR(__xludf.DUMMYFUNCTION("""COMPUTED_VALUE"""),"Mikayla Nang (11)")</f>
        <v>Mikayla Nang (11)</v>
      </c>
      <c r="J133" t="str">
        <f>IFERROR(__xludf.DUMMYFUNCTION("""COMPUTED_VALUE"""),"Jacob Titcomb (11)")</f>
        <v>Jacob Titcomb (11)</v>
      </c>
      <c r="K133" t="str">
        <f>IFERROR(__xludf.DUMMYFUNCTION("""COMPUTED_VALUE"""),"Sinead Archdeacon (10)")</f>
        <v>Sinead Archdeacon (10)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1" t="s">
        <v>2</v>
      </c>
      <c r="B134">
        <f>IFERROR(__xludf.DUMMYFUNCTION("{IMPORTRANGE(""16i4gsLDaJasgGgtJt27HweoboYNaal3qpX3MtxIR2f0"",""Round 3!C32:H36""),IMPORTRANGE(""16i4gsLDaJasgGgtJt27HweoboYNaal3qpX3MtxIR2f0"",""Round 3!M32:R36"")}"),20.0)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1">
        <v>15.0</v>
      </c>
      <c r="B135">
        <f>IFERROR(__xludf.DUMMYFUNCTION("""COMPUTED_VALUE"""),3.0)</f>
        <v>3</v>
      </c>
      <c r="C135">
        <f>IFERROR(__xludf.DUMMYFUNCTION("""COMPUTED_VALUE"""),0.0)</f>
        <v>0</v>
      </c>
      <c r="D135">
        <f>IFERROR(__xludf.DUMMYFUNCTION("""COMPUTED_VALUE"""),1.0)</f>
        <v>1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IFERROR(__xludf.DUMMYFUNCTION("""COMPUTED_VALUE"""),0.0)</f>
        <v>0</v>
      </c>
      <c r="I135">
        <f>IFERROR(__xludf.DUMMYFUNCTION("""COMPUTED_VALUE"""),0.0)</f>
        <v>0</v>
      </c>
      <c r="J135">
        <f>IFERROR(__xludf.DUMMYFUNCTION("""COMPUTED_VALUE"""),1.0)</f>
        <v>1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1">
        <v>10.0</v>
      </c>
      <c r="B136">
        <f>IFERROR(__xludf.DUMMYFUNCTION("""COMPUTED_VALUE"""),1.0)</f>
        <v>1</v>
      </c>
      <c r="C136">
        <f>IFERROR(__xludf.DUMMYFUNCTION("""COMPUTED_VALUE"""),6.0)</f>
        <v>6</v>
      </c>
      <c r="D136">
        <f>IFERROR(__xludf.DUMMYFUNCTION("""COMPUTED_VALUE"""),1.0)</f>
        <v>1</v>
      </c>
      <c r="E136">
        <f>IFERROR(__xludf.DUMMYFUNCTION("""COMPUTED_VALUE"""),3.0)</f>
        <v>3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IFERROR(__xludf.DUMMYFUNCTION("""COMPUTED_VALUE"""),1.0)</f>
        <v>1</v>
      </c>
      <c r="I136">
        <f>IFERROR(__xludf.DUMMYFUNCTION("""COMPUTED_VALUE"""),0.0)</f>
        <v>0</v>
      </c>
      <c r="J136">
        <f>IFERROR(__xludf.DUMMYFUNCTION("""COMPUTED_VALUE"""),0.0)</f>
        <v>0</v>
      </c>
      <c r="K136">
        <f>IFERROR(__xludf.DUMMYFUNCTION("""COMPUTED_VALUE"""),1.0)</f>
        <v>1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1">
        <v>-5.0</v>
      </c>
      <c r="B137">
        <f>IFERROR(__xludf.DUMMYFUNCTION("""COMPUTED_VALUE"""),2.0)</f>
        <v>2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IFERROR(__xludf.DUMMYFUNCTION("""COMPUTED_VALUE"""),1.0)</f>
        <v>1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IFERROR(__xludf.DUMMYFUNCTION("""COMPUTED_VALUE"""),2.0)</f>
        <v>2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1" t="s">
        <v>3</v>
      </c>
      <c r="B138">
        <f>IFERROR(__xludf.DUMMYFUNCTION("""COMPUTED_VALUE"""),45.0)</f>
        <v>45</v>
      </c>
      <c r="C138">
        <f>IFERROR(__xludf.DUMMYFUNCTION("""COMPUTED_VALUE"""),60.0)</f>
        <v>60</v>
      </c>
      <c r="D138">
        <f>IFERROR(__xludf.DUMMYFUNCTION("""COMPUTED_VALUE"""),25.0)</f>
        <v>25</v>
      </c>
      <c r="E138">
        <f>IFERROR(__xludf.DUMMYFUNCTION("""COMPUTED_VALUE"""),25.0)</f>
        <v>25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IFERROR(__xludf.DUMMYFUNCTION("""COMPUTED_VALUE"""),0.0)</f>
        <v>0</v>
      </c>
      <c r="I138">
        <f>IFERROR(__xludf.DUMMYFUNCTION("""COMPUTED_VALUE"""),0.0)</f>
        <v>0</v>
      </c>
      <c r="J138">
        <f>IFERROR(__xludf.DUMMYFUNCTION("""COMPUTED_VALUE"""),15.0)</f>
        <v>15</v>
      </c>
      <c r="K138">
        <f>IFERROR(__xludf.DUMMYFUNCTION("""COMPUTED_VALUE"""),10.0)</f>
        <v>10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2" t="str">
        <f>IFERROR(__xludf.DUMMYFUNCTION("IMPORTRANGE(""16i4gsLDaJasgGgtJt27HweoboYNaal3qpX3MtxIR2f0"",""Round 3!W1"")"),"Question: 21")</f>
        <v>Question: 21</v>
      </c>
      <c r="B139" s="3" t="s">
        <v>35</v>
      </c>
    </row>
    <row r="140">
      <c r="A140" s="2"/>
    </row>
    <row r="141">
      <c r="A141" s="1" t="s">
        <v>36</v>
      </c>
      <c r="B141" t="str">
        <f>IFERROR(__xludf.DUMMYFUNCTION("{IMPORTRANGE(""1KRyI2c190uhOTF270Hsdzh1rgG565QIaE9TymteaGNY"",""Round 3!C1:H3""),IMPORTRANGE(""1KRyI2c190uhOTF270Hsdzh1rgG565QIaE9TymteaGNY"",""Round 3!M1:R3"")}"),"Canyon Crest A (V)")</f>
        <v>Canyon Crest A (V)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IFERROR(__xludf.DUMMYFUNCTION("""COMPUTED_VALUE"""),"Troy A (V)")</f>
        <v>Troy A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2" t="str">
        <f>IFERROR(__xludf.DUMMYFUNCTION("CONCAT(""A BP: "",IMPORTRANGE(""1KRyI2c190uhOTF270Hsdzh1rgG565QIaE9TymteaGNY"",""Round 3!I32""))"),"A BP: 320")</f>
        <v>A BP: 320</v>
      </c>
      <c r="B142" t="str">
        <f>IFERROR(__xludf.DUMMYFUNCTION("""COMPUTED_VALUE"""),"Score: 490")</f>
        <v>Score: 490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80")</f>
        <v>Score: 80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2" t="str">
        <f>IFERROR(__xludf.DUMMYFUNCTION("CONCAT(""B BP: "",IMPORTRANGE(""1KRyI2c190uhOTF270Hsdzh1rgG565QIaE9TymteaGNY"",""Round 3!S32""))"),"B BP: 50")</f>
        <v>B BP: 50</v>
      </c>
      <c r="B143" t="str">
        <f>IFERROR(__xludf.DUMMYFUNCTION("""COMPUTED_VALUE"""),"Raymond Song (12)")</f>
        <v>Raymond Song (12)</v>
      </c>
      <c r="C143" t="str">
        <f>IFERROR(__xludf.DUMMYFUNCTION("""COMPUTED_VALUE"""),"Wesley Zhang (12)")</f>
        <v>Wesley Zhang (12)</v>
      </c>
      <c r="D143" t="str">
        <f>IFERROR(__xludf.DUMMYFUNCTION("""COMPUTED_VALUE"""),"Leo Gu (10)")</f>
        <v>Leo Gu (10)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IFERROR(__xludf.DUMMYFUNCTION("""COMPUTED_VALUE"""),"Luke Park (11)")</f>
        <v>Luke Park (11)</v>
      </c>
      <c r="I143" t="str">
        <f>IFERROR(__xludf.DUMMYFUNCTION("""COMPUTED_VALUE"""),"Tyler Kim (11)")</f>
        <v>Tyler Kim (11)</v>
      </c>
      <c r="J143" t="str">
        <f>IFERROR(__xludf.DUMMYFUNCTION("""COMPUTED_VALUE"""),"Henry Tang (10)")</f>
        <v>Henry Tang (10)</v>
      </c>
      <c r="K143" t="str">
        <f>IFERROR(__xludf.DUMMYFUNCTION("""COMPUTED_VALUE"""),"Daniel Shin (10)")</f>
        <v>Daniel Shin (10)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1" t="s">
        <v>2</v>
      </c>
      <c r="B144">
        <f>IFERROR(__xludf.DUMMYFUNCTION("{IMPORTRANGE(""1KRyI2c190uhOTF270Hsdzh1rgG565QIaE9TymteaGNY"",""Round 3!C32:H36""),IMPORTRANGE(""1KRyI2c190uhOTF270Hsdzh1rgG565QIaE9TymteaGNY"",""Round 3!M32:R36"")}"),16.0)</f>
        <v>16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1">
        <v>15.0</v>
      </c>
      <c r="B145">
        <f>IFERROR(__xludf.DUMMYFUNCTION("""COMPUTED_VALUE"""),3.0)</f>
        <v>3</v>
      </c>
      <c r="C145">
        <f>IFERROR(__xludf.DUMMYFUNCTION("""COMPUTED_VALUE"""),3.0)</f>
        <v>3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1">
        <v>10.0</v>
      </c>
      <c r="B146">
        <f>IFERROR(__xludf.DUMMYFUNCTION("""COMPUTED_VALUE"""),5.0)</f>
        <v>5</v>
      </c>
      <c r="C146">
        <f>IFERROR(__xludf.DUMMYFUNCTION("""COMPUTED_VALUE"""),3.0)</f>
        <v>3</v>
      </c>
      <c r="D146">
        <f>IFERROR(__xludf.DUMMYFUNCTION("""COMPUTED_VALUE"""),1.0)</f>
        <v>1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IFERROR(__xludf.DUMMYFUNCTION("""COMPUTED_VALUE"""),2.0)</f>
        <v>2</v>
      </c>
      <c r="I146">
        <f>IFERROR(__xludf.DUMMYFUNCTION("""COMPUTED_VALUE"""),0.0)</f>
        <v>0</v>
      </c>
      <c r="J146">
        <f>IFERROR(__xludf.DUMMYFUNCTION("""COMPUTED_VALUE"""),1.0)</f>
        <v>1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1">
        <v>-5.0</v>
      </c>
      <c r="B147">
        <f>IFERROR(__xludf.DUMMYFUNCTION("""COMPUTED_VALUE"""),1.0)</f>
        <v>1</v>
      </c>
      <c r="C147">
        <f>IFERROR(__xludf.DUMMYFUNCTION("""COMPUTED_VALUE"""),1.0)</f>
        <v>1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IFERROR(__xludf.DUMMYFUNCTION("""COMPUTED_VALUE"""),0.0)</f>
        <v>0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1" t="s">
        <v>3</v>
      </c>
      <c r="B148">
        <f>IFERROR(__xludf.DUMMYFUNCTION("""COMPUTED_VALUE"""),90.0)</f>
        <v>90</v>
      </c>
      <c r="C148">
        <f>IFERROR(__xludf.DUMMYFUNCTION("""COMPUTED_VALUE"""),70.0)</f>
        <v>70</v>
      </c>
      <c r="D148">
        <f>IFERROR(__xludf.DUMMYFUNCTION("""COMPUTED_VALUE"""),10.0)</f>
        <v>10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IFERROR(__xludf.DUMMYFUNCTION("""COMPUTED_VALUE"""),20.0)</f>
        <v>20</v>
      </c>
      <c r="I148">
        <f>IFERROR(__xludf.DUMMYFUNCTION("""COMPUTED_VALUE"""),0.0)</f>
        <v>0</v>
      </c>
      <c r="J148">
        <f>IFERROR(__xludf.DUMMYFUNCTION("""COMPUTED_VALUE"""),10.0)</f>
        <v>10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2" t="str">
        <f>IFERROR(__xludf.DUMMYFUNCTION("IMPORTRANGE(""1KRyI2c190uhOTF270Hsdzh1rgG565QIaE9TymteaGNY"",""Round 3!W1"")"),"Question: 21")</f>
        <v>Question: 21</v>
      </c>
      <c r="B149" s="3" t="s">
        <v>37</v>
      </c>
    </row>
    <row r="150">
      <c r="A150" s="2"/>
    </row>
    <row r="151">
      <c r="A151" s="1" t="s">
        <v>38</v>
      </c>
      <c r="B151" t="str">
        <f>IFERROR(__xludf.DUMMYFUNCTION("{IMPORTRANGE(""1zr0uYCpJ5izByVOUCsr6JXezthGEdLXnwOrjIKGx5XI"",""Round 3!C1:H3""),IMPORTRANGE(""1zr0uYCpJ5izByVOUCsr6JXezthGEdLXnwOrjIKGx5XI"",""Round 3!M1:R3"")}"),"Santa Monica A (V)")</f>
        <v>Santa Monica A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IFERROR(__xludf.DUMMYFUNCTION("""COMPUTED_VALUE"""),"Canyon Crest B (V)")</f>
        <v>Canyon Crest B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2" t="str">
        <f>IFERROR(__xludf.DUMMYFUNCTION("CONCAT(""A BP: "",IMPORTRANGE(""1zr0uYCpJ5izByVOUCsr6JXezthGEdLXnwOrjIKGx5XI"",""Round 3!I32""))"),"A BP: 70")</f>
        <v>A BP: 70</v>
      </c>
      <c r="B152" t="str">
        <f>IFERROR(__xludf.DUMMYFUNCTION("""COMPUTED_VALUE"""),"Score: 105")</f>
        <v>Score: 105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345")</f>
        <v>Score: 345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2" t="str">
        <f>IFERROR(__xludf.DUMMYFUNCTION("CONCAT(""B BP: "",IMPORTRANGE(""1zr0uYCpJ5izByVOUCsr6JXezthGEdLXnwOrjIKGx5XI"",""Round 3!S32""))"),"B BP: 220")</f>
        <v>B BP: 220</v>
      </c>
      <c r="B153" t="str">
        <f>IFERROR(__xludf.DUMMYFUNCTION("""COMPUTED_VALUE"""),"Josh Xu (11)")</f>
        <v>Josh Xu (11)</v>
      </c>
      <c r="C153" t="str">
        <f>IFERROR(__xludf.DUMMYFUNCTION("""COMPUTED_VALUE"""),"Player 2")</f>
        <v>Player 2</v>
      </c>
      <c r="D153" t="str">
        <f>IFERROR(__xludf.DUMMYFUNCTION("""COMPUTED_VALUE"""),"Player 3")</f>
        <v>Player 3</v>
      </c>
      <c r="E153" t="str">
        <f>IFERROR(__xludf.DUMMYFUNCTION("""COMPUTED_VALUE"""),"Player 4")</f>
        <v>Player 4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IFERROR(__xludf.DUMMYFUNCTION("""COMPUTED_VALUE"""),"Shreyank Kadadi (12)")</f>
        <v>Shreyank Kadadi (12)</v>
      </c>
      <c r="I153" t="str">
        <f>IFERROR(__xludf.DUMMYFUNCTION("""COMPUTED_VALUE"""),"Jonathan Hsieh (12)")</f>
        <v>Jonathan Hsieh (12)</v>
      </c>
      <c r="J153" t="str">
        <f>IFERROR(__xludf.DUMMYFUNCTION("""COMPUTED_VALUE"""),"Kevin Luo (10)")</f>
        <v>Kevin Luo (10)</v>
      </c>
      <c r="K153" t="str">
        <f>IFERROR(__xludf.DUMMYFUNCTION("""COMPUTED_VALUE"""),"Player 4")</f>
        <v>Player 4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1" t="s">
        <v>2</v>
      </c>
      <c r="B154">
        <f>IFERROR(__xludf.DUMMYFUNCTION("{IMPORTRANGE(""1zr0uYCpJ5izByVOUCsr6JXezthGEdLXnwOrjIKGx5XI"",""Round 3!C32:H36""),IMPORTRANGE(""1zr0uYCpJ5izByVOUCsr6JXezthGEdLXnwOrjIKGx5XI"",""Round 3!M32:R36"")}"),20.0)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1">
        <v>15.0</v>
      </c>
      <c r="B155">
        <f>IFERROR(__xludf.DUMMYFUNCTION("""COMPUTED_VALUE"""),1.0)</f>
        <v>1</v>
      </c>
      <c r="C155">
        <f>IFERROR(__xludf.DUMMYFUNCTION("""COMPUTED_VALUE"""),0.0)</f>
        <v>0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IFERROR(__xludf.DUMMYFUNCTION("""COMPUTED_VALUE"""),1.0)</f>
        <v>1</v>
      </c>
      <c r="I155">
        <f>IFERROR(__xludf.DUMMYFUNCTION("""COMPUTED_VALUE"""),1.0)</f>
        <v>1</v>
      </c>
      <c r="J155">
        <f>IFERROR(__xludf.DUMMYFUNCTION("""COMPUTED_VALUE"""),1.0)</f>
        <v>1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1">
        <v>10.0</v>
      </c>
      <c r="B156">
        <f>IFERROR(__xludf.DUMMYFUNCTION("""COMPUTED_VALUE"""),4.0)</f>
        <v>4</v>
      </c>
      <c r="C156">
        <f>IFERROR(__xludf.DUMMYFUNCTION("""COMPUTED_VALUE"""),0.0)</f>
        <v>0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IFERROR(__xludf.DUMMYFUNCTION("""COMPUTED_VALUE"""),5.0)</f>
        <v>5</v>
      </c>
      <c r="I156">
        <f>IFERROR(__xludf.DUMMYFUNCTION("""COMPUTED_VALUE"""),2.0)</f>
        <v>2</v>
      </c>
      <c r="J156">
        <f>IFERROR(__xludf.DUMMYFUNCTION("""COMPUTED_VALUE"""),3.0)</f>
        <v>3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1">
        <v>-5.0</v>
      </c>
      <c r="B157">
        <f>IFERROR(__xludf.DUMMYFUNCTION("""COMPUTED_VALUE"""),4.0)</f>
        <v>4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IFERROR(__xludf.DUMMYFUNCTION("""COMPUTED_VALUE"""),1.0)</f>
        <v>1</v>
      </c>
      <c r="I157">
        <f>IFERROR(__xludf.DUMMYFUNCTION("""COMPUTED_VALUE"""),2.0)</f>
        <v>2</v>
      </c>
      <c r="J157">
        <f>IFERROR(__xludf.DUMMYFUNCTION("""COMPUTED_VALUE"""),1.0)</f>
        <v>1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1" t="s">
        <v>3</v>
      </c>
      <c r="B158">
        <f>IFERROR(__xludf.DUMMYFUNCTION("""COMPUTED_VALUE"""),35.0)</f>
        <v>35</v>
      </c>
      <c r="C158">
        <f>IFERROR(__xludf.DUMMYFUNCTION("""COMPUTED_VALUE"""),0.0)</f>
        <v>0</v>
      </c>
      <c r="D158">
        <f>IFERROR(__xludf.DUMMYFUNCTION("""COMPUTED_VALUE"""),0.0)</f>
        <v>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IFERROR(__xludf.DUMMYFUNCTION("""COMPUTED_VALUE"""),60.0)</f>
        <v>60</v>
      </c>
      <c r="I158">
        <f>IFERROR(__xludf.DUMMYFUNCTION("""COMPUTED_VALUE"""),25.0)</f>
        <v>25</v>
      </c>
      <c r="J158">
        <f>IFERROR(__xludf.DUMMYFUNCTION("""COMPUTED_VALUE"""),40.0)</f>
        <v>40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2" t="str">
        <f>IFERROR(__xludf.DUMMYFUNCTION("IMPORTRANGE(""1zr0uYCpJ5izByVOUCsr6JXezthGEdLXnwOrjIKGx5XI"",""Round 3!W1"")"),"Question: 21")</f>
        <v>Question: 21</v>
      </c>
      <c r="B159" s="3" t="s">
        <v>39</v>
      </c>
    </row>
    <row r="160">
      <c r="A160" s="2"/>
    </row>
    <row r="161">
      <c r="A161" s="1" t="s">
        <v>40</v>
      </c>
      <c r="B161" t="str">
        <f>IFERROR(__xludf.DUMMYFUNCTION("{IMPORTRANGE(""1TVrjNI5RE1VozIr906BhaTKMFP0VPx8aUGpyt_loukE"",""Round 3!C1:H3""),IMPORTRANGE(""1TVrjNI5RE1VozIr906BhaTKMFP0VPx8aUGpyt_loukE"",""Round 3!M1:R3"")}"),"Arcadia (V)")</f>
        <v>Arcadia (V)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IFERROR(__xludf.DUMMYFUNCTION("""COMPUTED_VALUE"""),"Westview B (V)")</f>
        <v>Westview B (V)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2" t="str">
        <f>IFERROR(__xludf.DUMMYFUNCTION("CONCAT(""A BP: "",IMPORTRANGE(""1TVrjNI5RE1VozIr906BhaTKMFP0VPx8aUGpyt_loukE"",""Round 3!I32""))"),"A BP: 290")</f>
        <v>A BP: 290</v>
      </c>
      <c r="B162" t="str">
        <f>IFERROR(__xludf.DUMMYFUNCTION("""COMPUTED_VALUE"""),"Score: 450")</f>
        <v>Score: 450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130")</f>
        <v>Score: 130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2" t="str">
        <f>IFERROR(__xludf.DUMMYFUNCTION("CONCAT(""B BP: "",IMPORTRANGE(""1TVrjNI5RE1VozIr906BhaTKMFP0VPx8aUGpyt_loukE"",""Round 3!S32""))"),"B BP: 100")</f>
        <v>B BP: 100</v>
      </c>
      <c r="B163" t="str">
        <f>IFERROR(__xludf.DUMMYFUNCTION("""COMPUTED_VALUE"""),"Amogh Kulkarni (10)")</f>
        <v>Amogh Kulkarni (10)</v>
      </c>
      <c r="C163" t="str">
        <f>IFERROR(__xludf.DUMMYFUNCTION("""COMPUTED_VALUE"""),"Michael Kwok (10)")</f>
        <v>Michael Kwok (10)</v>
      </c>
      <c r="D163" t="str">
        <f>IFERROR(__xludf.DUMMYFUNCTION("""COMPUTED_VALUE"""),"Sanjith Menon (10)")</f>
        <v>Sanjith Menon (10)</v>
      </c>
      <c r="E163" t="str">
        <f>IFERROR(__xludf.DUMMYFUNCTION("""COMPUTED_VALUE"""),"Ryan Sun (10)")</f>
        <v>Ryan Sun (10)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IFERROR(__xludf.DUMMYFUNCTION("""COMPUTED_VALUE"""),"Nicholas Dai (11)")</f>
        <v>Nicholas Dai (11)</v>
      </c>
      <c r="I163" t="str">
        <f>IFERROR(__xludf.DUMMYFUNCTION("""COMPUTED_VALUE"""),"Pramod Shastry (9)")</f>
        <v>Pramod Shastry (9)</v>
      </c>
      <c r="J163" t="str">
        <f>IFERROR(__xludf.DUMMYFUNCTION("""COMPUTED_VALUE"""),"Richard Lin (9)")</f>
        <v>Richard Lin (9)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1" t="s">
        <v>2</v>
      </c>
      <c r="B164">
        <f>IFERROR(__xludf.DUMMYFUNCTION("{IMPORTRANGE(""1TVrjNI5RE1VozIr906BhaTKMFP0VPx8aUGpyt_loukE"",""Round 3!C32:H36""),IMPORTRANGE(""1TVrjNI5RE1VozIr906BhaTKMFP0VPx8aUGpyt_loukE"",""Round 3!M32:R36"")}"),20.0)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1">
        <v>15.0</v>
      </c>
      <c r="B165">
        <f>IFERROR(__xludf.DUMMYFUNCTION("""COMPUTED_VALUE"""),3.0)</f>
        <v>3</v>
      </c>
      <c r="C165">
        <f>IFERROR(__xludf.DUMMYFUNCTION("""COMPUTED_VALUE"""),1.0)</f>
        <v>1</v>
      </c>
      <c r="D165">
        <f>IFERROR(__xludf.DUMMYFUNCTION("""COMPUTED_VALUE"""),0.0)</f>
        <v>0</v>
      </c>
      <c r="E165">
        <f>IFERROR(__xludf.DUMMYFUNCTION("""COMPUTED_VALUE"""),1.0)</f>
        <v>1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IFERROR(__xludf.DUMMYFUNCTION("""COMPUTED_VALUE"""),1.0)</f>
        <v>1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1">
        <v>10.0</v>
      </c>
      <c r="B166">
        <f>IFERROR(__xludf.DUMMYFUNCTION("""COMPUTED_VALUE"""),6.0)</f>
        <v>6</v>
      </c>
      <c r="C166">
        <f>IFERROR(__xludf.DUMMYFUNCTION("""COMPUTED_VALUE"""),3.0)</f>
        <v>3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IFERROR(__xludf.DUMMYFUNCTION("""COMPUTED_VALUE"""),1.0)</f>
        <v>1</v>
      </c>
      <c r="I166">
        <f>IFERROR(__xludf.DUMMYFUNCTION("""COMPUTED_VALUE"""),2.0)</f>
        <v>2</v>
      </c>
      <c r="J166">
        <f>IFERROR(__xludf.DUMMYFUNCTION("""COMPUTED_VALUE"""),1.0)</f>
        <v>1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1">
        <v>-5.0</v>
      </c>
      <c r="B167">
        <f>IFERROR(__xludf.DUMMYFUNCTION("""COMPUTED_VALUE"""),0.0)</f>
        <v>0</v>
      </c>
      <c r="C167">
        <f>IFERROR(__xludf.DUMMYFUNCTION("""COMPUTED_VALUE"""),1.0)</f>
        <v>1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IFERROR(__xludf.DUMMYFUNCTION("""COMPUTED_VALUE"""),3.0)</f>
        <v>3</v>
      </c>
      <c r="I167">
        <f>IFERROR(__xludf.DUMMYFUNCTION("""COMPUTED_VALUE"""),1.0)</f>
        <v>1</v>
      </c>
      <c r="J167">
        <f>IFERROR(__xludf.DUMMYFUNCTION("""COMPUTED_VALUE"""),1.0)</f>
        <v>1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1" t="s">
        <v>3</v>
      </c>
      <c r="B168">
        <f>IFERROR(__xludf.DUMMYFUNCTION("""COMPUTED_VALUE"""),105.0)</f>
        <v>105</v>
      </c>
      <c r="C168">
        <f>IFERROR(__xludf.DUMMYFUNCTION("""COMPUTED_VALUE"""),40.0)</f>
        <v>40</v>
      </c>
      <c r="D168">
        <f>IFERROR(__xludf.DUMMYFUNCTION("""COMPUTED_VALUE"""),0.0)</f>
        <v>0</v>
      </c>
      <c r="E168">
        <f>IFERROR(__xludf.DUMMYFUNCTION("""COMPUTED_VALUE"""),15.0)</f>
        <v>15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IFERROR(__xludf.DUMMYFUNCTION("""COMPUTED_VALUE"""),-5.0)</f>
        <v>-5</v>
      </c>
      <c r="I168">
        <f>IFERROR(__xludf.DUMMYFUNCTION("""COMPUTED_VALUE"""),30.0)</f>
        <v>30</v>
      </c>
      <c r="J168">
        <f>IFERROR(__xludf.DUMMYFUNCTION("""COMPUTED_VALUE"""),5.0)</f>
        <v>5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2" t="str">
        <f>IFERROR(__xludf.DUMMYFUNCTION("IMPORTRANGE(""1TVrjNI5RE1VozIr906BhaTKMFP0VPx8aUGpyt_loukE"",""Round 3!W1"")"),"Question: 21")</f>
        <v>Question: 21</v>
      </c>
      <c r="B169" s="3" t="s">
        <v>41</v>
      </c>
    </row>
    <row r="170">
      <c r="A170" s="2"/>
    </row>
    <row r="171">
      <c r="A171" s="1" t="s">
        <v>42</v>
      </c>
      <c r="B171" t="str">
        <f>IFERROR(__xludf.DUMMYFUNCTION("{IMPORTRANGE(""1xRz0po-ejgp-QRvMkY44z3u2CePgTccasdyrrVALbmE"",""Round 3!C1:H3""),IMPORTRANGE(""1xRz0po-ejgp-QRvMkY44z3u2CePgTccasdyrrVALbmE"",""Round 3!M1:R3"")}"),"Team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2" t="str">
        <f>IFERROR(__xludf.DUMMYFUNCTION("CONCAT(""A BP: "",IMPORTRANGE(""1xRz0po-ejgp-QRvMkY44z3u2CePgTccasdyrrVALbmE"",""Round 3!I32""))"),"A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2" t="str">
        <f>IFERROR(__xludf.DUMMYFUNCTION("CONCAT(""B BP: "",IMPORTRANGE(""1xRz0po-ejgp-QRvMkY44z3u2CePgTccasdyrrVALbmE"",""Round 3!S32""))"),"B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1" t="s">
        <v>2</v>
      </c>
      <c r="B174">
        <f>IFERROR(__xludf.DUMMYFUNCTION("{IMPORTRANGE(""1xRz0po-ejgp-QRvMkY44z3u2CePgTccasdyrrVALbmE"",""Round 3!C32:H36""),IMPORTRANGE(""1xRz0po-ejgp-QRvMkY44z3u2CePgTccasdyrrVALbmE"",""Round 3!M32:R36"")}"),20.0)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1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1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1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1" t="s">
        <v>3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2" t="str">
        <f>IFERROR(__xludf.DUMMYFUNCTION("IMPORTRANGE(""1xRz0po-ejgp-QRvMkY44z3u2CePgTccasdyrrVALbmE"",""Round 3!W1"")"),"Question: 1")</f>
        <v>Question: 1</v>
      </c>
      <c r="B179" s="3" t="s">
        <v>43</v>
      </c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 t="s">
        <v>0</v>
      </c>
      <c r="B1" t="str">
        <f>IFERROR(__xludf.DUMMYFUNCTION("{IMPORTRANGE(""1JXwZ4AjXctyKvWy9qFKCX518NRYJYhSX9Jii0HPBCUs"",""Round 4!C1:H3""),IMPORTRANGE(""1JXwZ4AjXctyKvWy9qFKCX518NRYJYhSX9Jii0HPBCUs"",""Round 4!M1:R3"")}"),"Team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2" t="str">
        <f>IFERROR(__xludf.DUMMYFUNCTION("CONCAT(""A BP: "",IMPORTRANGE(""1JXwZ4AjXctyKvWy9qFKCX518NRYJYhSX9Jii0HPBCUs"",""Round 4!I32""))"),"A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2" t="str">
        <f>IFERROR(__xludf.DUMMYFUNCTION("CONCAT(""B BP: "",IMPORTRANGE(""1JXwZ4AjXctyKvWy9qFKCX518NRYJYhSX9Jii0HPBCUs"",""Round 4!S32""))"),"B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1" t="s">
        <v>2</v>
      </c>
      <c r="B4">
        <f>IFERROR(__xludf.DUMMYFUNCTION("{IMPORTRANGE(""1JXwZ4AjXctyKvWy9qFKCX518NRYJYhSX9Jii0HPBCUs"",""Round 4!C32:H36""),IMPORTRANGE(""1JXwZ4AjXctyKvWy9qFKCX518NRYJYhSX9Jii0HPBCUs"",""Round 4!M32:R36"")}"),20.0)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1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1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1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1" t="s">
        <v>3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2" t="str">
        <f>IFERROR(__xludf.DUMMYFUNCTION("IMPORTRANGE(""1JXwZ4AjXctyKvWy9qFKCX518NRYJYhSX9Jii0HPBCUs"",""Round 4!W1"")"),"Question: 1")</f>
        <v>Question: 1</v>
      </c>
      <c r="B9" s="3" t="s">
        <v>4</v>
      </c>
    </row>
    <row r="10">
      <c r="A10" s="1"/>
    </row>
    <row r="11">
      <c r="A11" s="1" t="s">
        <v>5</v>
      </c>
      <c r="B11" t="str">
        <f>IFERROR(__xludf.DUMMYFUNCTION("{IMPORTRANGE(""1GBDUn_ZojNLX5OJCVBEhvJbdm0c55Z7lPcE4L6WH89o"",""Round 4!C1:H3""),IMPORTRANGE(""1GBDUn_ZojNLX5OJCVBEhvJbdm0c55Z7lPcE4L6WH89o"",""Round 4!M1:R3"")}"),"Team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2" t="str">
        <f>IFERROR(__xludf.DUMMYFUNCTION("CONCAT(""A BP: "",IMPORTRANGE(""1GBDUn_ZojNLX5OJCVBEhvJbdm0c55Z7lPcE4L6WH89o"",""Round 4!I32""))"),"A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2" t="str">
        <f>IFERROR(__xludf.DUMMYFUNCTION("CONCAT(""B BP: "",IMPORTRANGE(""1GBDUn_ZojNLX5OJCVBEhvJbdm0c55Z7lPcE4L6WH89o"",""Round 4!S32""))"),"B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1" t="s">
        <v>2</v>
      </c>
      <c r="B14">
        <f>IFERROR(__xludf.DUMMYFUNCTION("{IMPORTRANGE(""1GBDUn_ZojNLX5OJCVBEhvJbdm0c55Z7lPcE4L6WH89o"",""Round 4!C32:H36""),IMPORTRANGE(""1GBDUn_ZojNLX5OJCVBEhvJbdm0c55Z7lPcE4L6WH89o"",""Round 4!M32:R36"")}"),20.0)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1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1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1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1" t="s">
        <v>3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2" t="str">
        <f>IFERROR(__xludf.DUMMYFUNCTION("IMPORTRANGE(""1GBDUn_ZojNLX5OJCVBEhvJbdm0c55Z7lPcE4L6WH89o"",""Round 4!W1"")"),"Question: 1")</f>
        <v>Question: 1</v>
      </c>
      <c r="B19" s="3" t="s">
        <v>6</v>
      </c>
    </row>
    <row r="20">
      <c r="A20" s="2"/>
    </row>
    <row r="21">
      <c r="A21" s="1" t="s">
        <v>7</v>
      </c>
      <c r="B21" t="str">
        <f>IFERROR(__xludf.DUMMYFUNCTION("{IMPORTRANGE(""19Dum1qlL_dEwf1AEniLf02Eg9XaNXi1GMkI5M4_Ei6w"",""Round 4!C1:H3""),IMPORTRANGE(""19Dum1qlL_dEwf1AEniLf02Eg9XaNXi1GMkI5M4_Ei6w"",""Round 4!M1:R3"")}"),"Team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2" t="str">
        <f>IFERROR(__xludf.DUMMYFUNCTION("CONCAT(""A BP: "",IMPORTRANGE(""19Dum1qlL_dEwf1AEniLf02Eg9XaNXi1GMkI5M4_Ei6w"",""Round 4!I32""))"),"A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2" t="str">
        <f>IFERROR(__xludf.DUMMYFUNCTION("CONCAT(""B BP: "",IMPORTRANGE(""19Dum1qlL_dEwf1AEniLf02Eg9XaNXi1GMkI5M4_Ei6w"",""Round 4!S32""))"),"B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1" t="s">
        <v>2</v>
      </c>
      <c r="B24">
        <f>IFERROR(__xludf.DUMMYFUNCTION("{IMPORTRANGE(""19Dum1qlL_dEwf1AEniLf02Eg9XaNXi1GMkI5M4_Ei6w"",""Round 4!C32:H36""),IMPORTRANGE(""19Dum1qlL_dEwf1AEniLf02Eg9XaNXi1GMkI5M4_Ei6w"",""Round 4!M32:R36"")}"),20.0)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1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1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1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1" t="s">
        <v>3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2" t="str">
        <f>IFERROR(__xludf.DUMMYFUNCTION("IMPORTRANGE(""19Dum1qlL_dEwf1AEniLf02Eg9XaNXi1GMkI5M4_Ei6w"",""Round 4!W1"")"),"Question: 1")</f>
        <v>Question: 1</v>
      </c>
      <c r="B29" s="3" t="s">
        <v>8</v>
      </c>
    </row>
    <row r="30">
      <c r="A30" s="2"/>
    </row>
    <row r="31">
      <c r="A31" s="1" t="s">
        <v>44</v>
      </c>
      <c r="B31" t="str">
        <f>IFERROR(__xludf.DUMMYFUNCTION("{IMPORTRANGE(""18KjuM_F6goZYnozVb7folIb5Hw_mfKQrNdVWKGx6j4s"",""Round 4!C1:H3""),IMPORTRANGE(""18KjuM_F6goZYnozVb7folIb5Hw_mfKQrNdVWKGx6j4s"",""Round 4!M1:R3"")}"),"La Serna B (JV)")</f>
        <v>La Serna B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IFERROR(__xludf.DUMMYFUNCTION("""COMPUTED_VALUE"""),"Troy B (JV)")</f>
        <v>Troy B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2" t="str">
        <f>IFERROR(__xludf.DUMMYFUNCTION("CONCAT(""A BP: "",IMPORTRANGE(""18KjuM_F6goZYnozVb7folIb5Hw_mfKQrNdVWKGx6j4s"",""Round 4!I32""))"),"A BP: 60")</f>
        <v>A BP: 60</v>
      </c>
      <c r="B32" t="str">
        <f>IFERROR(__xludf.DUMMYFUNCTION("""COMPUTED_VALUE"""),"Score: 115")</f>
        <v>Score: 115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260")</f>
        <v>Score: 260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2" t="str">
        <f>IFERROR(__xludf.DUMMYFUNCTION("CONCAT(""B BP: "",IMPORTRANGE(""18KjuM_F6goZYnozVb7folIb5Hw_mfKQrNdVWKGx6j4s"",""Round 4!S32""))"),"B BP: 150")</f>
        <v>B BP: 150</v>
      </c>
      <c r="B33" t="str">
        <f>IFERROR(__xludf.DUMMYFUNCTION("""COMPUTED_VALUE"""),"Colin Twisselmann (10)")</f>
        <v>Colin Twisselmann (10)</v>
      </c>
      <c r="C33" t="str">
        <f>IFERROR(__xludf.DUMMYFUNCTION("""COMPUTED_VALUE"""),"Jerred Casillas (12)")</f>
        <v>Jerred Casillas (12)</v>
      </c>
      <c r="D33" t="str">
        <f>IFERROR(__xludf.DUMMYFUNCTION("""COMPUTED_VALUE"""),"Liz Carrasco (12)")</f>
        <v>Liz Carrasco (12)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IFERROR(__xludf.DUMMYFUNCTION("""COMPUTED_VALUE"""),"Juan Manalo (11)")</f>
        <v>Juan Manalo (11)</v>
      </c>
      <c r="I33" t="str">
        <f>IFERROR(__xludf.DUMMYFUNCTION("""COMPUTED_VALUE"""),"Ryan Salehi (11)")</f>
        <v>Ryan Salehi (11)</v>
      </c>
      <c r="J33" t="str">
        <f>IFERROR(__xludf.DUMMYFUNCTION("""COMPUTED_VALUE"""),"Luke Waldo (11)")</f>
        <v>Luke Waldo (11)</v>
      </c>
      <c r="K33" t="str">
        <f>IFERROR(__xludf.DUMMYFUNCTION("""COMPUTED_VALUE"""),"Player 4")</f>
        <v>Player 4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1" t="s">
        <v>2</v>
      </c>
      <c r="B34">
        <f>IFERROR(__xludf.DUMMYFUNCTION("{IMPORTRANGE(""18KjuM_F6goZYnozVb7folIb5Hw_mfKQrNdVWKGx6j4s"",""Round 4!C32:H36""),IMPORTRANGE(""18KjuM_F6goZYnozVb7folIb5Hw_mfKQrNdVWKGx6j4s"",""Round 4!M32:R36"")}"),20.0)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1">
        <v>15.0</v>
      </c>
      <c r="B35">
        <f>IFERROR(__xludf.DUMMYFUNCTION("""COMPUTED_VALUE"""),1.0)</f>
        <v>1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IFERROR(__xludf.DUMMYFUNCTION("""COMPUTED_VALUE"""),1.0)</f>
        <v>1</v>
      </c>
      <c r="J35">
        <f>IFERROR(__xludf.DUMMYFUNCTION("""COMPUTED_VALUE"""),1.0)</f>
        <v>1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1">
        <v>10.0</v>
      </c>
      <c r="B36">
        <f>IFERROR(__xludf.DUMMYFUNCTION("""COMPUTED_VALUE"""),1.0)</f>
        <v>1</v>
      </c>
      <c r="C36">
        <f>IFERROR(__xludf.DUMMYFUNCTION("""COMPUTED_VALUE"""),1.0)</f>
        <v>1</v>
      </c>
      <c r="D36">
        <f>IFERROR(__xludf.DUMMYFUNCTION("""COMPUTED_VALUE"""),3.0)</f>
        <v>3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IFERROR(__xludf.DUMMYFUNCTION("""COMPUTED_VALUE"""),6.0)</f>
        <v>6</v>
      </c>
      <c r="I36">
        <f>IFERROR(__xludf.DUMMYFUNCTION("""COMPUTED_VALUE"""),0.0)</f>
        <v>0</v>
      </c>
      <c r="J36">
        <f>IFERROR(__xludf.DUMMYFUNCTION("""COMPUTED_VALUE"""),3.0)</f>
        <v>3</v>
      </c>
      <c r="K36">
        <f>IFERROR(__xludf.DUMMYFUNCTION("""COMPUTED_VALUE"""),0.0)</f>
        <v>0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1">
        <v>-5.0</v>
      </c>
      <c r="B37">
        <f>IFERROR(__xludf.DUMMYFUNCTION("""COMPUTED_VALUE"""),1.0)</f>
        <v>1</v>
      </c>
      <c r="C37">
        <f>IFERROR(__xludf.DUMMYFUNCTION("""COMPUTED_VALUE"""),0.0)</f>
        <v>0</v>
      </c>
      <c r="D37">
        <f>IFERROR(__xludf.DUMMYFUNCTION("""COMPUTED_VALUE"""),1.0)</f>
        <v>1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IFERROR(__xludf.DUMMYFUNCTION("""COMPUTED_VALUE"""),1.0)</f>
        <v>1</v>
      </c>
      <c r="I37">
        <f>IFERROR(__xludf.DUMMYFUNCTION("""COMPUTED_VALUE"""),1.0)</f>
        <v>1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1" t="s">
        <v>3</v>
      </c>
      <c r="B38">
        <f>IFERROR(__xludf.DUMMYFUNCTION("""COMPUTED_VALUE"""),20.0)</f>
        <v>20</v>
      </c>
      <c r="C38">
        <f>IFERROR(__xludf.DUMMYFUNCTION("""COMPUTED_VALUE"""),10.0)</f>
        <v>10</v>
      </c>
      <c r="D38">
        <f>IFERROR(__xludf.DUMMYFUNCTION("""COMPUTED_VALUE"""),25.0)</f>
        <v>25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IFERROR(__xludf.DUMMYFUNCTION("""COMPUTED_VALUE"""),55.0)</f>
        <v>55</v>
      </c>
      <c r="I38">
        <f>IFERROR(__xludf.DUMMYFUNCTION("""COMPUTED_VALUE"""),10.0)</f>
        <v>10</v>
      </c>
      <c r="J38">
        <f>IFERROR(__xludf.DUMMYFUNCTION("""COMPUTED_VALUE"""),45.0)</f>
        <v>45</v>
      </c>
      <c r="K38">
        <f>IFERROR(__xludf.DUMMYFUNCTION("""COMPUTED_VALUE"""),0.0)</f>
        <v>0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2" t="str">
        <f>IFERROR(__xludf.DUMMYFUNCTION("IMPORTRANGE(""18KjuM_F6goZYnozVb7folIb5Hw_mfKQrNdVWKGx6j4s"",""Round 4!W1"")"),"Question: 21")</f>
        <v>Question: 21</v>
      </c>
      <c r="B39" s="3" t="s">
        <v>10</v>
      </c>
    </row>
    <row r="40">
      <c r="A40" s="2"/>
    </row>
    <row r="41">
      <c r="A41" s="1" t="s">
        <v>12</v>
      </c>
      <c r="B41" t="str">
        <f>IFERROR(__xludf.DUMMYFUNCTION("{IMPORTRANGE(""1_YEY20HiFjspjicPICCMlL_lQXsksdB6d3m5vzHwuOI"",""Round 4!C1:H3""),IMPORTRANGE(""1_YEY20HiFjspjicPICCMlL_lQXsksdB6d3m5vzHwuOI"",""Round 4!M1:R3"")}"),"Scripps Ranch B (JV)")</f>
        <v>Scripps Ranch B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IFERROR(__xludf.DUMMYFUNCTION("""COMPUTED_VALUE"""),"Valley Center (JV)")</f>
        <v>Valley Center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2" t="str">
        <f>IFERROR(__xludf.DUMMYFUNCTION("CONCAT(""A BP: "",IMPORTRANGE(""1_YEY20HiFjspjicPICCMlL_lQXsksdB6d3m5vzHwuOI"",""Round 4!I32""))"),"A BP: 130")</f>
        <v>A BP: 130</v>
      </c>
      <c r="B42" t="str">
        <f>IFERROR(__xludf.DUMMYFUNCTION("""COMPUTED_VALUE"""),"Score: 235")</f>
        <v>Score: 235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140")</f>
        <v>Score: 140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2" t="str">
        <f>IFERROR(__xludf.DUMMYFUNCTION("CONCAT(""B BP: "",IMPORTRANGE(""1_YEY20HiFjspjicPICCMlL_lQXsksdB6d3m5vzHwuOI"",""Round 4!S32""))"),"B BP: 70")</f>
        <v>B BP: 70</v>
      </c>
      <c r="B43" t="str">
        <f>IFERROR(__xludf.DUMMYFUNCTION("""COMPUTED_VALUE"""),"Lawrence Lo (9)")</f>
        <v>Lawrence Lo (9)</v>
      </c>
      <c r="C43" t="str">
        <f>IFERROR(__xludf.DUMMYFUNCTION("""COMPUTED_VALUE"""),"Sam Wu (9)")</f>
        <v>Sam Wu (9)</v>
      </c>
      <c r="D43" t="str">
        <f>IFERROR(__xludf.DUMMYFUNCTION("""COMPUTED_VALUE"""),"Tristan Thai (9)")</f>
        <v>Tristan Thai (9)</v>
      </c>
      <c r="E43" t="str">
        <f>IFERROR(__xludf.DUMMYFUNCTION("""COMPUTED_VALUE"""),"Shabdika Gubba (9)")</f>
        <v>Shabdika Gubba (9)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IFERROR(__xludf.DUMMYFUNCTION("""COMPUTED_VALUE"""),"Ava Downey (12)")</f>
        <v>Ava Downey (12)</v>
      </c>
      <c r="I43" t="str">
        <f>IFERROR(__xludf.DUMMYFUNCTION("""COMPUTED_VALUE"""),"Mehreen Sing (12)")</f>
        <v>Mehreen Sing (12)</v>
      </c>
      <c r="J43" t="str">
        <f>IFERROR(__xludf.DUMMYFUNCTION("""COMPUTED_VALUE"""),"Aaron Martinez (11)")</f>
        <v>Aaron Martinez (11)</v>
      </c>
      <c r="K43" t="str">
        <f>IFERROR(__xludf.DUMMYFUNCTION("""COMPUTED_VALUE"""),"Leon Thigh (11)")</f>
        <v>Leon Thigh (11)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1" t="s">
        <v>2</v>
      </c>
      <c r="B44">
        <f>IFERROR(__xludf.DUMMYFUNCTION("{IMPORTRANGE(""1_YEY20HiFjspjicPICCMlL_lQXsksdB6d3m5vzHwuOI"",""Round 4!C32:H36""),IMPORTRANGE(""1_YEY20HiFjspjicPICCMlL_lQXsksdB6d3m5vzHwuOI"",""Round 4!M32:R36"")}"),20.0)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1">
        <v>15.0</v>
      </c>
      <c r="B45">
        <f>IFERROR(__xludf.DUMMYFUNCTION("""COMPUTED_VALUE"""),2.0)</f>
        <v>2</v>
      </c>
      <c r="C45">
        <f>IFERROR(__xludf.DUMMYFUNCTION("""COMPUTED_VALUE"""),1.0)</f>
        <v>1</v>
      </c>
      <c r="D45">
        <f>IFERROR(__xludf.DUMMYFUNCTION("""COMPUTED_VALUE"""),0.0)</f>
        <v>0</v>
      </c>
      <c r="E45">
        <f>IFERROR(__xludf.DUMMYFUNCTION("""COMPUTED_VALUE"""),1.0)</f>
        <v>1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IFERROR(__xludf.DUMMYFUNCTION("""COMPUTED_VALUE"""),1.0)</f>
        <v>1</v>
      </c>
      <c r="I45">
        <f>IFERROR(__xludf.DUMMYFUNCTION("""COMPUTED_VALUE"""),0.0)</f>
        <v>0</v>
      </c>
      <c r="J45">
        <f>IFERROR(__xludf.DUMMYFUNCTION("""COMPUTED_VALUE"""),1.0)</f>
        <v>1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1">
        <v>10.0</v>
      </c>
      <c r="B46">
        <f>IFERROR(__xludf.DUMMYFUNCTION("""COMPUTED_VALUE"""),3.0)</f>
        <v>3</v>
      </c>
      <c r="C46">
        <f>IFERROR(__xludf.DUMMYFUNCTION("""COMPUTED_VALUE"""),1.0)</f>
        <v>1</v>
      </c>
      <c r="D46">
        <f>IFERROR(__xludf.DUMMYFUNCTION("""COMPUTED_VALUE"""),0.0)</f>
        <v>0</v>
      </c>
      <c r="E46">
        <f>IFERROR(__xludf.DUMMYFUNCTION("""COMPUTED_VALUE"""),1.0)</f>
        <v>1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IFERROR(__xludf.DUMMYFUNCTION("""COMPUTED_VALUE"""),2.0)</f>
        <v>2</v>
      </c>
      <c r="I46">
        <f>IFERROR(__xludf.DUMMYFUNCTION("""COMPUTED_VALUE"""),0.0)</f>
        <v>0</v>
      </c>
      <c r="J46">
        <f>IFERROR(__xludf.DUMMYFUNCTION("""COMPUTED_VALUE"""),3.0)</f>
        <v>3</v>
      </c>
      <c r="K46">
        <f>IFERROR(__xludf.DUMMYFUNCTION("""COMPUTED_VALUE"""),0.0)</f>
        <v>0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1">
        <v>-5.0</v>
      </c>
      <c r="B47">
        <f>IFERROR(__xludf.DUMMYFUNCTION("""COMPUTED_VALUE"""),1.0)</f>
        <v>1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IFERROR(__xludf.DUMMYFUNCTION("""COMPUTED_VALUE"""),2.0)</f>
        <v>2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1" t="s">
        <v>3</v>
      </c>
      <c r="B48">
        <f>IFERROR(__xludf.DUMMYFUNCTION("""COMPUTED_VALUE"""),55.0)</f>
        <v>55</v>
      </c>
      <c r="C48">
        <f>IFERROR(__xludf.DUMMYFUNCTION("""COMPUTED_VALUE"""),25.0)</f>
        <v>25</v>
      </c>
      <c r="D48">
        <f>IFERROR(__xludf.DUMMYFUNCTION("""COMPUTED_VALUE"""),0.0)</f>
        <v>0</v>
      </c>
      <c r="E48">
        <f>IFERROR(__xludf.DUMMYFUNCTION("""COMPUTED_VALUE"""),25.0)</f>
        <v>25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IFERROR(__xludf.DUMMYFUNCTION("""COMPUTED_VALUE"""),25.0)</f>
        <v>25</v>
      </c>
      <c r="I48">
        <f>IFERROR(__xludf.DUMMYFUNCTION("""COMPUTED_VALUE"""),0.0)</f>
        <v>0</v>
      </c>
      <c r="J48">
        <f>IFERROR(__xludf.DUMMYFUNCTION("""COMPUTED_VALUE"""),45.0)</f>
        <v>45</v>
      </c>
      <c r="K48">
        <f>IFERROR(__xludf.DUMMYFUNCTION("""COMPUTED_VALUE"""),0.0)</f>
        <v>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2" t="str">
        <f>IFERROR(__xludf.DUMMYFUNCTION("IMPORTRANGE(""1_YEY20HiFjspjicPICCMlL_lQXsksdB6d3m5vzHwuOI"",""Round 4!W1"")"),"Question: 21")</f>
        <v>Question: 21</v>
      </c>
      <c r="B49" s="3" t="s">
        <v>13</v>
      </c>
    </row>
    <row r="50">
      <c r="A50" s="2"/>
    </row>
    <row r="51">
      <c r="A51" s="1" t="s">
        <v>15</v>
      </c>
      <c r="B51" t="str">
        <f>IFERROR(__xludf.DUMMYFUNCTION("{IMPORTRANGE(""1SYS5Ef48991ZUgqcGqj51eX2YgqKCzfrEZ_pUY01Lwo"",""Round 4!C1:H3""),IMPORTRANGE(""1SYS5Ef48991ZUgqcGqj51eX2YgqKCzfrEZ_pUY01Lwo"",""Round 4!M1:R3"")}"),"Oak Valley C (JV)")</f>
        <v>Oak Valley C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IFERROR(__xludf.DUMMYFUNCTION("""COMPUTED_VALUE"""),"Oak Valley B (JV)")</f>
        <v>Oak Valley B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2" t="str">
        <f>IFERROR(__xludf.DUMMYFUNCTION("CONCAT(""A BP: "",IMPORTRANGE(""1SYS5Ef48991ZUgqcGqj51eX2YgqKCzfrEZ_pUY01Lwo"",""Round 4!I32""))"),"A BP: 60")</f>
        <v>A BP: 60</v>
      </c>
      <c r="B52" t="str">
        <f>IFERROR(__xludf.DUMMYFUNCTION("""COMPUTED_VALUE"""),"Score: 120")</f>
        <v>Score: 120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260")</f>
        <v>Score: 260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2" t="str">
        <f>IFERROR(__xludf.DUMMYFUNCTION("CONCAT(""B BP: "",IMPORTRANGE(""1SYS5Ef48991ZUgqcGqj51eX2YgqKCzfrEZ_pUY01Lwo"",""Round 4!S32""))"),"B BP: 160")</f>
        <v>B BP: 160</v>
      </c>
      <c r="B53" t="str">
        <f>IFERROR(__xludf.DUMMYFUNCTION("""COMPUTED_VALUE"""),"Tay Kim (7)")</f>
        <v>Tay Kim (7)</v>
      </c>
      <c r="C53" t="str">
        <f>IFERROR(__xludf.DUMMYFUNCTION("""COMPUTED_VALUE"""),"Saanvi Agarwal (6)")</f>
        <v>Saanvi Agarwal (6)</v>
      </c>
      <c r="D53" t="str">
        <f>IFERROR(__xludf.DUMMYFUNCTION("""COMPUTED_VALUE"""),"Sarah Feng (6)")</f>
        <v>Sarah Feng (6)</v>
      </c>
      <c r="E53" t="str">
        <f>IFERROR(__xludf.DUMMYFUNCTION("""COMPUTED_VALUE"""),"Chinmay Ramamurthy (7)")</f>
        <v>Chinmay Ramamurthy (7)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IFERROR(__xludf.DUMMYFUNCTION("""COMPUTED_VALUE"""),"Rohan Gaikwad (8)")</f>
        <v>Rohan Gaikwad (8)</v>
      </c>
      <c r="I53" t="str">
        <f>IFERROR(__xludf.DUMMYFUNCTION("""COMPUTED_VALUE"""),"John Bruvold (8)")</f>
        <v>John Bruvold (8)</v>
      </c>
      <c r="J53" t="str">
        <f>IFERROR(__xludf.DUMMYFUNCTION("""COMPUTED_VALUE"""),"Amina Aslam-Mir (7)")</f>
        <v>Amina Aslam-Mir (7)</v>
      </c>
      <c r="K53" t="str">
        <f>IFERROR(__xludf.DUMMYFUNCTION("""COMPUTED_VALUE"""),"Ethan Huang (7)")</f>
        <v>Ethan Huang (7)</v>
      </c>
      <c r="L53" t="str">
        <f>IFERROR(__xludf.DUMMYFUNCTION("""COMPUTED_VALUE"""),"Aditi Bandaru (7)")</f>
        <v>Aditi Bandaru (7)</v>
      </c>
      <c r="M53" t="str">
        <f>IFERROR(__xludf.DUMMYFUNCTION("""COMPUTED_VALUE"""),"Player 6")</f>
        <v>Player 6</v>
      </c>
    </row>
    <row r="54">
      <c r="A54" s="1" t="s">
        <v>2</v>
      </c>
      <c r="B54">
        <f>IFERROR(__xludf.DUMMYFUNCTION("{IMPORTRANGE(""1SYS5Ef48991ZUgqcGqj51eX2YgqKCzfrEZ_pUY01Lwo"",""Round 4!C32:H36""),IMPORTRANGE(""1SYS5Ef48991ZUgqcGqj51eX2YgqKCzfrEZ_pUY01Lwo"",""Round 4!M32:R36"")}"),20.0)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IFERROR(__xludf.DUMMYFUNCTION("""COMPUTED_VALUE"""),10.0)</f>
        <v>10</v>
      </c>
      <c r="L54">
        <f>IFERROR(__xludf.DUMMYFUNCTION("""COMPUTED_VALUE"""),10.0)</f>
        <v>10</v>
      </c>
      <c r="M54" t="str">
        <f>IFERROR(__xludf.DUMMYFUNCTION("""COMPUTED_VALUE"""),"")</f>
        <v/>
      </c>
    </row>
    <row r="55">
      <c r="A55" s="1">
        <v>15.0</v>
      </c>
      <c r="B55">
        <f>IFERROR(__xludf.DUMMYFUNCTION("""COMPUTED_VALUE"""),0.0)</f>
        <v>0</v>
      </c>
      <c r="C55">
        <f>IFERROR(__xludf.DUMMYFUNCTION("""COMPUTED_VALUE"""),0.0)</f>
        <v>0</v>
      </c>
      <c r="D55">
        <f>IFERROR(__xludf.DUMMYFUNCTION("""COMPUTED_VALUE"""),0.0)</f>
        <v>0</v>
      </c>
      <c r="E55">
        <f>IFERROR(__xludf.DUMMYFUNCTION("""COMPUTED_VALUE"""),1.0)</f>
        <v>1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IFERROR(__xludf.DUMMYFUNCTION("""COMPUTED_VALUE"""),0.0)</f>
        <v>0</v>
      </c>
      <c r="I55">
        <f>IFERROR(__xludf.DUMMYFUNCTION("""COMPUTED_VALUE"""),1.0)</f>
        <v>1</v>
      </c>
      <c r="J55">
        <f>IFERROR(__xludf.DUMMYFUNCTION("""COMPUTED_VALUE"""),1.0)</f>
        <v>1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1">
        <v>10.0</v>
      </c>
      <c r="B56">
        <f>IFERROR(__xludf.DUMMYFUNCTION("""COMPUTED_VALUE"""),1.0)</f>
        <v>1</v>
      </c>
      <c r="C56">
        <f>IFERROR(__xludf.DUMMYFUNCTION("""COMPUTED_VALUE"""),1.0)</f>
        <v>1</v>
      </c>
      <c r="D56">
        <f>IFERROR(__xludf.DUMMYFUNCTION("""COMPUTED_VALUE"""),0.0)</f>
        <v>0</v>
      </c>
      <c r="E56">
        <f>IFERROR(__xludf.DUMMYFUNCTION("""COMPUTED_VALUE"""),3.0)</f>
        <v>3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IFERROR(__xludf.DUMMYFUNCTION("""COMPUTED_VALUE"""),5.0)</f>
        <v>5</v>
      </c>
      <c r="I56">
        <f>IFERROR(__xludf.DUMMYFUNCTION("""COMPUTED_VALUE"""),2.0)</f>
        <v>2</v>
      </c>
      <c r="J56">
        <f>IFERROR(__xludf.DUMMYFUNCTION("""COMPUTED_VALUE"""),1.0)</f>
        <v>1</v>
      </c>
      <c r="K56">
        <f>IFERROR(__xludf.DUMMYFUNCTION("""COMPUTED_VALUE"""),1.0)</f>
        <v>1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1">
        <v>-5.0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IFERROR(__xludf.DUMMYFUNCTION("""COMPUTED_VALUE"""),0.0)</f>
        <v>0</v>
      </c>
      <c r="E57">
        <f>IFERROR(__xludf.DUMMYFUNCTION("""COMPUTED_VALUE"""),1.0)</f>
        <v>1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IFERROR(__xludf.DUMMYFUNCTION("""COMPUTED_VALUE"""),2.0)</f>
        <v>2</v>
      </c>
      <c r="I57">
        <f>IFERROR(__xludf.DUMMYFUNCTION("""COMPUTED_VALUE"""),0.0)</f>
        <v>0</v>
      </c>
      <c r="J57">
        <f>IFERROR(__xludf.DUMMYFUNCTION("""COMPUTED_VALUE"""),2.0)</f>
        <v>2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1" t="s">
        <v>3</v>
      </c>
      <c r="B58">
        <f>IFERROR(__xludf.DUMMYFUNCTION("""COMPUTED_VALUE"""),10.0)</f>
        <v>10</v>
      </c>
      <c r="C58">
        <f>IFERROR(__xludf.DUMMYFUNCTION("""COMPUTED_VALUE"""),10.0)</f>
        <v>10</v>
      </c>
      <c r="D58">
        <f>IFERROR(__xludf.DUMMYFUNCTION("""COMPUTED_VALUE"""),0.0)</f>
        <v>0</v>
      </c>
      <c r="E58">
        <f>IFERROR(__xludf.DUMMYFUNCTION("""COMPUTED_VALUE"""),40.0)</f>
        <v>40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IFERROR(__xludf.DUMMYFUNCTION("""COMPUTED_VALUE"""),40.0)</f>
        <v>40</v>
      </c>
      <c r="I58">
        <f>IFERROR(__xludf.DUMMYFUNCTION("""COMPUTED_VALUE"""),35.0)</f>
        <v>35</v>
      </c>
      <c r="J58">
        <f>IFERROR(__xludf.DUMMYFUNCTION("""COMPUTED_VALUE"""),15.0)</f>
        <v>15</v>
      </c>
      <c r="K58">
        <f>IFERROR(__xludf.DUMMYFUNCTION("""COMPUTED_VALUE"""),10.0)</f>
        <v>10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2" t="str">
        <f>IFERROR(__xludf.DUMMYFUNCTION("IMPORTRANGE(""1SYS5Ef48991ZUgqcGqj51eX2YgqKCzfrEZ_pUY01Lwo"",""Round 4!W1"")"),"Question: 21")</f>
        <v>Question: 21</v>
      </c>
      <c r="B59" s="3" t="s">
        <v>16</v>
      </c>
    </row>
    <row r="60">
      <c r="A60" s="2"/>
    </row>
    <row r="61">
      <c r="A61" s="1" t="s">
        <v>17</v>
      </c>
      <c r="B61" t="str">
        <f>IFERROR(__xludf.DUMMYFUNCTION("{IMPORTRANGE(""1UJlRLlhI2Hg_SAQqQOg0JGdwHhiagF7EVAtCX8UOYFc"",""Round 4!C1:H3""),IMPORTRANGE(""1UJlRLlhI2Hg_SAQqQOg0JGdwHhiagF7EVAtCX8UOYFc"",""Round 4!M1:R3"")}"),"La Serna A (JV)")</f>
        <v>La Serna A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IFERROR(__xludf.DUMMYFUNCTION("""COMPUTED_VALUE"""),"Black Mountain B (JV)")</f>
        <v>Black Mountain B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2" t="str">
        <f>IFERROR(__xludf.DUMMYFUNCTION("CONCAT(""A BP: "",IMPORTRANGE(""1UJlRLlhI2Hg_SAQqQOg0JGdwHhiagF7EVAtCX8UOYFc"",""Round 4!I32""))"),"A BP: 200")</f>
        <v>A BP: 200</v>
      </c>
      <c r="B62" t="str">
        <f>IFERROR(__xludf.DUMMYFUNCTION("""COMPUTED_VALUE"""),"Score: 345")</f>
        <v>Score: 345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90")</f>
        <v>Score: 90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2" t="str">
        <f>IFERROR(__xludf.DUMMYFUNCTION("CONCAT(""B BP: "",IMPORTRANGE(""1UJlRLlhI2Hg_SAQqQOg0JGdwHhiagF7EVAtCX8UOYFc"",""Round 4!S32""))"),"B BP: 60")</f>
        <v>B BP: 60</v>
      </c>
      <c r="B63" t="str">
        <f>IFERROR(__xludf.DUMMYFUNCTION("""COMPUTED_VALUE"""),"Cole Aedo (12)")</f>
        <v>Cole Aedo (12)</v>
      </c>
      <c r="C63" t="str">
        <f>IFERROR(__xludf.DUMMYFUNCTION("""COMPUTED_VALUE"""),"Jay Gamez (12)")</f>
        <v>Jay Gamez (12)</v>
      </c>
      <c r="D63" t="str">
        <f>IFERROR(__xludf.DUMMYFUNCTION("""COMPUTED_VALUE"""),"Ian Brennan (12)")</f>
        <v>Ian Brennan (12)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IFERROR(__xludf.DUMMYFUNCTION("""COMPUTED_VALUE"""),"Anay Sabhnani (7)")</f>
        <v>Anay Sabhnani (7)</v>
      </c>
      <c r="I63" t="str">
        <f>IFERROR(__xludf.DUMMYFUNCTION("""COMPUTED_VALUE"""),"Pranay Kulkarni (7)")</f>
        <v>Pranay Kulkarni (7)</v>
      </c>
      <c r="J63" t="str">
        <f>IFERROR(__xludf.DUMMYFUNCTION("""COMPUTED_VALUE"""),"Lauren Yung (8)")</f>
        <v>Lauren Yung (8)</v>
      </c>
      <c r="K63" t="str">
        <f>IFERROR(__xludf.DUMMYFUNCTION("""COMPUTED_VALUE"""),"Raina Chatterjee (7)")</f>
        <v>Raina Chatterjee (7)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1" t="s">
        <v>2</v>
      </c>
      <c r="B64">
        <f>IFERROR(__xludf.DUMMYFUNCTION("{IMPORTRANGE(""1UJlRLlhI2Hg_SAQqQOg0JGdwHhiagF7EVAtCX8UOYFc"",""Round 4!C32:H36""),IMPORTRANGE(""1UJlRLlhI2Hg_SAQqQOg0JGdwHhiagF7EVAtCX8UOYFc"",""Round 4!M32:R36"")}"),20.0)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1">
        <v>15.0</v>
      </c>
      <c r="B65">
        <f>IFERROR(__xludf.DUMMYFUNCTION("""COMPUTED_VALUE"""),4.0)</f>
        <v>4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IFERROR(__xludf.DUMMYFUNCTION("""COMPUTED_VALUE"""),1.0)</f>
        <v>1</v>
      </c>
      <c r="I65">
        <f>IFERROR(__xludf.DUMMYFUNCTION("""COMPUTED_VALUE"""),0.0)</f>
        <v>0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1">
        <v>10.0</v>
      </c>
      <c r="B66">
        <f>IFERROR(__xludf.DUMMYFUNCTION("""COMPUTED_VALUE"""),3.0)</f>
        <v>3</v>
      </c>
      <c r="C66">
        <f>IFERROR(__xludf.DUMMYFUNCTION("""COMPUTED_VALUE"""),0.0)</f>
        <v>0</v>
      </c>
      <c r="D66">
        <f>IFERROR(__xludf.DUMMYFUNCTION("""COMPUTED_VALUE"""),6.0)</f>
        <v>6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IFERROR(__xludf.DUMMYFUNCTION("""COMPUTED_VALUE"""),2.0)</f>
        <v>2</v>
      </c>
      <c r="I66">
        <f>IFERROR(__xludf.DUMMYFUNCTION("""COMPUTED_VALUE"""),1.0)</f>
        <v>1</v>
      </c>
      <c r="J66">
        <f>IFERROR(__xludf.DUMMYFUNCTION("""COMPUTED_VALUE"""),0.0)</f>
        <v>0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1">
        <v>-5.0</v>
      </c>
      <c r="B67">
        <f>IFERROR(__xludf.DUMMYFUNCTION("""COMPUTED_VALUE"""),1.0)</f>
        <v>1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IFERROR(__xludf.DUMMYFUNCTION("""COMPUTED_VALUE"""),1.0)</f>
        <v>1</v>
      </c>
      <c r="I67">
        <f>IFERROR(__xludf.DUMMYFUNCTION("""COMPUTED_VALUE"""),2.0)</f>
        <v>2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1" t="s">
        <v>3</v>
      </c>
      <c r="B68">
        <f>IFERROR(__xludf.DUMMYFUNCTION("""COMPUTED_VALUE"""),85.0)</f>
        <v>85</v>
      </c>
      <c r="C68">
        <f>IFERROR(__xludf.DUMMYFUNCTION("""COMPUTED_VALUE"""),0.0)</f>
        <v>0</v>
      </c>
      <c r="D68">
        <f>IFERROR(__xludf.DUMMYFUNCTION("""COMPUTED_VALUE"""),60.0)</f>
        <v>60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IFERROR(__xludf.DUMMYFUNCTION("""COMPUTED_VALUE"""),30.0)</f>
        <v>30</v>
      </c>
      <c r="I68">
        <f>IFERROR(__xludf.DUMMYFUNCTION("""COMPUTED_VALUE"""),0.0)</f>
        <v>0</v>
      </c>
      <c r="J68">
        <f>IFERROR(__xludf.DUMMYFUNCTION("""COMPUTED_VALUE"""),0.0)</f>
        <v>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2" t="str">
        <f>IFERROR(__xludf.DUMMYFUNCTION("IMPORTRANGE(""1UJlRLlhI2Hg_SAQqQOg0JGdwHhiagF7EVAtCX8UOYFc"",""Round 4!W1"")"),"Question: 21")</f>
        <v>Question: 21</v>
      </c>
      <c r="B69" s="3" t="s">
        <v>19</v>
      </c>
    </row>
    <row r="70">
      <c r="A70" s="2"/>
    </row>
    <row r="71">
      <c r="A71" s="1" t="s">
        <v>20</v>
      </c>
      <c r="B71" t="str">
        <f>IFERROR(__xludf.DUMMYFUNCTION("{IMPORTRANGE(""1jA96n0qbauznSt6-hkr51AslpxJqfrWgkafVtMV8_xU"",""Round 4!C1:H3""),IMPORTRANGE(""1jA96n0qbauznSt6-hkr51AslpxJqfrWgkafVtMV8_xU"",""Round 4!M1:R3"")}"),"Black Mountain A (JV)")</f>
        <v>Black Mountain A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IFERROR(__xludf.DUMMYFUNCTION("""COMPUTED_VALUE"""),"Rancho Bernardo (JV)")</f>
        <v>Rancho Bernardo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2" t="str">
        <f>IFERROR(__xludf.DUMMYFUNCTION("CONCAT(""A BP: "",IMPORTRANGE(""1jA96n0qbauznSt6-hkr51AslpxJqfrWgkafVtMV8_xU"",""Round 4!I32""))"),"A BP: 150")</f>
        <v>A BP: 150</v>
      </c>
      <c r="B72" t="str">
        <f>IFERROR(__xludf.DUMMYFUNCTION("""COMPUTED_VALUE"""),"Score: 280")</f>
        <v>Score: 280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200")</f>
        <v>Score: 200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2" t="str">
        <f>IFERROR(__xludf.DUMMYFUNCTION("CONCAT(""B BP: "",IMPORTRANGE(""1jA96n0qbauznSt6-hkr51AslpxJqfrWgkafVtMV8_xU"",""Round 4!S32""))"),"B BP: 120")</f>
        <v>B BP: 120</v>
      </c>
      <c r="B73" t="str">
        <f>IFERROR(__xludf.DUMMYFUNCTION("""COMPUTED_VALUE"""),"Tanvi Bhide (7)")</f>
        <v>Tanvi Bhide (7)</v>
      </c>
      <c r="C73" t="str">
        <f>IFERROR(__xludf.DUMMYFUNCTION("""COMPUTED_VALUE"""),"Edwin Chang (8)")</f>
        <v>Edwin Chang (8)</v>
      </c>
      <c r="D73" t="str">
        <f>IFERROR(__xludf.DUMMYFUNCTION("""COMPUTED_VALUE"""),"Anvit Watwani (7)")</f>
        <v>Anvit Watwani (7)</v>
      </c>
      <c r="E73" t="str">
        <f>IFERROR(__xludf.DUMMYFUNCTION("""COMPUTED_VALUE"""),"Adarsh Venkateswaran (8)")</f>
        <v>Adarsh Venkateswaran (8)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IFERROR(__xludf.DUMMYFUNCTION("""COMPUTED_VALUE"""),"YungYi Sun (12)")</f>
        <v>YungYi Sun (12)</v>
      </c>
      <c r="I73" t="str">
        <f>IFERROR(__xludf.DUMMYFUNCTION("""COMPUTED_VALUE"""),"Katheryn Garrett (11)")</f>
        <v>Katheryn Garrett (11)</v>
      </c>
      <c r="J73" t="str">
        <f>IFERROR(__xludf.DUMMYFUNCTION("""COMPUTED_VALUE"""),"Patrick Joyce (11)")</f>
        <v>Patrick Joyce (11)</v>
      </c>
      <c r="K73" t="str">
        <f>IFERROR(__xludf.DUMMYFUNCTION("""COMPUTED_VALUE"""),"Sandy Tran (12)")</f>
        <v>Sandy Tran (12)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1" t="s">
        <v>2</v>
      </c>
      <c r="B74">
        <f>IFERROR(__xludf.DUMMYFUNCTION("{IMPORTRANGE(""1jA96n0qbauznSt6-hkr51AslpxJqfrWgkafVtMV8_xU"",""Round 4!C32:H36""),IMPORTRANGE(""1jA96n0qbauznSt6-hkr51AslpxJqfrWgkafVtMV8_xU"",""Round 4!M32:R36"")}"),20.0)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1">
        <v>15.0</v>
      </c>
      <c r="B75">
        <f>IFERROR(__xludf.DUMMYFUNCTION("""COMPUTED_VALUE"""),2.0)</f>
        <v>2</v>
      </c>
      <c r="C75">
        <f>IFERROR(__xludf.DUMMYFUNCTION("""COMPUTED_VALUE"""),1.0)</f>
        <v>1</v>
      </c>
      <c r="D75">
        <f>IFERROR(__xludf.DUMMYFUNCTION("""COMPUTED_VALUE"""),1.0)</f>
        <v>1</v>
      </c>
      <c r="E75">
        <f>IFERROR(__xludf.DUMMYFUNCTION("""COMPUTED_VALUE"""),1.0)</f>
        <v>1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IFERROR(__xludf.DUMMYFUNCTION("""COMPUTED_VALUE"""),0.0)</f>
        <v>0</v>
      </c>
      <c r="J75">
        <f>IFERROR(__xludf.DUMMYFUNCTION("""COMPUTED_VALUE"""),0.0)</f>
        <v>0</v>
      </c>
      <c r="K75">
        <f>IFERROR(__xludf.DUMMYFUNCTION("""COMPUTED_VALUE"""),4.0)</f>
        <v>4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1">
        <v>10.0</v>
      </c>
      <c r="B76">
        <f>IFERROR(__xludf.DUMMYFUNCTION("""COMPUTED_VALUE"""),0.0)</f>
        <v>0</v>
      </c>
      <c r="C76">
        <f>IFERROR(__xludf.DUMMYFUNCTION("""COMPUTED_VALUE"""),2.0)</f>
        <v>2</v>
      </c>
      <c r="D76">
        <f>IFERROR(__xludf.DUMMYFUNCTION("""COMPUTED_VALUE"""),2.0)</f>
        <v>2</v>
      </c>
      <c r="E76">
        <f>IFERROR(__xludf.DUMMYFUNCTION("""COMPUTED_VALUE"""),2.0)</f>
        <v>2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IFERROR(__xludf.DUMMYFUNCTION("""COMPUTED_VALUE"""),0.0)</f>
        <v>0</v>
      </c>
      <c r="I76">
        <f>IFERROR(__xludf.DUMMYFUNCTION("""COMPUTED_VALUE"""),1.0)</f>
        <v>1</v>
      </c>
      <c r="J76">
        <f>IFERROR(__xludf.DUMMYFUNCTION("""COMPUTED_VALUE"""),1.0)</f>
        <v>1</v>
      </c>
      <c r="K76">
        <f>IFERROR(__xludf.DUMMYFUNCTION("""COMPUTED_VALUE"""),1.0)</f>
        <v>1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1">
        <v>-5.0</v>
      </c>
      <c r="B77">
        <f>IFERROR(__xludf.DUMMYFUNCTION("""COMPUTED_VALUE"""),0.0)</f>
        <v>0</v>
      </c>
      <c r="C77">
        <f>IFERROR(__xludf.DUMMYFUNCTION("""COMPUTED_VALUE"""),0.0)</f>
        <v>0</v>
      </c>
      <c r="D77">
        <f>IFERROR(__xludf.DUMMYFUNCTION("""COMPUTED_VALUE"""),1.0)</f>
        <v>1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IFERROR(__xludf.DUMMYFUNCTION("""COMPUTED_VALUE"""),2.0)</f>
        <v>2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1" t="s">
        <v>3</v>
      </c>
      <c r="B78">
        <f>IFERROR(__xludf.DUMMYFUNCTION("""COMPUTED_VALUE"""),30.0)</f>
        <v>30</v>
      </c>
      <c r="C78">
        <f>IFERROR(__xludf.DUMMYFUNCTION("""COMPUTED_VALUE"""),35.0)</f>
        <v>35</v>
      </c>
      <c r="D78">
        <f>IFERROR(__xludf.DUMMYFUNCTION("""COMPUTED_VALUE"""),30.0)</f>
        <v>30</v>
      </c>
      <c r="E78">
        <f>IFERROR(__xludf.DUMMYFUNCTION("""COMPUTED_VALUE"""),35.0)</f>
        <v>35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IFERROR(__xludf.DUMMYFUNCTION("""COMPUTED_VALUE"""),0.0)</f>
        <v>0</v>
      </c>
      <c r="I78">
        <f>IFERROR(__xludf.DUMMYFUNCTION("""COMPUTED_VALUE"""),10.0)</f>
        <v>10</v>
      </c>
      <c r="J78">
        <f>IFERROR(__xludf.DUMMYFUNCTION("""COMPUTED_VALUE"""),10.0)</f>
        <v>10</v>
      </c>
      <c r="K78">
        <f>IFERROR(__xludf.DUMMYFUNCTION("""COMPUTED_VALUE"""),60.0)</f>
        <v>60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2" t="str">
        <f>IFERROR(__xludf.DUMMYFUNCTION("IMPORTRANGE(""1jA96n0qbauznSt6-hkr51AslpxJqfrWgkafVtMV8_xU"",""Round 4!W1"")"),"Question: 21")</f>
        <v>Question: 21</v>
      </c>
      <c r="B79" s="3" t="s">
        <v>22</v>
      </c>
    </row>
    <row r="80">
      <c r="A80" s="2"/>
    </row>
    <row r="81">
      <c r="A81" s="1" t="s">
        <v>23</v>
      </c>
      <c r="B81" t="str">
        <f>IFERROR(__xludf.DUMMYFUNCTION("{IMPORTRANGE(""1xw1EOjVhrK1PNJfOYiUsuJNrlpV53SmfJxYsFFolQ3s"",""Round 4!C1:H3""),IMPORTRANGE(""1xw1EOjVhrK1PNJfOYiUsuJNrlpV53SmfJxYsFFolQ3s"",""Round 4!M1:R3"")}"),"Westview C (JV)")</f>
        <v>Westview C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IFERROR(__xludf.DUMMYFUNCTION("""COMPUTED_VALUE"""),"Del Norte (JV)")</f>
        <v>Del Norte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2" t="str">
        <f>IFERROR(__xludf.DUMMYFUNCTION("CONCAT(""A BP: "",IMPORTRANGE(""1xw1EOjVhrK1PNJfOYiUsuJNrlpV53SmfJxYsFFolQ3s"",""Round 4!I32""))"),"A BP: 170")</f>
        <v>A BP: 170</v>
      </c>
      <c r="B82" t="str">
        <f>IFERROR(__xludf.DUMMYFUNCTION("""COMPUTED_VALUE"""),"Score: 285")</f>
        <v>Score: 285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155")</f>
        <v>Score: 155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2" t="str">
        <f>IFERROR(__xludf.DUMMYFUNCTION("CONCAT(""B BP: "",IMPORTRANGE(""1xw1EOjVhrK1PNJfOYiUsuJNrlpV53SmfJxYsFFolQ3s"",""Round 4!S32""))"),"B BP: 90")</f>
        <v>B BP: 90</v>
      </c>
      <c r="B83" t="str">
        <f>IFERROR(__xludf.DUMMYFUNCTION("""COMPUTED_VALUE"""),"Rohan Kumar (11)")</f>
        <v>Rohan Kumar (11)</v>
      </c>
      <c r="C83" t="str">
        <f>IFERROR(__xludf.DUMMYFUNCTION("""COMPUTED_VALUE"""),"Aiken Wang (9)")</f>
        <v>Aiken Wang (9)</v>
      </c>
      <c r="D83" t="str">
        <f>IFERROR(__xludf.DUMMYFUNCTION("""COMPUTED_VALUE"""),"Radhika Sreelal (10)")</f>
        <v>Radhika Sreelal (10)</v>
      </c>
      <c r="E83" t="str">
        <f>IFERROR(__xludf.DUMMYFUNCTION("""COMPUTED_VALUE"""),"Player 4")</f>
        <v>Player 4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IFERROR(__xludf.DUMMYFUNCTION("""COMPUTED_VALUE"""),"Kinish Sathish (9)")</f>
        <v>Kinish Sathish (9)</v>
      </c>
      <c r="I83" t="str">
        <f>IFERROR(__xludf.DUMMYFUNCTION("""COMPUTED_VALUE"""),"Kyle Nagasawa (11)")</f>
        <v>Kyle Nagasawa (11)</v>
      </c>
      <c r="J83" t="str">
        <f>IFERROR(__xludf.DUMMYFUNCTION("""COMPUTED_VALUE"""),"Player 3")</f>
        <v>Player 3</v>
      </c>
      <c r="K83" t="str">
        <f>IFERROR(__xludf.DUMMYFUNCTION("""COMPUTED_VALUE"""),"Player 4")</f>
        <v>Player 4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1" t="s">
        <v>2</v>
      </c>
      <c r="B84">
        <f>IFERROR(__xludf.DUMMYFUNCTION("{IMPORTRANGE(""1xw1EOjVhrK1PNJfOYiUsuJNrlpV53SmfJxYsFFolQ3s"",""Round 4!C32:H36""),IMPORTRANGE(""1xw1EOjVhrK1PNJfOYiUsuJNrlpV53SmfJxYsFFolQ3s"",""Round 4!M32:R36"")}"),20.0)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1">
        <v>15.0</v>
      </c>
      <c r="B85">
        <f>IFERROR(__xludf.DUMMYFUNCTION("""COMPUTED_VALUE"""),1.0)</f>
        <v>1</v>
      </c>
      <c r="C85">
        <f>IFERROR(__xludf.DUMMYFUNCTION("""COMPUTED_VALUE"""),2.0)</f>
        <v>2</v>
      </c>
      <c r="D85">
        <f>IFERROR(__xludf.DUMMYFUNCTION("""COMPUTED_VALUE"""),1.0)</f>
        <v>1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IFERROR(__xludf.DUMMYFUNCTION("""COMPUTED_VALUE"""),2.0)</f>
        <v>2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1">
        <v>10.0</v>
      </c>
      <c r="B86">
        <f>IFERROR(__xludf.DUMMYFUNCTION("""COMPUTED_VALUE"""),6.0)</f>
        <v>6</v>
      </c>
      <c r="C86">
        <f>IFERROR(__xludf.DUMMYFUNCTION("""COMPUTED_VALUE"""),1.0)</f>
        <v>1</v>
      </c>
      <c r="D86">
        <f>IFERROR(__xludf.DUMMYFUNCTION("""COMPUTED_VALUE"""),0.0)</f>
        <v>0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IFERROR(__xludf.DUMMYFUNCTION("""COMPUTED_VALUE"""),2.0)</f>
        <v>2</v>
      </c>
      <c r="I86">
        <f>IFERROR(__xludf.DUMMYFUNCTION("""COMPUTED_VALUE"""),2.0)</f>
        <v>2</v>
      </c>
      <c r="J86">
        <f>IFERROR(__xludf.DUMMYFUNCTION("""COMPUTED_VALUE"""),0.0)</f>
        <v>0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1">
        <v>-5.0</v>
      </c>
      <c r="B87">
        <f>IFERROR(__xludf.DUMMYFUNCTION("""COMPUTED_VALUE"""),1.0)</f>
        <v>1</v>
      </c>
      <c r="C87">
        <f>IFERROR(__xludf.DUMMYFUNCTION("""COMPUTED_VALUE"""),1.0)</f>
        <v>1</v>
      </c>
      <c r="D87">
        <f>IFERROR(__xludf.DUMMYFUNCTION("""COMPUTED_VALUE"""),1.0)</f>
        <v>1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IFERROR(__xludf.DUMMYFUNCTION("""COMPUTED_VALUE"""),1.0)</f>
        <v>1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1" t="s">
        <v>3</v>
      </c>
      <c r="B88">
        <f>IFERROR(__xludf.DUMMYFUNCTION("""COMPUTED_VALUE"""),70.0)</f>
        <v>70</v>
      </c>
      <c r="C88">
        <f>IFERROR(__xludf.DUMMYFUNCTION("""COMPUTED_VALUE"""),35.0)</f>
        <v>35</v>
      </c>
      <c r="D88">
        <f>IFERROR(__xludf.DUMMYFUNCTION("""COMPUTED_VALUE"""),10.0)</f>
        <v>10</v>
      </c>
      <c r="E88">
        <f>IFERROR(__xludf.DUMMYFUNCTION("""COMPUTED_VALUE"""),0.0)</f>
        <v>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IFERROR(__xludf.DUMMYFUNCTION("""COMPUTED_VALUE"""),15.0)</f>
        <v>15</v>
      </c>
      <c r="I88">
        <f>IFERROR(__xludf.DUMMYFUNCTION("""COMPUTED_VALUE"""),50.0)</f>
        <v>50</v>
      </c>
      <c r="J88">
        <f>IFERROR(__xludf.DUMMYFUNCTION("""COMPUTED_VALUE"""),0.0)</f>
        <v>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2" t="str">
        <f>IFERROR(__xludf.DUMMYFUNCTION("IMPORTRANGE(""1xw1EOjVhrK1PNJfOYiUsuJNrlpV53SmfJxYsFFolQ3s"",""Round 4!W1"")"),"Question: 21")</f>
        <v>Question: 21</v>
      </c>
      <c r="B89" s="3" t="s">
        <v>25</v>
      </c>
    </row>
    <row r="90">
      <c r="A90" s="2"/>
    </row>
    <row r="91">
      <c r="A91" s="1" t="s">
        <v>26</v>
      </c>
      <c r="B91" t="str">
        <f>IFERROR(__xludf.DUMMYFUNCTION("{IMPORTRANGE(""15wOrdFuJAb1a4MoX5CG4apiBD2jUJ7mBu58Uk-8Mo7s"",""Round 4!C1:H3""),IMPORTRANGE(""15wOrdFuJAb1a4MoX5CG4apiBD2jUJ7mBu58Uk-8Mo7s"",""Round 4!M1:R3"")}"),"Team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2" t="str">
        <f>IFERROR(__xludf.DUMMYFUNCTION("CONCAT(""A BP: "",IMPORTRANGE(""15wOrdFuJAb1a4MoX5CG4apiBD2jUJ7mBu58Uk-8Mo7s"",""Round 4!I32""))"),"A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2" t="str">
        <f>IFERROR(__xludf.DUMMYFUNCTION("CONCAT(""B BP: "",IMPORTRANGE(""15wOrdFuJAb1a4MoX5CG4apiBD2jUJ7mBu58Uk-8Mo7s"",""Round 4!S32""))"),"B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1" t="s">
        <v>2</v>
      </c>
      <c r="B94">
        <f>IFERROR(__xludf.DUMMYFUNCTION("{IMPORTRANGE(""15wOrdFuJAb1a4MoX5CG4apiBD2jUJ7mBu58Uk-8Mo7s"",""Round 4!C32:H36""),IMPORTRANGE(""15wOrdFuJAb1a4MoX5CG4apiBD2jUJ7mBu58Uk-8Mo7s"",""Round 4!M32:R36"")}"),20.0)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1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1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1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1" t="s">
        <v>3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2" t="str">
        <f>IFERROR(__xludf.DUMMYFUNCTION("IMPORTRANGE(""15wOrdFuJAb1a4MoX5CG4apiBD2jUJ7mBu58Uk-8Mo7s"",""Round 4!W1"")"),"Question: 1")</f>
        <v>Question: 1</v>
      </c>
      <c r="B99" s="3" t="s">
        <v>27</v>
      </c>
    </row>
    <row r="100">
      <c r="A100" s="2"/>
    </row>
    <row r="101">
      <c r="A101" s="1" t="s">
        <v>28</v>
      </c>
      <c r="B101" t="str">
        <f>IFERROR(__xludf.DUMMYFUNCTION("{IMPORTRANGE(""1GfJqS1rsy-VutTmPVnm9E2VdinIG-GnQO5b3bhaiX1s"",""Round 4!C1:H3""),IMPORTRANGE(""1GfJqS1rsy-VutTmPVnm9E2VdinIG-GnQO5b3bhaiX1s"",""Round 4!M1:R3"")}"),"Team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2" t="str">
        <f>IFERROR(__xludf.DUMMYFUNCTION("CONCAT(""A BP: "",IMPORTRANGE(""1GfJqS1rsy-VutTmPVnm9E2VdinIG-GnQO5b3bhaiX1s"",""Round 4!I32""))"),"A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2" t="str">
        <f>IFERROR(__xludf.DUMMYFUNCTION("CONCAT(""B BP: "",IMPORTRANGE(""1GfJqS1rsy-VutTmPVnm9E2VdinIG-GnQO5b3bhaiX1s"",""Round 4!S32""))"),"B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1" t="s">
        <v>2</v>
      </c>
      <c r="B104">
        <f>IFERROR(__xludf.DUMMYFUNCTION("{IMPORTRANGE(""1GfJqS1rsy-VutTmPVnm9E2VdinIG-GnQO5b3bhaiX1s"",""Round 4!C32:H36""),IMPORTRANGE(""1GfJqS1rsy-VutTmPVnm9E2VdinIG-GnQO5b3bhaiX1s"",""Round 4!M32:R36"")}"),20.0)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1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1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1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1" t="s">
        <v>3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2" t="str">
        <f>IFERROR(__xludf.DUMMYFUNCTION("IMPORTRANGE(""1GfJqS1rsy-VutTmPVnm9E2VdinIG-GnQO5b3bhaiX1s"",""Round 4!W1"")"),"Question: 1")</f>
        <v>Question: 1</v>
      </c>
      <c r="B109" s="3" t="s">
        <v>29</v>
      </c>
    </row>
    <row r="110">
      <c r="A110" s="2"/>
    </row>
    <row r="111">
      <c r="A111" s="1" t="s">
        <v>30</v>
      </c>
      <c r="B111" t="str">
        <f>IFERROR(__xludf.DUMMYFUNCTION("{IMPORTRANGE(""17CLUEFflDBSa8dyH5vsXfHme4RV8IhzD-mxe9_c9I5k"",""Round 4!C1:H3""),IMPORTRANGE(""17CLUEFflDBSa8dyH5vsXfHme4RV8IhzD-mxe9_c9I5k"",""Round 4!M1:R3"")}"),"La Jolla (V)")</f>
        <v>La Jolla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IFERROR(__xludf.DUMMYFUNCTION("""COMPUTED_VALUE"""),"Santa Monica A (V)")</f>
        <v>Santa Monica A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2" t="str">
        <f>IFERROR(__xludf.DUMMYFUNCTION("CONCAT(""A BP: "",IMPORTRANGE(""17CLUEFflDBSa8dyH5vsXfHme4RV8IhzD-mxe9_c9I5k"",""Round 4!I32""))"),"A BP: 60")</f>
        <v>A BP: 60</v>
      </c>
      <c r="B112" t="str">
        <f>IFERROR(__xludf.DUMMYFUNCTION("""COMPUTED_VALUE"""),"Score: 85")</f>
        <v>Score: 85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380")</f>
        <v>Score: 380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2" t="str">
        <f>IFERROR(__xludf.DUMMYFUNCTION("CONCAT(""B BP: "",IMPORTRANGE(""17CLUEFflDBSa8dyH5vsXfHme4RV8IhzD-mxe9_c9I5k"",""Round 4!S32""))"),"B BP: 240")</f>
        <v>B BP: 240</v>
      </c>
      <c r="B113" t="str">
        <f>IFERROR(__xludf.DUMMYFUNCTION("""COMPUTED_VALUE"""),"David Smith (11)")</f>
        <v>David Smith (11)</v>
      </c>
      <c r="C113" t="str">
        <f>IFERROR(__xludf.DUMMYFUNCTION("""COMPUTED_VALUE"""),"Kevin Park (11)")</f>
        <v>Kevin Park (11)</v>
      </c>
      <c r="D113" t="str">
        <f>IFERROR(__xludf.DUMMYFUNCTION("""COMPUTED_VALUE"""),"Richard Chao (11)")</f>
        <v>Richard Chao (11)</v>
      </c>
      <c r="E113" t="str">
        <f>IFERROR(__xludf.DUMMYFUNCTION("""COMPUTED_VALUE"""),"Caleb Cruz (11)")</f>
        <v>Caleb Cruz (11)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IFERROR(__xludf.DUMMYFUNCTION("""COMPUTED_VALUE"""),"Josh Xu (11)")</f>
        <v>Josh Xu (11)</v>
      </c>
      <c r="I113" t="str">
        <f>IFERROR(__xludf.DUMMYFUNCTION("""COMPUTED_VALUE"""),"Player 2")</f>
        <v>Player 2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1" t="s">
        <v>2</v>
      </c>
      <c r="B114">
        <f>IFERROR(__xludf.DUMMYFUNCTION("{IMPORTRANGE(""17CLUEFflDBSa8dyH5vsXfHme4RV8IhzD-mxe9_c9I5k"",""Round 4!C32:H36""),IMPORTRANGE(""17CLUEFflDBSa8dyH5vsXfHme4RV8IhzD-mxe9_c9I5k"",""Round 4!M32:R36"")}"),20.0)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1">
        <v>15.0</v>
      </c>
      <c r="B115">
        <f>IFERROR(__xludf.DUMMYFUNCTION("""COMPUTED_VALUE"""),1.0)</f>
        <v>1</v>
      </c>
      <c r="C115">
        <f>IFERROR(__xludf.DUMMYFUNCTION("""COMPUTED_VALUE"""),0.0)</f>
        <v>0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IFERROR(__xludf.DUMMYFUNCTION("""COMPUTED_VALUE"""),3.0)</f>
        <v>3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1">
        <v>10.0</v>
      </c>
      <c r="B116">
        <f>IFERROR(__xludf.DUMMYFUNCTION("""COMPUTED_VALUE"""),1.0)</f>
        <v>1</v>
      </c>
      <c r="C116">
        <f>IFERROR(__xludf.DUMMYFUNCTION("""COMPUTED_VALUE"""),1.0)</f>
        <v>1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IFERROR(__xludf.DUMMYFUNCTION("""COMPUTED_VALUE"""),10.0)</f>
        <v>10</v>
      </c>
      <c r="I116">
        <f>IFERROR(__xludf.DUMMYFUNCTION("""COMPUTED_VALUE"""),0.0)</f>
        <v>0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1">
        <v>-5.0</v>
      </c>
      <c r="B117">
        <f>IFERROR(__xludf.DUMMYFUNCTION("""COMPUTED_VALUE"""),0.0)</f>
        <v>0</v>
      </c>
      <c r="C117">
        <f>IFERROR(__xludf.DUMMYFUNCTION("""COMPUTED_VALUE"""),1.0)</f>
        <v>1</v>
      </c>
      <c r="D117">
        <f>IFERROR(__xludf.DUMMYFUNCTION("""COMPUTED_VALUE"""),1.0)</f>
        <v>1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IFERROR(__xludf.DUMMYFUNCTION("""COMPUTED_VALUE"""),1.0)</f>
        <v>1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1" t="s">
        <v>3</v>
      </c>
      <c r="B118">
        <f>IFERROR(__xludf.DUMMYFUNCTION("""COMPUTED_VALUE"""),25.0)</f>
        <v>25</v>
      </c>
      <c r="C118">
        <f>IFERROR(__xludf.DUMMYFUNCTION("""COMPUTED_VALUE"""),5.0)</f>
        <v>5</v>
      </c>
      <c r="D118">
        <f>IFERROR(__xludf.DUMMYFUNCTION("""COMPUTED_VALUE"""),-5.0)</f>
        <v>-5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IFERROR(__xludf.DUMMYFUNCTION("""COMPUTED_VALUE"""),140.0)</f>
        <v>140</v>
      </c>
      <c r="I118">
        <f>IFERROR(__xludf.DUMMYFUNCTION("""COMPUTED_VALUE"""),0.0)</f>
        <v>0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2" t="str">
        <f>IFERROR(__xludf.DUMMYFUNCTION("IMPORTRANGE(""17CLUEFflDBSa8dyH5vsXfHme4RV8IhzD-mxe9_c9I5k"",""Round 4!W1"")"),"Question: 21")</f>
        <v>Question: 21</v>
      </c>
      <c r="B119" s="3" t="s">
        <v>31</v>
      </c>
    </row>
    <row r="120">
      <c r="A120" s="2"/>
    </row>
    <row r="121">
      <c r="A121" s="1" t="s">
        <v>46</v>
      </c>
      <c r="B121" t="str">
        <f>IFERROR(__xludf.DUMMYFUNCTION("{IMPORTRANGE(""1Knt8XDGFY_MP2OzeadT1pDENTLOdk9Ab_Rd9IdW0kzc"",""Round 4!C1:H3""),IMPORTRANGE(""1Knt8XDGFY_MP2OzeadT1pDENTLOdk9Ab_Rd9IdW0kzc"",""Round 4!M1:R3"")}"),"Santa Monica B (V)")</f>
        <v>Santa Monica B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IFERROR(__xludf.DUMMYFUNCTION("""COMPUTED_VALUE"""),"Westview B (V)")</f>
        <v>Westview B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2" t="str">
        <f>IFERROR(__xludf.DUMMYFUNCTION("CONCAT(""A BP: "",IMPORTRANGE(""1Knt8XDGFY_MP2OzeadT1pDENTLOdk9Ab_Rd9IdW0kzc"",""Round 4!I32""))"),"A BP: 50")</f>
        <v>A BP: 50</v>
      </c>
      <c r="B122" t="str">
        <f>IFERROR(__xludf.DUMMYFUNCTION("""COMPUTED_VALUE"""),"Score: 145")</f>
        <v>Score: 145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220")</f>
        <v>Score: 220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2" t="str">
        <f>IFERROR(__xludf.DUMMYFUNCTION("CONCAT(""B BP: "",IMPORTRANGE(""1Knt8XDGFY_MP2OzeadT1pDENTLOdk9Ab_Rd9IdW0kzc"",""Round 4!S32""))"),"B BP: 160")</f>
        <v>B BP: 160</v>
      </c>
      <c r="B123" t="str">
        <f>IFERROR(__xludf.DUMMYFUNCTION("""COMPUTED_VALUE"""),"Kethan Raman (10)")</f>
        <v>Kethan Raman (10)</v>
      </c>
      <c r="C123" t="str">
        <f>IFERROR(__xludf.DUMMYFUNCTION("""COMPUTED_VALUE"""),"Ethan Hopkins (10)")</f>
        <v>Ethan Hopkins (10)</v>
      </c>
      <c r="D123" t="str">
        <f>IFERROR(__xludf.DUMMYFUNCTION("""COMPUTED_VALUE"""),"Jacob Cohen (10)")</f>
        <v>Jacob Cohen (10)</v>
      </c>
      <c r="E123" t="str">
        <f>IFERROR(__xludf.DUMMYFUNCTION("""COMPUTED_VALUE"""),"Player 4")</f>
        <v>Player 4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IFERROR(__xludf.DUMMYFUNCTION("""COMPUTED_VALUE"""),"Nicholas Dai (11)")</f>
        <v>Nicholas Dai (11)</v>
      </c>
      <c r="I123" t="str">
        <f>IFERROR(__xludf.DUMMYFUNCTION("""COMPUTED_VALUE"""),"Pramod Shastry (9)")</f>
        <v>Pramod Shastry (9)</v>
      </c>
      <c r="J123" t="str">
        <f>IFERROR(__xludf.DUMMYFUNCTION("""COMPUTED_VALUE"""),"Richard Lin (9)")</f>
        <v>Richard Lin (9)</v>
      </c>
      <c r="K123" t="str">
        <f>IFERROR(__xludf.DUMMYFUNCTION("""COMPUTED_VALUE"""),"Andrew Jia (11)")</f>
        <v>Andrew Jia (11)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1" t="s">
        <v>2</v>
      </c>
      <c r="B124">
        <f>IFERROR(__xludf.DUMMYFUNCTION("{IMPORTRANGE(""1Knt8XDGFY_MP2OzeadT1pDENTLOdk9Ab_Rd9IdW0kzc"",""Round 4!C32:H36""),IMPORTRANGE(""1Knt8XDGFY_MP2OzeadT1pDENTLOdk9Ab_Rd9IdW0kzc"",""Round 4!M32:R36"")}"),20.0)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1">
        <v>15.0</v>
      </c>
      <c r="B125">
        <f>IFERROR(__xludf.DUMMYFUNCTION("""COMPUTED_VALUE"""),2.0)</f>
        <v>2</v>
      </c>
      <c r="C125">
        <f>IFERROR(__xludf.DUMMYFUNCTION("""COMPUTED_VALUE"""),0.0)</f>
        <v>0</v>
      </c>
      <c r="D125">
        <f>IFERROR(__xludf.DUMMYFUNCTION("""COMPUTED_VALUE"""),1.0)</f>
        <v>1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IFERROR(__xludf.DUMMYFUNCTION("""COMPUTED_VALUE"""),0.0)</f>
        <v>0</v>
      </c>
      <c r="K125">
        <f>IFERROR(__xludf.DUMMYFUNCTION("""COMPUTED_VALUE"""),2.0)</f>
        <v>2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1">
        <v>10.0</v>
      </c>
      <c r="B126">
        <f>IFERROR(__xludf.DUMMYFUNCTION("""COMPUTED_VALUE"""),5.0)</f>
        <v>5</v>
      </c>
      <c r="C126">
        <f>IFERROR(__xludf.DUMMYFUNCTION("""COMPUTED_VALUE"""),0.0)</f>
        <v>0</v>
      </c>
      <c r="D126">
        <f>IFERROR(__xludf.DUMMYFUNCTION("""COMPUTED_VALUE"""),0.0)</f>
        <v>0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IFERROR(__xludf.DUMMYFUNCTION("""COMPUTED_VALUE"""),2.0)</f>
        <v>2</v>
      </c>
      <c r="I126">
        <f>IFERROR(__xludf.DUMMYFUNCTION("""COMPUTED_VALUE"""),0.0)</f>
        <v>0</v>
      </c>
      <c r="J126">
        <f>IFERROR(__xludf.DUMMYFUNCTION("""COMPUTED_VALUE"""),3.0)</f>
        <v>3</v>
      </c>
      <c r="K126">
        <f>IFERROR(__xludf.DUMMYFUNCTION("""COMPUTED_VALUE"""),1.0)</f>
        <v>1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1">
        <v>-5.0</v>
      </c>
      <c r="B127">
        <f>IFERROR(__xludf.DUMMYFUNCTION("""COMPUTED_VALUE"""),0.0)</f>
        <v>0</v>
      </c>
      <c r="C127">
        <f>IFERROR(__xludf.DUMMYFUNCTION("""COMPUTED_VALUE"""),0.0)</f>
        <v>0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IFERROR(__xludf.DUMMYFUNCTION("""COMPUTED_VALUE"""),1.0)</f>
        <v>1</v>
      </c>
      <c r="I127">
        <f>IFERROR(__xludf.DUMMYFUNCTION("""COMPUTED_VALUE"""),3.0)</f>
        <v>3</v>
      </c>
      <c r="J127">
        <f>IFERROR(__xludf.DUMMYFUNCTION("""COMPUTED_VALUE"""),0.0)</f>
        <v>0</v>
      </c>
      <c r="K127">
        <f>IFERROR(__xludf.DUMMYFUNCTION("""COMPUTED_VALUE"""),2.0)</f>
        <v>2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1" t="s">
        <v>3</v>
      </c>
      <c r="B128">
        <f>IFERROR(__xludf.DUMMYFUNCTION("""COMPUTED_VALUE"""),80.0)</f>
        <v>80</v>
      </c>
      <c r="C128">
        <f>IFERROR(__xludf.DUMMYFUNCTION("""COMPUTED_VALUE"""),0.0)</f>
        <v>0</v>
      </c>
      <c r="D128">
        <f>IFERROR(__xludf.DUMMYFUNCTION("""COMPUTED_VALUE"""),15.0)</f>
        <v>15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IFERROR(__xludf.DUMMYFUNCTION("""COMPUTED_VALUE"""),15.0)</f>
        <v>15</v>
      </c>
      <c r="I128">
        <f>IFERROR(__xludf.DUMMYFUNCTION("""COMPUTED_VALUE"""),-15.0)</f>
        <v>-15</v>
      </c>
      <c r="J128">
        <f>IFERROR(__xludf.DUMMYFUNCTION("""COMPUTED_VALUE"""),30.0)</f>
        <v>30</v>
      </c>
      <c r="K128">
        <f>IFERROR(__xludf.DUMMYFUNCTION("""COMPUTED_VALUE"""),30.0)</f>
        <v>30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2" t="str">
        <f>IFERROR(__xludf.DUMMYFUNCTION("IMPORTRANGE(""1Knt8XDGFY_MP2OzeadT1pDENTLOdk9Ab_Rd9IdW0kzc"",""Round 4!W1"")"),"Question: 21")</f>
        <v>Question: 21</v>
      </c>
      <c r="B129" s="3" t="s">
        <v>33</v>
      </c>
    </row>
    <row r="130">
      <c r="A130" s="2"/>
    </row>
    <row r="131">
      <c r="A131" s="1" t="s">
        <v>47</v>
      </c>
      <c r="B131" t="str">
        <f>IFERROR(__xludf.DUMMYFUNCTION("{IMPORTRANGE(""16i4gsLDaJasgGgtJt27HweoboYNaal3qpX3MtxIR2f0"",""Round 4!C1:H3""),IMPORTRANGE(""16i4gsLDaJasgGgtJt27HweoboYNaal3qpX3MtxIR2f0"",""Round 4!M1:R3"")}"),"Canyon Crest B (V)")</f>
        <v>Canyon Crest B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IFERROR(__xludf.DUMMYFUNCTION("""COMPUTED_VALUE"""),"Cathedral Catholic (V)")</f>
        <v>Cathedral Catholic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2" t="str">
        <f>IFERROR(__xludf.DUMMYFUNCTION("CONCAT(""A BP: "",IMPORTRANGE(""16i4gsLDaJasgGgtJt27HweoboYNaal3qpX3MtxIR2f0"",""Round 4!I32""))"),"A BP: 220")</f>
        <v>A BP: 220</v>
      </c>
      <c r="B132" t="str">
        <f>IFERROR(__xludf.DUMMYFUNCTION("""COMPUTED_VALUE"""),"Score: 370")</f>
        <v>Score: 370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30")</f>
        <v>Score: 30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2" t="str">
        <f>IFERROR(__xludf.DUMMYFUNCTION("CONCAT(""B BP: "",IMPORTRANGE(""16i4gsLDaJasgGgtJt27HweoboYNaal3qpX3MtxIR2f0"",""Round 4!S32""))"),"B BP: 20")</f>
        <v>B BP: 20</v>
      </c>
      <c r="B133" t="str">
        <f>IFERROR(__xludf.DUMMYFUNCTION("""COMPUTED_VALUE"""),"Shreyank Kadadi (12)")</f>
        <v>Shreyank Kadadi (12)</v>
      </c>
      <c r="C133" t="str">
        <f>IFERROR(__xludf.DUMMYFUNCTION("""COMPUTED_VALUE"""),"Jonathan Hsieh (12)")</f>
        <v>Jonathan Hsieh (12)</v>
      </c>
      <c r="D133" t="str">
        <f>IFERROR(__xludf.DUMMYFUNCTION("""COMPUTED_VALUE"""),"Kevin Luo (10)")</f>
        <v>Kevin Luo (10)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IFERROR(__xludf.DUMMYFUNCTION("""COMPUTED_VALUE"""),"Ryan Shakiba (10)")</f>
        <v>Ryan Shakiba (10)</v>
      </c>
      <c r="I133" t="str">
        <f>IFERROR(__xludf.DUMMYFUNCTION("""COMPUTED_VALUE"""),"Mikayla Nang (11)")</f>
        <v>Mikayla Nang (11)</v>
      </c>
      <c r="J133" t="str">
        <f>IFERROR(__xludf.DUMMYFUNCTION("""COMPUTED_VALUE"""),"Jacob Titcomb (11)")</f>
        <v>Jacob Titcomb (11)</v>
      </c>
      <c r="K133" t="str">
        <f>IFERROR(__xludf.DUMMYFUNCTION("""COMPUTED_VALUE"""),"Sinead Archdeacon (10)")</f>
        <v>Sinead Archdeacon (10)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1" t="s">
        <v>2</v>
      </c>
      <c r="B134">
        <f>IFERROR(__xludf.DUMMYFUNCTION("{IMPORTRANGE(""16i4gsLDaJasgGgtJt27HweoboYNaal3qpX3MtxIR2f0"",""Round 4!C32:H36""),IMPORTRANGE(""16i4gsLDaJasgGgtJt27HweoboYNaal3qpX3MtxIR2f0"",""Round 4!M32:R36"")}"),20.0)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1">
        <v>15.0</v>
      </c>
      <c r="B135">
        <f>IFERROR(__xludf.DUMMYFUNCTION("""COMPUTED_VALUE"""),3.0)</f>
        <v>3</v>
      </c>
      <c r="C135">
        <f>IFERROR(__xludf.DUMMYFUNCTION("""COMPUTED_VALUE"""),2.0)</f>
        <v>2</v>
      </c>
      <c r="D135">
        <f>IFERROR(__xludf.DUMMYFUNCTION("""COMPUTED_VALUE"""),1.0)</f>
        <v>1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IFERROR(__xludf.DUMMYFUNCTION("""COMPUTED_VALUE"""),0.0)</f>
        <v>0</v>
      </c>
      <c r="I135">
        <f>IFERROR(__xludf.DUMMYFUNCTION("""COMPUTED_VALUE"""),0.0)</f>
        <v>0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1">
        <v>10.0</v>
      </c>
      <c r="B136">
        <f>IFERROR(__xludf.DUMMYFUNCTION("""COMPUTED_VALUE"""),6.0)</f>
        <v>6</v>
      </c>
      <c r="C136">
        <f>IFERROR(__xludf.DUMMYFUNCTION("""COMPUTED_VALUE"""),0.0)</f>
        <v>0</v>
      </c>
      <c r="D136">
        <f>IFERROR(__xludf.DUMMYFUNCTION("""COMPUTED_VALUE"""),2.0)</f>
        <v>2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IFERROR(__xludf.DUMMYFUNCTION("""COMPUTED_VALUE"""),1.0)</f>
        <v>1</v>
      </c>
      <c r="I136">
        <f>IFERROR(__xludf.DUMMYFUNCTION("""COMPUTED_VALUE"""),0.0)</f>
        <v>0</v>
      </c>
      <c r="J136">
        <f>IFERROR(__xludf.DUMMYFUNCTION("""COMPUTED_VALUE"""),0.0)</f>
        <v>0</v>
      </c>
      <c r="K136">
        <f>IFERROR(__xludf.DUMMYFUNCTION("""COMPUTED_VALUE"""),1.0)</f>
        <v>1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1">
        <v>-5.0</v>
      </c>
      <c r="B137">
        <f>IFERROR(__xludf.DUMMYFUNCTION("""COMPUTED_VALUE"""),3.0)</f>
        <v>3</v>
      </c>
      <c r="C137">
        <f>IFERROR(__xludf.DUMMYFUNCTION("""COMPUTED_VALUE"""),0.0)</f>
        <v>0</v>
      </c>
      <c r="D137">
        <f>IFERROR(__xludf.DUMMYFUNCTION("""COMPUTED_VALUE"""),1.0)</f>
        <v>1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IFERROR(__xludf.DUMMYFUNCTION("""COMPUTED_VALUE"""),2.0)</f>
        <v>2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1" t="s">
        <v>3</v>
      </c>
      <c r="B138">
        <f>IFERROR(__xludf.DUMMYFUNCTION("""COMPUTED_VALUE"""),90.0)</f>
        <v>90</v>
      </c>
      <c r="C138">
        <f>IFERROR(__xludf.DUMMYFUNCTION("""COMPUTED_VALUE"""),30.0)</f>
        <v>30</v>
      </c>
      <c r="D138">
        <f>IFERROR(__xludf.DUMMYFUNCTION("""COMPUTED_VALUE"""),30.0)</f>
        <v>30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IFERROR(__xludf.DUMMYFUNCTION("""COMPUTED_VALUE"""),0.0)</f>
        <v>0</v>
      </c>
      <c r="I138">
        <f>IFERROR(__xludf.DUMMYFUNCTION("""COMPUTED_VALUE"""),0.0)</f>
        <v>0</v>
      </c>
      <c r="J138">
        <f>IFERROR(__xludf.DUMMYFUNCTION("""COMPUTED_VALUE"""),0.0)</f>
        <v>0</v>
      </c>
      <c r="K138">
        <f>IFERROR(__xludf.DUMMYFUNCTION("""COMPUTED_VALUE"""),10.0)</f>
        <v>10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2" t="str">
        <f>IFERROR(__xludf.DUMMYFUNCTION("IMPORTRANGE(""16i4gsLDaJasgGgtJt27HweoboYNaal3qpX3MtxIR2f0"",""Round 4!W1"")"),"Question: 20")</f>
        <v>Question: 20</v>
      </c>
      <c r="B139" s="3" t="s">
        <v>35</v>
      </c>
    </row>
    <row r="140">
      <c r="A140" s="2"/>
    </row>
    <row r="141">
      <c r="A141" s="1" t="s">
        <v>48</v>
      </c>
      <c r="B141" t="str">
        <f>IFERROR(__xludf.DUMMYFUNCTION("{IMPORTRANGE(""1KRyI2c190uhOTF270Hsdzh1rgG565QIaE9TymteaGNY"",""Round 4!C1:H3""),IMPORTRANGE(""1KRyI2c190uhOTF270Hsdzh1rgG565QIaE9TymteaGNY"",""Round 4!M1:R3"")}"),"Arcadia (V)")</f>
        <v>Arcadia (V)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IFERROR(__xludf.DUMMYFUNCTION("""COMPUTED_VALUE"""),"Troy A (V)")</f>
        <v>Troy A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2" t="str">
        <f>IFERROR(__xludf.DUMMYFUNCTION("CONCAT(""A BP: "",IMPORTRANGE(""1KRyI2c190uhOTF270Hsdzh1rgG565QIaE9TymteaGNY"",""Round 4!I32""))"),"A BP: 130")</f>
        <v>A BP: 130</v>
      </c>
      <c r="B142" t="str">
        <f>IFERROR(__xludf.DUMMYFUNCTION("""COMPUTED_VALUE"""),"Score: 265")</f>
        <v>Score: 265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15")</f>
        <v>Score: 15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2" t="str">
        <f>IFERROR(__xludf.DUMMYFUNCTION("CONCAT(""B BP: "",IMPORTRANGE(""1KRyI2c190uhOTF270Hsdzh1rgG565QIaE9TymteaGNY"",""Round 4!S32""))"),"B BP: 0")</f>
        <v>B BP: 0</v>
      </c>
      <c r="B143" t="str">
        <f>IFERROR(__xludf.DUMMYFUNCTION("""COMPUTED_VALUE"""),"Spencer Cheng (12)")</f>
        <v>Spencer Cheng (12)</v>
      </c>
      <c r="C143" t="str">
        <f>IFERROR(__xludf.DUMMYFUNCTION("""COMPUTED_VALUE"""),"Ryan Sun (10)")</f>
        <v>Ryan Sun (10)</v>
      </c>
      <c r="D143" t="str">
        <f>IFERROR(__xludf.DUMMYFUNCTION("""COMPUTED_VALUE"""),"Michael Kwok (10)")</f>
        <v>Michael Kwok (10)</v>
      </c>
      <c r="E143" t="str">
        <f>IFERROR(__xludf.DUMMYFUNCTION("""COMPUTED_VALUE"""),"Sanjith Menon (10)")</f>
        <v>Sanjith Menon (10)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IFERROR(__xludf.DUMMYFUNCTION("""COMPUTED_VALUE"""),"Luke Park (11)")</f>
        <v>Luke Park (11)</v>
      </c>
      <c r="I143" t="str">
        <f>IFERROR(__xludf.DUMMYFUNCTION("""COMPUTED_VALUE"""),"Tyler Kim (11)")</f>
        <v>Tyler Kim (11)</v>
      </c>
      <c r="J143" t="str">
        <f>IFERROR(__xludf.DUMMYFUNCTION("""COMPUTED_VALUE"""),"Henry Tang (10)")</f>
        <v>Henry Tang (10)</v>
      </c>
      <c r="K143" t="str">
        <f>IFERROR(__xludf.DUMMYFUNCTION("""COMPUTED_VALUE"""),"Daniel Shin (10)")</f>
        <v>Daniel Shin (10)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1" t="s">
        <v>2</v>
      </c>
      <c r="B144">
        <f>IFERROR(__xludf.DUMMYFUNCTION("{IMPORTRANGE(""1KRyI2c190uhOTF270Hsdzh1rgG565QIaE9TymteaGNY"",""Round 4!C32:H36""),IMPORTRANGE(""1KRyI2c190uhOTF270Hsdzh1rgG565QIaE9TymteaGNY"",""Round 4!M32:R36"")}"),20.0)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1">
        <v>15.0</v>
      </c>
      <c r="B145">
        <f>IFERROR(__xludf.DUMMYFUNCTION("""COMPUTED_VALUE"""),3.0)</f>
        <v>3</v>
      </c>
      <c r="C145">
        <f>IFERROR(__xludf.DUMMYFUNCTION("""COMPUTED_VALUE"""),2.0)</f>
        <v>2</v>
      </c>
      <c r="D145">
        <f>IFERROR(__xludf.DUMMYFUNCTION("""COMPUTED_VALUE"""),1.0)</f>
        <v>1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1">
        <v>10.0</v>
      </c>
      <c r="B146">
        <f>IFERROR(__xludf.DUMMYFUNCTION("""COMPUTED_VALUE"""),2.0)</f>
        <v>2</v>
      </c>
      <c r="C146">
        <f>IFERROR(__xludf.DUMMYFUNCTION("""COMPUTED_VALUE"""),1.0)</f>
        <v>1</v>
      </c>
      <c r="D146">
        <f>IFERROR(__xludf.DUMMYFUNCTION("""COMPUTED_VALUE"""),3.0)</f>
        <v>3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IFERROR(__xludf.DUMMYFUNCTION("""COMPUTED_VALUE"""),0.0)</f>
        <v>0</v>
      </c>
      <c r="I146">
        <f>IFERROR(__xludf.DUMMYFUNCTION("""COMPUTED_VALUE"""),1.0)</f>
        <v>1</v>
      </c>
      <c r="J146">
        <f>IFERROR(__xludf.DUMMYFUNCTION("""COMPUTED_VALUE"""),1.0)</f>
        <v>1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1">
        <v>-5.0</v>
      </c>
      <c r="B147">
        <f>IFERROR(__xludf.DUMMYFUNCTION("""COMPUTED_VALUE"""),2.0)</f>
        <v>2</v>
      </c>
      <c r="C147">
        <f>IFERROR(__xludf.DUMMYFUNCTION("""COMPUTED_VALUE"""),1.0)</f>
        <v>1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IFERROR(__xludf.DUMMYFUNCTION("""COMPUTED_VALUE"""),1.0)</f>
        <v>1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1" t="s">
        <v>3</v>
      </c>
      <c r="B148">
        <f>IFERROR(__xludf.DUMMYFUNCTION("""COMPUTED_VALUE"""),55.0)</f>
        <v>55</v>
      </c>
      <c r="C148">
        <f>IFERROR(__xludf.DUMMYFUNCTION("""COMPUTED_VALUE"""),35.0)</f>
        <v>35</v>
      </c>
      <c r="D148">
        <f>IFERROR(__xludf.DUMMYFUNCTION("""COMPUTED_VALUE"""),45.0)</f>
        <v>45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IFERROR(__xludf.DUMMYFUNCTION("""COMPUTED_VALUE"""),0.0)</f>
        <v>0</v>
      </c>
      <c r="I148">
        <f>IFERROR(__xludf.DUMMYFUNCTION("""COMPUTED_VALUE"""),5.0)</f>
        <v>5</v>
      </c>
      <c r="J148">
        <f>IFERROR(__xludf.DUMMYFUNCTION("""COMPUTED_VALUE"""),10.0)</f>
        <v>10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2" t="str">
        <f>IFERROR(__xludf.DUMMYFUNCTION("IMPORTRANGE(""1KRyI2c190uhOTF270Hsdzh1rgG565QIaE9TymteaGNY"",""Round 4!W1"")"),"Question: 21")</f>
        <v>Question: 21</v>
      </c>
      <c r="B149" s="3" t="s">
        <v>37</v>
      </c>
    </row>
    <row r="150">
      <c r="A150" s="2"/>
    </row>
    <row r="151">
      <c r="A151" s="1" t="s">
        <v>49</v>
      </c>
      <c r="B151" t="str">
        <f>IFERROR(__xludf.DUMMYFUNCTION("{IMPORTRANGE(""1zr0uYCpJ5izByVOUCsr6JXezthGEdLXnwOrjIKGx5XI"",""Round 4!C1:H3""),IMPORTRANGE(""1zr0uYCpJ5izByVOUCsr6JXezthGEdLXnwOrjIKGx5XI"",""Round 4!M1:R3"")}"),"Westview A (V)")</f>
        <v>Westview A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IFERROR(__xludf.DUMMYFUNCTION("""COMPUTED_VALUE"""),"Canyon Crest C (V)")</f>
        <v>Canyon Crest C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2" t="str">
        <f>IFERROR(__xludf.DUMMYFUNCTION("CONCAT(""A BP: "",IMPORTRANGE(""1zr0uYCpJ5izByVOUCsr6JXezthGEdLXnwOrjIKGx5XI"",""Round 4!I32""))"),"A BP: 300")</f>
        <v>A BP: 300</v>
      </c>
      <c r="B152" t="str">
        <f>IFERROR(__xludf.DUMMYFUNCTION("""COMPUTED_VALUE"""),"Score: 435")</f>
        <v>Score: 435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50")</f>
        <v>Score: 50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2" t="str">
        <f>IFERROR(__xludf.DUMMYFUNCTION("CONCAT(""B BP: "",IMPORTRANGE(""1zr0uYCpJ5izByVOUCsr6JXezthGEdLXnwOrjIKGx5XI"",""Round 4!S32""))"),"B BP: 30")</f>
        <v>B BP: 30</v>
      </c>
      <c r="B153" t="str">
        <f>IFERROR(__xludf.DUMMYFUNCTION("""COMPUTED_VALUE"""),"Shahar Schwartz (12)")</f>
        <v>Shahar Schwartz (12)</v>
      </c>
      <c r="C153" t="str">
        <f>IFERROR(__xludf.DUMMYFUNCTION("""COMPUTED_VALUE"""),"Junu Song (12)")</f>
        <v>Junu Song (12)</v>
      </c>
      <c r="D153" t="str">
        <f>IFERROR(__xludf.DUMMYFUNCTION("""COMPUTED_VALUE"""),"Daniel Jung (12)")</f>
        <v>Daniel Jung (12)</v>
      </c>
      <c r="E153" t="str">
        <f>IFERROR(__xludf.DUMMYFUNCTION("""COMPUTED_VALUE"""),"Gary Lin (11)")</f>
        <v>Gary Lin (11)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IFERROR(__xludf.DUMMYFUNCTION("""COMPUTED_VALUE"""),"Paul Mola (11)")</f>
        <v>Paul Mola (11)</v>
      </c>
      <c r="I153" t="str">
        <f>IFERROR(__xludf.DUMMYFUNCTION("""COMPUTED_VALUE"""),"James Wright (11)")</f>
        <v>James Wright (11)</v>
      </c>
      <c r="J153" t="str">
        <f>IFERROR(__xludf.DUMMYFUNCTION("""COMPUTED_VALUE"""),"Player 3")</f>
        <v>Player 3</v>
      </c>
      <c r="K153" t="str">
        <f>IFERROR(__xludf.DUMMYFUNCTION("""COMPUTED_VALUE"""),"Player 4")</f>
        <v>Player 4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1" t="s">
        <v>2</v>
      </c>
      <c r="B154">
        <f>IFERROR(__xludf.DUMMYFUNCTION("{IMPORTRANGE(""1zr0uYCpJ5izByVOUCsr6JXezthGEdLXnwOrjIKGx5XI"",""Round 4!C32:H36""),IMPORTRANGE(""1zr0uYCpJ5izByVOUCsr6JXezthGEdLXnwOrjIKGx5XI"",""Round 4!M32:R36"")}"),20.0)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1">
        <v>15.0</v>
      </c>
      <c r="B155">
        <f>IFERROR(__xludf.DUMMYFUNCTION("""COMPUTED_VALUE"""),4.0)</f>
        <v>4</v>
      </c>
      <c r="C155">
        <f>IFERROR(__xludf.DUMMYFUNCTION("""COMPUTED_VALUE"""),1.0)</f>
        <v>1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IFERROR(__xludf.DUMMYFUNCTION("""COMPUTED_VALUE"""),0.0)</f>
        <v>0</v>
      </c>
      <c r="I155">
        <f>IFERROR(__xludf.DUMMYFUNCTION("""COMPUTED_VALUE"""),0.0)</f>
        <v>0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1">
        <v>10.0</v>
      </c>
      <c r="B156">
        <f>IFERROR(__xludf.DUMMYFUNCTION("""COMPUTED_VALUE"""),4.0)</f>
        <v>4</v>
      </c>
      <c r="C156">
        <f>IFERROR(__xludf.DUMMYFUNCTION("""COMPUTED_VALUE"""),2.0)</f>
        <v>2</v>
      </c>
      <c r="D156">
        <f>IFERROR(__xludf.DUMMYFUNCTION("""COMPUTED_VALUE"""),0.0)</f>
        <v>0</v>
      </c>
      <c r="E156">
        <f>IFERROR(__xludf.DUMMYFUNCTION("""COMPUTED_VALUE"""),3.0)</f>
        <v>3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IFERROR(__xludf.DUMMYFUNCTION("""COMPUTED_VALUE"""),2.0)</f>
        <v>2</v>
      </c>
      <c r="I156">
        <f>IFERROR(__xludf.DUMMYFUNCTION("""COMPUTED_VALUE"""),0.0)</f>
        <v>0</v>
      </c>
      <c r="J156">
        <f>IFERROR(__xludf.DUMMYFUNCTION("""COMPUTED_VALUE"""),0.0)</f>
        <v>0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1">
        <v>-5.0</v>
      </c>
      <c r="B157">
        <f>IFERROR(__xludf.DUMMYFUNCTION("""COMPUTED_VALUE"""),3.0)</f>
        <v>3</v>
      </c>
      <c r="C157">
        <f>IFERROR(__xludf.DUMMYFUNCTION("""COMPUTED_VALUE"""),0.0)</f>
        <v>0</v>
      </c>
      <c r="D157">
        <f>IFERROR(__xludf.DUMMYFUNCTION("""COMPUTED_VALUE"""),1.0)</f>
        <v>1</v>
      </c>
      <c r="E157">
        <f>IFERROR(__xludf.DUMMYFUNCTION("""COMPUTED_VALUE"""),2.0)</f>
        <v>2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IFERROR(__xludf.DUMMYFUNCTION("""COMPUTED_VALUE"""),0.0)</f>
        <v>0</v>
      </c>
      <c r="J157">
        <f>IFERROR(__xludf.DUMMYFUNCTION("""COMPUTED_VALUE"""),0.0)</f>
        <v>0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1" t="s">
        <v>3</v>
      </c>
      <c r="B158">
        <f>IFERROR(__xludf.DUMMYFUNCTION("""COMPUTED_VALUE"""),85.0)</f>
        <v>85</v>
      </c>
      <c r="C158">
        <f>IFERROR(__xludf.DUMMYFUNCTION("""COMPUTED_VALUE"""),35.0)</f>
        <v>35</v>
      </c>
      <c r="D158">
        <f>IFERROR(__xludf.DUMMYFUNCTION("""COMPUTED_VALUE"""),-5.0)</f>
        <v>-5</v>
      </c>
      <c r="E158">
        <f>IFERROR(__xludf.DUMMYFUNCTION("""COMPUTED_VALUE"""),20.0)</f>
        <v>20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IFERROR(__xludf.DUMMYFUNCTION("""COMPUTED_VALUE"""),20.0)</f>
        <v>20</v>
      </c>
      <c r="I158">
        <f>IFERROR(__xludf.DUMMYFUNCTION("""COMPUTED_VALUE"""),0.0)</f>
        <v>0</v>
      </c>
      <c r="J158">
        <f>IFERROR(__xludf.DUMMYFUNCTION("""COMPUTED_VALUE"""),0.0)</f>
        <v>0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2" t="str">
        <f>IFERROR(__xludf.DUMMYFUNCTION("IMPORTRANGE(""1zr0uYCpJ5izByVOUCsr6JXezthGEdLXnwOrjIKGx5XI"",""Round 4!W1"")"),"Question: 21")</f>
        <v>Question: 21</v>
      </c>
      <c r="B159" s="3" t="s">
        <v>39</v>
      </c>
    </row>
    <row r="160">
      <c r="A160" s="2"/>
    </row>
    <row r="161">
      <c r="A161" s="1" t="s">
        <v>50</v>
      </c>
      <c r="B161" t="str">
        <f>IFERROR(__xludf.DUMMYFUNCTION("{IMPORTRANGE(""1TVrjNI5RE1VozIr906BhaTKMFP0VPx8aUGpyt_loukE"",""Round 4!C1:H3""),IMPORTRANGE(""1TVrjNI5RE1VozIr906BhaTKMFP0VPx8aUGpyt_loukE"",""Round 4!M1:R3"")}"),"Scripps Ranch A (V)")</f>
        <v>Scripps Ranch A (V)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IFERROR(__xludf.DUMMYFUNCTION("""COMPUTED_VALUE"""),"Canyon Crest A (V)")</f>
        <v>Canyon Crest A (V)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2" t="str">
        <f>IFERROR(__xludf.DUMMYFUNCTION("CONCAT(""A BP: "",IMPORTRANGE(""1TVrjNI5RE1VozIr906BhaTKMFP0VPx8aUGpyt_loukE"",""Round 4!I32""))"),"A BP: 40")</f>
        <v>A BP: 40</v>
      </c>
      <c r="B162" t="str">
        <f>IFERROR(__xludf.DUMMYFUNCTION("""COMPUTED_VALUE"""),"Score: 70")</f>
        <v>Score: 70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405")</f>
        <v>Score: 405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2" t="str">
        <f>IFERROR(__xludf.DUMMYFUNCTION("CONCAT(""B BP: "",IMPORTRANGE(""1TVrjNI5RE1VozIr906BhaTKMFP0VPx8aUGpyt_loukE"",""Round 4!S32""))"),"B BP: 250")</f>
        <v>B BP: 250</v>
      </c>
      <c r="B163" t="str">
        <f>IFERROR(__xludf.DUMMYFUNCTION("""COMPUTED_VALUE"""),"Albert Gu (12)")</f>
        <v>Albert Gu (12)</v>
      </c>
      <c r="C163" t="str">
        <f>IFERROR(__xludf.DUMMYFUNCTION("""COMPUTED_VALUE"""),"Jeremy Ngo (12)")</f>
        <v>Jeremy Ngo (12)</v>
      </c>
      <c r="D163" t="str">
        <f>IFERROR(__xludf.DUMMYFUNCTION("""COMPUTED_VALUE"""),"Jack Hoover (12)")</f>
        <v>Jack Hoover (12)</v>
      </c>
      <c r="E163" t="str">
        <f>IFERROR(__xludf.DUMMYFUNCTION("""COMPUTED_VALUE"""),"Player 4")</f>
        <v>Player 4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IFERROR(__xludf.DUMMYFUNCTION("""COMPUTED_VALUE"""),"Leo Gu (10)")</f>
        <v>Leo Gu (10)</v>
      </c>
      <c r="I163" t="str">
        <f>IFERROR(__xludf.DUMMYFUNCTION("""COMPUTED_VALUE"""),"Wesley Zhang (12)")</f>
        <v>Wesley Zhang (12)</v>
      </c>
      <c r="J163" t="str">
        <f>IFERROR(__xludf.DUMMYFUNCTION("""COMPUTED_VALUE"""),"Player 3")</f>
        <v>Player 3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1" t="s">
        <v>2</v>
      </c>
      <c r="B164">
        <f>IFERROR(__xludf.DUMMYFUNCTION("{IMPORTRANGE(""1TVrjNI5RE1VozIr906BhaTKMFP0VPx8aUGpyt_loukE"",""Round 4!C32:H36""),IMPORTRANGE(""1TVrjNI5RE1VozIr906BhaTKMFP0VPx8aUGpyt_loukE"",""Round 4!M32:R36"")}"),20.0)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1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IFERROR(__xludf.DUMMYFUNCTION("""COMPUTED_VALUE"""),1.0)</f>
        <v>1</v>
      </c>
      <c r="I165">
        <f>IFERROR(__xludf.DUMMYFUNCTION("""COMPUTED_VALUE"""),5.0)</f>
        <v>5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1">
        <v>10.0</v>
      </c>
      <c r="B166">
        <f>IFERROR(__xludf.DUMMYFUNCTION("""COMPUTED_VALUE"""),0.0)</f>
        <v>0</v>
      </c>
      <c r="C166">
        <f>IFERROR(__xludf.DUMMYFUNCTION("""COMPUTED_VALUE"""),3.0)</f>
        <v>3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IFERROR(__xludf.DUMMYFUNCTION("""COMPUTED_VALUE"""),1.0)</f>
        <v>1</v>
      </c>
      <c r="I166">
        <f>IFERROR(__xludf.DUMMYFUNCTION("""COMPUTED_VALUE"""),7.0)</f>
        <v>7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1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IFERROR(__xludf.DUMMYFUNCTION("""COMPUTED_VALUE"""),2.0)</f>
        <v>2</v>
      </c>
      <c r="I167">
        <f>IFERROR(__xludf.DUMMYFUNCTION("""COMPUTED_VALUE"""),1.0)</f>
        <v>1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1" t="s">
        <v>3</v>
      </c>
      <c r="B168">
        <f>IFERROR(__xludf.DUMMYFUNCTION("""COMPUTED_VALUE"""),0.0)</f>
        <v>0</v>
      </c>
      <c r="C168">
        <f>IFERROR(__xludf.DUMMYFUNCTION("""COMPUTED_VALUE"""),30.0)</f>
        <v>30</v>
      </c>
      <c r="D168">
        <f>IFERROR(__xludf.DUMMYFUNCTION("""COMPUTED_VALUE"""),0.0)</f>
        <v>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IFERROR(__xludf.DUMMYFUNCTION("""COMPUTED_VALUE"""),15.0)</f>
        <v>15</v>
      </c>
      <c r="I168">
        <f>IFERROR(__xludf.DUMMYFUNCTION("""COMPUTED_VALUE"""),140.0)</f>
        <v>140</v>
      </c>
      <c r="J168">
        <f>IFERROR(__xludf.DUMMYFUNCTION("""COMPUTED_VALUE"""),0.0)</f>
        <v>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2" t="str">
        <f>IFERROR(__xludf.DUMMYFUNCTION("IMPORTRANGE(""1TVrjNI5RE1VozIr906BhaTKMFP0VPx8aUGpyt_loukE"",""Round 4!W1"")"),"Question: 21")</f>
        <v>Question: 21</v>
      </c>
      <c r="B169" s="3" t="s">
        <v>41</v>
      </c>
    </row>
    <row r="170">
      <c r="A170" s="2"/>
    </row>
    <row r="171">
      <c r="A171" s="1" t="s">
        <v>42</v>
      </c>
      <c r="B171" t="str">
        <f>IFERROR(__xludf.DUMMYFUNCTION("{IMPORTRANGE(""1xRz0po-ejgp-QRvMkY44z3u2CePgTccasdyrrVALbmE"",""Round 4!C1:H3""),IMPORTRANGE(""1xRz0po-ejgp-QRvMkY44z3u2CePgTccasdyrrVALbmE"",""Round 4!M1:R3"")}"),"Team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2" t="str">
        <f>IFERROR(__xludf.DUMMYFUNCTION("CONCAT(""A BP: "",IMPORTRANGE(""1xRz0po-ejgp-QRvMkY44z3u2CePgTccasdyrrVALbmE"",""Round 4!I32""))"),"A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2" t="str">
        <f>IFERROR(__xludf.DUMMYFUNCTION("CONCAT(""B BP: "",IMPORTRANGE(""1xRz0po-ejgp-QRvMkY44z3u2CePgTccasdyrrVALbmE"",""Round 4!S32""))"),"B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1" t="s">
        <v>2</v>
      </c>
      <c r="B174">
        <f>IFERROR(__xludf.DUMMYFUNCTION("{IMPORTRANGE(""1xRz0po-ejgp-QRvMkY44z3u2CePgTccasdyrrVALbmE"",""Round 4!C32:H36""),IMPORTRANGE(""1xRz0po-ejgp-QRvMkY44z3u2CePgTccasdyrrVALbmE"",""Round 4!M32:R36"")}"),20.0)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1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1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1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1" t="s">
        <v>3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2" t="str">
        <f>IFERROR(__xludf.DUMMYFUNCTION("IMPORTRANGE(""1xRz0po-ejgp-QRvMkY44z3u2CePgTccasdyrrVALbmE"",""Round 4!W1"")"),"Question: 1")</f>
        <v>Question: 1</v>
      </c>
      <c r="B179" s="3" t="s">
        <v>43</v>
      </c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 t="s">
        <v>0</v>
      </c>
      <c r="B1" t="str">
        <f>IFERROR(__xludf.DUMMYFUNCTION("{IMPORTRANGE(""1JXwZ4AjXctyKvWy9qFKCX518NRYJYhSX9Jii0HPBCUs"",""Round 5!C1:H3""),IMPORTRANGE(""1JXwZ4AjXctyKvWy9qFKCX518NRYJYhSX9Jii0HPBCUs"",""Round 5!M1:R3"")}"),"Team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2" t="str">
        <f>IFERROR(__xludf.DUMMYFUNCTION("CONCAT(""A BP: "",IMPORTRANGE(""1JXwZ4AjXctyKvWy9qFKCX518NRYJYhSX9Jii0HPBCUs"",""Round 5!I32""))"),"A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2" t="str">
        <f>IFERROR(__xludf.DUMMYFUNCTION("CONCAT(""B BP: "",IMPORTRANGE(""1JXwZ4AjXctyKvWy9qFKCX518NRYJYhSX9Jii0HPBCUs"",""Round 5!S32""))"),"B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1" t="s">
        <v>2</v>
      </c>
      <c r="B4">
        <f>IFERROR(__xludf.DUMMYFUNCTION("{IMPORTRANGE(""1JXwZ4AjXctyKvWy9qFKCX518NRYJYhSX9Jii0HPBCUs"",""Round 5!C32:H36""),IMPORTRANGE(""1JXwZ4AjXctyKvWy9qFKCX518NRYJYhSX9Jii0HPBCUs"",""Round 5!M32:R36"")}"),20.0)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1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1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1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1" t="s">
        <v>3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2" t="str">
        <f>IFERROR(__xludf.DUMMYFUNCTION("IMPORTRANGE(""1JXwZ4AjXctyKvWy9qFKCX518NRYJYhSX9Jii0HPBCUs"",""Round 5!W1"")"),"Question: 1")</f>
        <v>Question: 1</v>
      </c>
      <c r="B9" s="3" t="s">
        <v>4</v>
      </c>
    </row>
    <row r="10">
      <c r="A10" s="1"/>
    </row>
    <row r="11">
      <c r="A11" s="1" t="s">
        <v>5</v>
      </c>
      <c r="B11" t="str">
        <f>IFERROR(__xludf.DUMMYFUNCTION("{IMPORTRANGE(""1GBDUn_ZojNLX5OJCVBEhvJbdm0c55Z7lPcE4L6WH89o"",""Round 5!C1:H3""),IMPORTRANGE(""1GBDUn_ZojNLX5OJCVBEhvJbdm0c55Z7lPcE4L6WH89o"",""Round 5!M1:R3"")}"),"Team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2" t="str">
        <f>IFERROR(__xludf.DUMMYFUNCTION("CONCAT(""A BP: "",IMPORTRANGE(""1GBDUn_ZojNLX5OJCVBEhvJbdm0c55Z7lPcE4L6WH89o"",""Round 5!I32""))"),"A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2" t="str">
        <f>IFERROR(__xludf.DUMMYFUNCTION("CONCAT(""B BP: "",IMPORTRANGE(""1GBDUn_ZojNLX5OJCVBEhvJbdm0c55Z7lPcE4L6WH89o"",""Round 5!S32""))"),"B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1" t="s">
        <v>2</v>
      </c>
      <c r="B14">
        <f>IFERROR(__xludf.DUMMYFUNCTION("{IMPORTRANGE(""1GBDUn_ZojNLX5OJCVBEhvJbdm0c55Z7lPcE4L6WH89o"",""Round 5!C32:H36""),IMPORTRANGE(""1GBDUn_ZojNLX5OJCVBEhvJbdm0c55Z7lPcE4L6WH89o"",""Round 5!M32:R36"")}"),20.0)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1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1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1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1" t="s">
        <v>3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2" t="str">
        <f>IFERROR(__xludf.DUMMYFUNCTION("IMPORTRANGE(""1GBDUn_ZojNLX5OJCVBEhvJbdm0c55Z7lPcE4L6WH89o"",""Round 5!W1"")"),"Question: 1")</f>
        <v>Question: 1</v>
      </c>
      <c r="B19" s="3" t="s">
        <v>6</v>
      </c>
    </row>
    <row r="20">
      <c r="A20" s="2"/>
    </row>
    <row r="21">
      <c r="A21" s="1" t="s">
        <v>7</v>
      </c>
      <c r="B21" t="str">
        <f>IFERROR(__xludf.DUMMYFUNCTION("{IMPORTRANGE(""19Dum1qlL_dEwf1AEniLf02Eg9XaNXi1GMkI5M4_Ei6w"",""Round 5!C1:H3""),IMPORTRANGE(""19Dum1qlL_dEwf1AEniLf02Eg9XaNXi1GMkI5M4_Ei6w"",""Round 5!M1:R3"")}"),"Team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2" t="str">
        <f>IFERROR(__xludf.DUMMYFUNCTION("CONCAT(""A BP: "",IMPORTRANGE(""19Dum1qlL_dEwf1AEniLf02Eg9XaNXi1GMkI5M4_Ei6w"",""Round 5!I32""))"),"A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2" t="str">
        <f>IFERROR(__xludf.DUMMYFUNCTION("CONCAT(""B BP: "",IMPORTRANGE(""19Dum1qlL_dEwf1AEniLf02Eg9XaNXi1GMkI5M4_Ei6w"",""Round 5!S32""))"),"B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1" t="s">
        <v>2</v>
      </c>
      <c r="B24">
        <f>IFERROR(__xludf.DUMMYFUNCTION("{IMPORTRANGE(""19Dum1qlL_dEwf1AEniLf02Eg9XaNXi1GMkI5M4_Ei6w"",""Round 5!C32:H36""),IMPORTRANGE(""19Dum1qlL_dEwf1AEniLf02Eg9XaNXi1GMkI5M4_Ei6w"",""Round 5!M32:R36"")}"),20.0)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1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1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1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1" t="s">
        <v>3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2" t="str">
        <f>IFERROR(__xludf.DUMMYFUNCTION("IMPORTRANGE(""19Dum1qlL_dEwf1AEniLf02Eg9XaNXi1GMkI5M4_Ei6w"",""Round 5!W1"")"),"Question: 1")</f>
        <v>Question: 1</v>
      </c>
      <c r="B29" s="3" t="s">
        <v>8</v>
      </c>
    </row>
    <row r="30">
      <c r="A30" s="2"/>
    </row>
    <row r="31">
      <c r="A31" s="1" t="s">
        <v>44</v>
      </c>
      <c r="B31" t="str">
        <f>IFERROR(__xludf.DUMMYFUNCTION("{IMPORTRANGE(""18KjuM_F6goZYnozVb7folIb5Hw_mfKQrNdVWKGx6j4s"",""Round 5!C1:H3""),IMPORTRANGE(""18KjuM_F6goZYnozVb7folIb5Hw_mfKQrNdVWKGx6j4s"",""Round 5!M1:R3"")}"),"Team A")</f>
        <v>Team A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IFERROR(__xludf.DUMMYFUNCTION("""COMPUTED_VALUE"""),"Rancho Bernardo (JV)")</f>
        <v>Rancho Bernardo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2" t="str">
        <f>IFERROR(__xludf.DUMMYFUNCTION("CONCAT(""A BP: "",IMPORTRANGE(""18KjuM_F6goZYnozVb7folIb5Hw_mfKQrNdVWKGx6j4s"",""Round 5!I32""))"),"A BP: 0")</f>
        <v>A BP: 0</v>
      </c>
      <c r="B32" t="str">
        <f>IFERROR(__xludf.DUMMYFUNCTION("""COMPUTED_VALUE"""),"Score: 0")</f>
        <v>Score: 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0")</f>
        <v>Score: 0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2" t="str">
        <f>IFERROR(__xludf.DUMMYFUNCTION("CONCAT(""B BP: "",IMPORTRANGE(""18KjuM_F6goZYnozVb7folIb5Hw_mfKQrNdVWKGx6j4s"",""Round 5!S32""))"),"B BP: 0")</f>
        <v>B BP: 0</v>
      </c>
      <c r="B33" t="str">
        <f>IFERROR(__xludf.DUMMYFUNCTION("""COMPUTED_VALUE"""),"Player 1")</f>
        <v>Player 1</v>
      </c>
      <c r="C33" t="str">
        <f>IFERROR(__xludf.DUMMYFUNCTION("""COMPUTED_VALUE"""),"Player 2")</f>
        <v>Player 2</v>
      </c>
      <c r="D33" t="str">
        <f>IFERROR(__xludf.DUMMYFUNCTION("""COMPUTED_VALUE"""),"Player 3")</f>
        <v>Player 3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IFERROR(__xludf.DUMMYFUNCTION("""COMPUTED_VALUE"""),"Sandy Tran (12)")</f>
        <v>Sandy Tran (12)</v>
      </c>
      <c r="I33" t="str">
        <f>IFERROR(__xludf.DUMMYFUNCTION("""COMPUTED_VALUE"""),"Patrick Joyce (11)")</f>
        <v>Patrick Joyce (11)</v>
      </c>
      <c r="J33" t="str">
        <f>IFERROR(__xludf.DUMMYFUNCTION("""COMPUTED_VALUE"""),"Katheryn Garrett (11)")</f>
        <v>Katheryn Garrett (11)</v>
      </c>
      <c r="K33" t="str">
        <f>IFERROR(__xludf.DUMMYFUNCTION("""COMPUTED_VALUE"""),"YungYi Sun (12)")</f>
        <v>YungYi Sun (12)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1" t="s">
        <v>2</v>
      </c>
      <c r="B34">
        <f>IFERROR(__xludf.DUMMYFUNCTION("{IMPORTRANGE(""18KjuM_F6goZYnozVb7folIb5Hw_mfKQrNdVWKGx6j4s"",""Round 5!C32:H36""),IMPORTRANGE(""18KjuM_F6goZYnozVb7folIb5Hw_mfKQrNdVWKGx6j4s"",""Round 5!M32:R36"")}"),20.0)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1">
        <v>15.0</v>
      </c>
      <c r="B35">
        <f>IFERROR(__xludf.DUMMYFUNCTION("""COMPUTED_VALUE"""),0.0)</f>
        <v>0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IFERROR(__xludf.DUMMYFUNCTION("""COMPUTED_VALUE"""),0.0)</f>
        <v>0</v>
      </c>
      <c r="J35">
        <f>IFERROR(__xludf.DUMMYFUNCTION("""COMPUTED_VALUE"""),0.0)</f>
        <v>0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1">
        <v>10.0</v>
      </c>
      <c r="B36">
        <f>IFERROR(__xludf.DUMMYFUNCTION("""COMPUTED_VALUE"""),0.0)</f>
        <v>0</v>
      </c>
      <c r="C36">
        <f>IFERROR(__xludf.DUMMYFUNCTION("""COMPUTED_VALUE"""),0.0)</f>
        <v>0</v>
      </c>
      <c r="D36">
        <f>IFERROR(__xludf.DUMMYFUNCTION("""COMPUTED_VALUE"""),0.0)</f>
        <v>0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IFERROR(__xludf.DUMMYFUNCTION("""COMPUTED_VALUE"""),0.0)</f>
        <v>0</v>
      </c>
      <c r="I36">
        <f>IFERROR(__xludf.DUMMYFUNCTION("""COMPUTED_VALUE"""),0.0)</f>
        <v>0</v>
      </c>
      <c r="J36">
        <f>IFERROR(__xludf.DUMMYFUNCTION("""COMPUTED_VALUE"""),0.0)</f>
        <v>0</v>
      </c>
      <c r="K36">
        <f>IFERROR(__xludf.DUMMYFUNCTION("""COMPUTED_VALUE"""),0.0)</f>
        <v>0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1">
        <v>-5.0</v>
      </c>
      <c r="B37">
        <f>IFERROR(__xludf.DUMMYFUNCTION("""COMPUTED_VALUE"""),0.0)</f>
        <v>0</v>
      </c>
      <c r="C37">
        <f>IFERROR(__xludf.DUMMYFUNCTION("""COMPUTED_VALUE"""),0.0)</f>
        <v>0</v>
      </c>
      <c r="D37">
        <f>IFERROR(__xludf.DUMMYFUNCTION("""COMPUTED_VALUE"""),0.0)</f>
        <v>0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IFERROR(__xludf.DUMMYFUNCTION("""COMPUTED_VALUE"""),0.0)</f>
        <v>0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1" t="s">
        <v>3</v>
      </c>
      <c r="B38">
        <f>IFERROR(__xludf.DUMMYFUNCTION("""COMPUTED_VALUE"""),0.0)</f>
        <v>0</v>
      </c>
      <c r="C38">
        <f>IFERROR(__xludf.DUMMYFUNCTION("""COMPUTED_VALUE"""),0.0)</f>
        <v>0</v>
      </c>
      <c r="D38">
        <f>IFERROR(__xludf.DUMMYFUNCTION("""COMPUTED_VALUE"""),0.0)</f>
        <v>0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IFERROR(__xludf.DUMMYFUNCTION("""COMPUTED_VALUE"""),0.0)</f>
        <v>0</v>
      </c>
      <c r="I38">
        <f>IFERROR(__xludf.DUMMYFUNCTION("""COMPUTED_VALUE"""),0.0)</f>
        <v>0</v>
      </c>
      <c r="J38">
        <f>IFERROR(__xludf.DUMMYFUNCTION("""COMPUTED_VALUE"""),0.0)</f>
        <v>0</v>
      </c>
      <c r="K38">
        <f>IFERROR(__xludf.DUMMYFUNCTION("""COMPUTED_VALUE"""),0.0)</f>
        <v>0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2" t="str">
        <f>IFERROR(__xludf.DUMMYFUNCTION("IMPORTRANGE(""18KjuM_F6goZYnozVb7folIb5Hw_mfKQrNdVWKGx6j4s"",""Round 5!W1"")"),"Question: 1")</f>
        <v>Question: 1</v>
      </c>
      <c r="B39" s="3" t="s">
        <v>10</v>
      </c>
    </row>
    <row r="40">
      <c r="A40" s="2"/>
    </row>
    <row r="41">
      <c r="A41" s="1" t="s">
        <v>12</v>
      </c>
      <c r="B41" t="str">
        <f>IFERROR(__xludf.DUMMYFUNCTION("{IMPORTRANGE(""1_YEY20HiFjspjicPICCMlL_lQXsksdB6d3m5vzHwuOI"",""Round 5!C1:H3""),IMPORTRANGE(""1_YEY20HiFjspjicPICCMlL_lQXsksdB6d3m5vzHwuOI"",""Round 5!M1:R3"")}"),"Team A")</f>
        <v>Team A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IFERROR(__xludf.DUMMYFUNCTION("""COMPUTED_VALUE"""),"Team B")</f>
        <v>Team B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2" t="str">
        <f>IFERROR(__xludf.DUMMYFUNCTION("CONCAT(""A BP: "",IMPORTRANGE(""1_YEY20HiFjspjicPICCMlL_lQXsksdB6d3m5vzHwuOI"",""Round 5!I32""))"),"A BP: 0")</f>
        <v>A BP: 0</v>
      </c>
      <c r="B42" t="str">
        <f>IFERROR(__xludf.DUMMYFUNCTION("""COMPUTED_VALUE"""),"Score: 0")</f>
        <v>Score: 0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0")</f>
        <v>Score: 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2" t="str">
        <f>IFERROR(__xludf.DUMMYFUNCTION("CONCAT(""B BP: "",IMPORTRANGE(""1_YEY20HiFjspjicPICCMlL_lQXsksdB6d3m5vzHwuOI"",""Round 5!S32""))"),"B BP: 0")</f>
        <v>B BP: 0</v>
      </c>
      <c r="B43" t="str">
        <f>IFERROR(__xludf.DUMMYFUNCTION("""COMPUTED_VALUE"""),"Player 1")</f>
        <v>Player 1</v>
      </c>
      <c r="C43" t="str">
        <f>IFERROR(__xludf.DUMMYFUNCTION("""COMPUTED_VALUE"""),"Player 2")</f>
        <v>Player 2</v>
      </c>
      <c r="D43" t="str">
        <f>IFERROR(__xludf.DUMMYFUNCTION("""COMPUTED_VALUE"""),"Player 3")</f>
        <v>Player 3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IFERROR(__xludf.DUMMYFUNCTION("""COMPUTED_VALUE"""),"Player 1")</f>
        <v>Player 1</v>
      </c>
      <c r="I43" t="str">
        <f>IFERROR(__xludf.DUMMYFUNCTION("""COMPUTED_VALUE"""),"Player 2")</f>
        <v>Player 2</v>
      </c>
      <c r="J43" t="str">
        <f>IFERROR(__xludf.DUMMYFUNCTION("""COMPUTED_VALUE"""),"Player 3")</f>
        <v>Player 3</v>
      </c>
      <c r="K43" t="str">
        <f>IFERROR(__xludf.DUMMYFUNCTION("""COMPUTED_VALUE"""),"Player 4")</f>
        <v>Player 4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1" t="s">
        <v>2</v>
      </c>
      <c r="B44">
        <f>IFERROR(__xludf.DUMMYFUNCTION("{IMPORTRANGE(""1_YEY20HiFjspjicPICCMlL_lQXsksdB6d3m5vzHwuOI"",""Round 5!C32:H36""),IMPORTRANGE(""1_YEY20HiFjspjicPICCMlL_lQXsksdB6d3m5vzHwuOI"",""Round 5!M32:R36"")}"),20.0)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1">
        <v>15.0</v>
      </c>
      <c r="B45">
        <f>IFERROR(__xludf.DUMMYFUNCTION("""COMPUTED_VALUE"""),0.0)</f>
        <v>0</v>
      </c>
      <c r="C45">
        <f>IFERROR(__xludf.DUMMYFUNCTION("""COMPUTED_VALUE"""),0.0)</f>
        <v>0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IFERROR(__xludf.DUMMYFUNCTION("""COMPUTED_VALUE"""),0.0)</f>
        <v>0</v>
      </c>
      <c r="I45">
        <f>IFERROR(__xludf.DUMMYFUNCTION("""COMPUTED_VALUE"""),0.0)</f>
        <v>0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1">
        <v>10.0</v>
      </c>
      <c r="B46">
        <f>IFERROR(__xludf.DUMMYFUNCTION("""COMPUTED_VALUE"""),0.0)</f>
        <v>0</v>
      </c>
      <c r="C46">
        <f>IFERROR(__xludf.DUMMYFUNCTION("""COMPUTED_VALUE"""),0.0)</f>
        <v>0</v>
      </c>
      <c r="D46">
        <f>IFERROR(__xludf.DUMMYFUNCTION("""COMPUTED_VALUE"""),0.0)</f>
        <v>0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IFERROR(__xludf.DUMMYFUNCTION("""COMPUTED_VALUE"""),0.0)</f>
        <v>0</v>
      </c>
      <c r="I46">
        <f>IFERROR(__xludf.DUMMYFUNCTION("""COMPUTED_VALUE"""),0.0)</f>
        <v>0</v>
      </c>
      <c r="J46">
        <f>IFERROR(__xludf.DUMMYFUNCTION("""COMPUTED_VALUE"""),0.0)</f>
        <v>0</v>
      </c>
      <c r="K46">
        <f>IFERROR(__xludf.DUMMYFUNCTION("""COMPUTED_VALUE"""),0.0)</f>
        <v>0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1">
        <v>-5.0</v>
      </c>
      <c r="B47">
        <f>IFERROR(__xludf.DUMMYFUNCTION("""COMPUTED_VALUE"""),0.0)</f>
        <v>0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1" t="s">
        <v>3</v>
      </c>
      <c r="B48">
        <f>IFERROR(__xludf.DUMMYFUNCTION("""COMPUTED_VALUE"""),0.0)</f>
        <v>0</v>
      </c>
      <c r="C48">
        <f>IFERROR(__xludf.DUMMYFUNCTION("""COMPUTED_VALUE"""),0.0)</f>
        <v>0</v>
      </c>
      <c r="D48">
        <f>IFERROR(__xludf.DUMMYFUNCTION("""COMPUTED_VALUE"""),0.0)</f>
        <v>0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IFERROR(__xludf.DUMMYFUNCTION("""COMPUTED_VALUE"""),0.0)</f>
        <v>0</v>
      </c>
      <c r="I48">
        <f>IFERROR(__xludf.DUMMYFUNCTION("""COMPUTED_VALUE"""),0.0)</f>
        <v>0</v>
      </c>
      <c r="J48">
        <f>IFERROR(__xludf.DUMMYFUNCTION("""COMPUTED_VALUE"""),0.0)</f>
        <v>0</v>
      </c>
      <c r="K48">
        <f>IFERROR(__xludf.DUMMYFUNCTION("""COMPUTED_VALUE"""),0.0)</f>
        <v>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2" t="str">
        <f>IFERROR(__xludf.DUMMYFUNCTION("IMPORTRANGE(""1_YEY20HiFjspjicPICCMlL_lQXsksdB6d3m5vzHwuOI"",""Round 5!W1"")"),"Question: 1")</f>
        <v>Question: 1</v>
      </c>
      <c r="B49" s="3" t="s">
        <v>13</v>
      </c>
    </row>
    <row r="50">
      <c r="A50" s="2"/>
    </row>
    <row r="51">
      <c r="A51" s="1" t="s">
        <v>15</v>
      </c>
      <c r="B51" t="str">
        <f>IFERROR(__xludf.DUMMYFUNCTION("{IMPORTRANGE(""1SYS5Ef48991ZUgqcGqj51eX2YgqKCzfrEZ_pUY01Lwo"",""Round 5!C1:H3""),IMPORTRANGE(""1SYS5Ef48991ZUgqcGqj51eX2YgqKCzfrEZ_pUY01Lwo"",""Round 5!M1:R3"")}"),"Team A")</f>
        <v>Team A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IFERROR(__xludf.DUMMYFUNCTION("""COMPUTED_VALUE"""),"Team B")</f>
        <v>Team B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2" t="str">
        <f>IFERROR(__xludf.DUMMYFUNCTION("CONCAT(""A BP: "",IMPORTRANGE(""1SYS5Ef48991ZUgqcGqj51eX2YgqKCzfrEZ_pUY01Lwo"",""Round 5!I32""))"),"A BP: 0")</f>
        <v>A BP: 0</v>
      </c>
      <c r="B52" t="str">
        <f>IFERROR(__xludf.DUMMYFUNCTION("""COMPUTED_VALUE"""),"Score: 0")</f>
        <v>Score: 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0")</f>
        <v>Score: 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2" t="str">
        <f>IFERROR(__xludf.DUMMYFUNCTION("CONCAT(""B BP: "",IMPORTRANGE(""1SYS5Ef48991ZUgqcGqj51eX2YgqKCzfrEZ_pUY01Lwo"",""Round 5!S32""))"),"B BP: 0")</f>
        <v>B BP: 0</v>
      </c>
      <c r="B53" t="str">
        <f>IFERROR(__xludf.DUMMYFUNCTION("""COMPUTED_VALUE"""),"Player 1")</f>
        <v>Player 1</v>
      </c>
      <c r="C53" t="str">
        <f>IFERROR(__xludf.DUMMYFUNCTION("""COMPUTED_VALUE"""),"Player 2")</f>
        <v>Player 2</v>
      </c>
      <c r="D53" t="str">
        <f>IFERROR(__xludf.DUMMYFUNCTION("""COMPUTED_VALUE"""),"Player 3")</f>
        <v>Player 3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IFERROR(__xludf.DUMMYFUNCTION("""COMPUTED_VALUE"""),"Player 1")</f>
        <v>Player 1</v>
      </c>
      <c r="I53" t="str">
        <f>IFERROR(__xludf.DUMMYFUNCTION("""COMPUTED_VALUE"""),"Player 2")</f>
        <v>Player 2</v>
      </c>
      <c r="J53" t="str">
        <f>IFERROR(__xludf.DUMMYFUNCTION("""COMPUTED_VALUE"""),"Player 3")</f>
        <v>Player 3</v>
      </c>
      <c r="K53" t="str">
        <f>IFERROR(__xludf.DUMMYFUNCTION("""COMPUTED_VALUE"""),"Player 4")</f>
        <v>Player 4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1" t="s">
        <v>2</v>
      </c>
      <c r="B54">
        <f>IFERROR(__xludf.DUMMYFUNCTION("{IMPORTRANGE(""1SYS5Ef48991ZUgqcGqj51eX2YgqKCzfrEZ_pUY01Lwo"",""Round 5!C32:H36""),IMPORTRANGE(""1SYS5Ef48991ZUgqcGqj51eX2YgqKCzfrEZ_pUY01Lwo"",""Round 5!M32:R36"")}"),20.0)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1">
        <v>15.0</v>
      </c>
      <c r="B55">
        <f>IFERROR(__xludf.DUMMYFUNCTION("""COMPUTED_VALUE"""),0.0)</f>
        <v>0</v>
      </c>
      <c r="C55">
        <f>IFERROR(__xludf.DUMMYFUNCTION("""COMPUTED_VALUE"""),0.0)</f>
        <v>0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IFERROR(__xludf.DUMMYFUNCTION("""COMPUTED_VALUE"""),0.0)</f>
        <v>0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1">
        <v>10.0</v>
      </c>
      <c r="B56">
        <f>IFERROR(__xludf.DUMMYFUNCTION("""COMPUTED_VALUE"""),0.0)</f>
        <v>0</v>
      </c>
      <c r="C56">
        <f>IFERROR(__xludf.DUMMYFUNCTION("""COMPUTED_VALUE"""),0.0)</f>
        <v>0</v>
      </c>
      <c r="D56">
        <f>IFERROR(__xludf.DUMMYFUNCTION("""COMPUTED_VALUE"""),0.0)</f>
        <v>0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IFERROR(__xludf.DUMMYFUNCTION("""COMPUTED_VALUE"""),0.0)</f>
        <v>0</v>
      </c>
      <c r="I56">
        <f>IFERROR(__xludf.DUMMYFUNCTION("""COMPUTED_VALUE"""),0.0)</f>
        <v>0</v>
      </c>
      <c r="J56">
        <f>IFERROR(__xludf.DUMMYFUNCTION("""COMPUTED_VALUE"""),0.0)</f>
        <v>0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1">
        <v>-5.0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IFERROR(__xludf.DUMMYFUNCTION("""COMPUTED_VALUE"""),0.0)</f>
        <v>0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1" t="s">
        <v>3</v>
      </c>
      <c r="B58">
        <f>IFERROR(__xludf.DUMMYFUNCTION("""COMPUTED_VALUE"""),0.0)</f>
        <v>0</v>
      </c>
      <c r="C58">
        <f>IFERROR(__xludf.DUMMYFUNCTION("""COMPUTED_VALUE"""),0.0)</f>
        <v>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IFERROR(__xludf.DUMMYFUNCTION("""COMPUTED_VALUE"""),0.0)</f>
        <v>0</v>
      </c>
      <c r="I58">
        <f>IFERROR(__xludf.DUMMYFUNCTION("""COMPUTED_VALUE"""),0.0)</f>
        <v>0</v>
      </c>
      <c r="J58">
        <f>IFERROR(__xludf.DUMMYFUNCTION("""COMPUTED_VALUE"""),0.0)</f>
        <v>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2" t="str">
        <f>IFERROR(__xludf.DUMMYFUNCTION("IMPORTRANGE(""1SYS5Ef48991ZUgqcGqj51eX2YgqKCzfrEZ_pUY01Lwo"",""Round 5!W1"")"),"Question: 1")</f>
        <v>Question: 1</v>
      </c>
      <c r="B59" s="3" t="s">
        <v>16</v>
      </c>
    </row>
    <row r="60">
      <c r="A60" s="2"/>
    </row>
    <row r="61">
      <c r="A61" s="1" t="s">
        <v>17</v>
      </c>
      <c r="B61" t="str">
        <f>IFERROR(__xludf.DUMMYFUNCTION("{IMPORTRANGE(""1UJlRLlhI2Hg_SAQqQOg0JGdwHhiagF7EVAtCX8UOYFc"",""Round 5!C1:H3""),IMPORTRANGE(""1UJlRLlhI2Hg_SAQqQOg0JGdwHhiagF7EVAtCX8UOYFc"",""Round 5!M1:R3"")}"),"Team A")</f>
        <v>Team A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IFERROR(__xludf.DUMMYFUNCTION("""COMPUTED_VALUE"""),"Team B")</f>
        <v>Team B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2" t="str">
        <f>IFERROR(__xludf.DUMMYFUNCTION("CONCAT(""A BP: "",IMPORTRANGE(""1UJlRLlhI2Hg_SAQqQOg0JGdwHhiagF7EVAtCX8UOYFc"",""Round 5!I32""))"),"A BP: 0")</f>
        <v>A BP: 0</v>
      </c>
      <c r="B62" t="str">
        <f>IFERROR(__xludf.DUMMYFUNCTION("""COMPUTED_VALUE"""),"Score: 0")</f>
        <v>Score: 0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0")</f>
        <v>Score: 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2" t="str">
        <f>IFERROR(__xludf.DUMMYFUNCTION("CONCAT(""B BP: "",IMPORTRANGE(""1UJlRLlhI2Hg_SAQqQOg0JGdwHhiagF7EVAtCX8UOYFc"",""Round 5!S32""))"),"B BP: 0")</f>
        <v>B BP: 0</v>
      </c>
      <c r="B63" t="str">
        <f>IFERROR(__xludf.DUMMYFUNCTION("""COMPUTED_VALUE"""),"Player 1")</f>
        <v>Player 1</v>
      </c>
      <c r="C63" t="str">
        <f>IFERROR(__xludf.DUMMYFUNCTION("""COMPUTED_VALUE"""),"Player 2")</f>
        <v>Player 2</v>
      </c>
      <c r="D63" t="str">
        <f>IFERROR(__xludf.DUMMYFUNCTION("""COMPUTED_VALUE"""),"Player 3")</f>
        <v>Player 3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IFERROR(__xludf.DUMMYFUNCTION("""COMPUTED_VALUE"""),"Player 1")</f>
        <v>Player 1</v>
      </c>
      <c r="I63" t="str">
        <f>IFERROR(__xludf.DUMMYFUNCTION("""COMPUTED_VALUE"""),"Player 2")</f>
        <v>Player 2</v>
      </c>
      <c r="J63" t="str">
        <f>IFERROR(__xludf.DUMMYFUNCTION("""COMPUTED_VALUE"""),"Player 3")</f>
        <v>Player 3</v>
      </c>
      <c r="K63" t="str">
        <f>IFERROR(__xludf.DUMMYFUNCTION("""COMPUTED_VALUE"""),"Player 4")</f>
        <v>Player 4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1" t="s">
        <v>2</v>
      </c>
      <c r="B64">
        <f>IFERROR(__xludf.DUMMYFUNCTION("{IMPORTRANGE(""1UJlRLlhI2Hg_SAQqQOg0JGdwHhiagF7EVAtCX8UOYFc"",""Round 5!C32:H36""),IMPORTRANGE(""1UJlRLlhI2Hg_SAQqQOg0JGdwHhiagF7EVAtCX8UOYFc"",""Round 5!M32:R36"")}"),20.0)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1">
        <v>15.0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IFERROR(__xludf.DUMMYFUNCTION("""COMPUTED_VALUE"""),0.0)</f>
        <v>0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1">
        <v>10.0</v>
      </c>
      <c r="B66">
        <f>IFERROR(__xludf.DUMMYFUNCTION("""COMPUTED_VALUE"""),0.0)</f>
        <v>0</v>
      </c>
      <c r="C66">
        <f>IFERROR(__xludf.DUMMYFUNCTION("""COMPUTED_VALUE"""),0.0)</f>
        <v>0</v>
      </c>
      <c r="D66">
        <f>IFERROR(__xludf.DUMMYFUNCTION("""COMPUTED_VALUE"""),0.0)</f>
        <v>0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IFERROR(__xludf.DUMMYFUNCTION("""COMPUTED_VALUE"""),0.0)</f>
        <v>0</v>
      </c>
      <c r="I66">
        <f>IFERROR(__xludf.DUMMYFUNCTION("""COMPUTED_VALUE"""),0.0)</f>
        <v>0</v>
      </c>
      <c r="J66">
        <f>IFERROR(__xludf.DUMMYFUNCTION("""COMPUTED_VALUE"""),0.0)</f>
        <v>0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1">
        <v>-5.0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IFERROR(__xludf.DUMMYFUNCTION("""COMPUTED_VALUE"""),0.0)</f>
        <v>0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1" t="s">
        <v>3</v>
      </c>
      <c r="B68">
        <f>IFERROR(__xludf.DUMMYFUNCTION("""COMPUTED_VALUE"""),0.0)</f>
        <v>0</v>
      </c>
      <c r="C68">
        <f>IFERROR(__xludf.DUMMYFUNCTION("""COMPUTED_VALUE"""),0.0)</f>
        <v>0</v>
      </c>
      <c r="D68">
        <f>IFERROR(__xludf.DUMMYFUNCTION("""COMPUTED_VALUE"""),0.0)</f>
        <v>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IFERROR(__xludf.DUMMYFUNCTION("""COMPUTED_VALUE"""),0.0)</f>
        <v>0</v>
      </c>
      <c r="I68">
        <f>IFERROR(__xludf.DUMMYFUNCTION("""COMPUTED_VALUE"""),0.0)</f>
        <v>0</v>
      </c>
      <c r="J68">
        <f>IFERROR(__xludf.DUMMYFUNCTION("""COMPUTED_VALUE"""),0.0)</f>
        <v>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2" t="str">
        <f>IFERROR(__xludf.DUMMYFUNCTION("IMPORTRANGE(""1UJlRLlhI2Hg_SAQqQOg0JGdwHhiagF7EVAtCX8UOYFc"",""Round 5!W1"")"),"Question: 1")</f>
        <v>Question: 1</v>
      </c>
      <c r="B69" s="3" t="s">
        <v>19</v>
      </c>
    </row>
    <row r="70">
      <c r="A70" s="2"/>
    </row>
    <row r="71">
      <c r="A71" s="1" t="s">
        <v>20</v>
      </c>
      <c r="B71" t="str">
        <f>IFERROR(__xludf.DUMMYFUNCTION("{IMPORTRANGE(""1jA96n0qbauznSt6-hkr51AslpxJqfrWgkafVtMV8_xU"",""Round 5!C1:H3""),IMPORTRANGE(""1jA96n0qbauznSt6-hkr51AslpxJqfrWgkafVtMV8_xU"",""Round 5!M1:R3"")}"),"Team A")</f>
        <v>Team A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IFERROR(__xludf.DUMMYFUNCTION("""COMPUTED_VALUE"""),"Team B")</f>
        <v>Team B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2" t="str">
        <f>IFERROR(__xludf.DUMMYFUNCTION("CONCAT(""A BP: "",IMPORTRANGE(""1jA96n0qbauznSt6-hkr51AslpxJqfrWgkafVtMV8_xU"",""Round 5!I32""))"),"A BP: 0")</f>
        <v>A BP: 0</v>
      </c>
      <c r="B72" t="str">
        <f>IFERROR(__xludf.DUMMYFUNCTION("""COMPUTED_VALUE"""),"Score: 0")</f>
        <v>Score: 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0")</f>
        <v>Score: 0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2" t="str">
        <f>IFERROR(__xludf.DUMMYFUNCTION("CONCAT(""B BP: "",IMPORTRANGE(""1jA96n0qbauznSt6-hkr51AslpxJqfrWgkafVtMV8_xU"",""Round 5!S32""))"),"B BP: 0")</f>
        <v>B BP: 0</v>
      </c>
      <c r="B73" t="str">
        <f>IFERROR(__xludf.DUMMYFUNCTION("""COMPUTED_VALUE"""),"Player 1")</f>
        <v>Player 1</v>
      </c>
      <c r="C73" t="str">
        <f>IFERROR(__xludf.DUMMYFUNCTION("""COMPUTED_VALUE"""),"Player 2")</f>
        <v>Player 2</v>
      </c>
      <c r="D73" t="str">
        <f>IFERROR(__xludf.DUMMYFUNCTION("""COMPUTED_VALUE"""),"Player 3")</f>
        <v>Player 3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IFERROR(__xludf.DUMMYFUNCTION("""COMPUTED_VALUE"""),"Player 1")</f>
        <v>Player 1</v>
      </c>
      <c r="I73" t="str">
        <f>IFERROR(__xludf.DUMMYFUNCTION("""COMPUTED_VALUE"""),"Player 2")</f>
        <v>Player 2</v>
      </c>
      <c r="J73" t="str">
        <f>IFERROR(__xludf.DUMMYFUNCTION("""COMPUTED_VALUE"""),"Player 3")</f>
        <v>Player 3</v>
      </c>
      <c r="K73" t="str">
        <f>IFERROR(__xludf.DUMMYFUNCTION("""COMPUTED_VALUE"""),"Player 4")</f>
        <v>Player 4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1" t="s">
        <v>2</v>
      </c>
      <c r="B74">
        <f>IFERROR(__xludf.DUMMYFUNCTION("{IMPORTRANGE(""1jA96n0qbauznSt6-hkr51AslpxJqfrWgkafVtMV8_xU"",""Round 5!C32:H36""),IMPORTRANGE(""1jA96n0qbauznSt6-hkr51AslpxJqfrWgkafVtMV8_xU"",""Round 5!M32:R36"")}"),20.0)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1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IFERROR(__xludf.DUMMYFUNCTION("""COMPUTED_VALUE"""),0.0)</f>
        <v>0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1">
        <v>10.0</v>
      </c>
      <c r="B76">
        <f>IFERROR(__xludf.DUMMYFUNCTION("""COMPUTED_VALUE"""),0.0)</f>
        <v>0</v>
      </c>
      <c r="C76">
        <f>IFERROR(__xludf.DUMMYFUNCTION("""COMPUTED_VALUE"""),0.0)</f>
        <v>0</v>
      </c>
      <c r="D76">
        <f>IFERROR(__xludf.DUMMYFUNCTION("""COMPUTED_VALUE"""),0.0)</f>
        <v>0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IFERROR(__xludf.DUMMYFUNCTION("""COMPUTED_VALUE"""),0.0)</f>
        <v>0</v>
      </c>
      <c r="I76">
        <f>IFERROR(__xludf.DUMMYFUNCTION("""COMPUTED_VALUE"""),0.0)</f>
        <v>0</v>
      </c>
      <c r="J76">
        <f>IFERROR(__xludf.DUMMYFUNCTION("""COMPUTED_VALUE"""),0.0)</f>
        <v>0</v>
      </c>
      <c r="K76">
        <f>IFERROR(__xludf.DUMMYFUNCTION("""COMPUTED_VALUE"""),0.0)</f>
        <v>0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1">
        <v>-5.0</v>
      </c>
      <c r="B77">
        <f>IFERROR(__xludf.DUMMYFUNCTION("""COMPUTED_VALUE"""),0.0)</f>
        <v>0</v>
      </c>
      <c r="C77">
        <f>IFERROR(__xludf.DUMMYFUNCTION("""COMPUTED_VALUE"""),0.0)</f>
        <v>0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1" t="s">
        <v>3</v>
      </c>
      <c r="B78">
        <f>IFERROR(__xludf.DUMMYFUNCTION("""COMPUTED_VALUE"""),0.0)</f>
        <v>0</v>
      </c>
      <c r="C78">
        <f>IFERROR(__xludf.DUMMYFUNCTION("""COMPUTED_VALUE"""),0.0)</f>
        <v>0</v>
      </c>
      <c r="D78">
        <f>IFERROR(__xludf.DUMMYFUNCTION("""COMPUTED_VALUE"""),0.0)</f>
        <v>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IFERROR(__xludf.DUMMYFUNCTION("""COMPUTED_VALUE"""),0.0)</f>
        <v>0</v>
      </c>
      <c r="I78">
        <f>IFERROR(__xludf.DUMMYFUNCTION("""COMPUTED_VALUE"""),0.0)</f>
        <v>0</v>
      </c>
      <c r="J78">
        <f>IFERROR(__xludf.DUMMYFUNCTION("""COMPUTED_VALUE"""),0.0)</f>
        <v>0</v>
      </c>
      <c r="K78">
        <f>IFERROR(__xludf.DUMMYFUNCTION("""COMPUTED_VALUE"""),0.0)</f>
        <v>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2" t="str">
        <f>IFERROR(__xludf.DUMMYFUNCTION("IMPORTRANGE(""1jA96n0qbauznSt6-hkr51AslpxJqfrWgkafVtMV8_xU"",""Round 5!W1"")"),"Question: 1")</f>
        <v>Question: 1</v>
      </c>
      <c r="B79" s="3" t="s">
        <v>22</v>
      </c>
    </row>
    <row r="80">
      <c r="A80" s="2"/>
    </row>
    <row r="81">
      <c r="A81" s="1" t="s">
        <v>23</v>
      </c>
      <c r="B81" t="str">
        <f>IFERROR(__xludf.DUMMYFUNCTION("{IMPORTRANGE(""1xw1EOjVhrK1PNJfOYiUsuJNrlpV53SmfJxYsFFolQ3s"",""Round 5!C1:H3""),IMPORTRANGE(""1xw1EOjVhrK1PNJfOYiUsuJNrlpV53SmfJxYsFFolQ3s"",""Round 5!M1:R3"")}"),"Team A")</f>
        <v>Team A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IFERROR(__xludf.DUMMYFUNCTION("""COMPUTED_VALUE"""),"Team B")</f>
        <v>Team B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2" t="str">
        <f>IFERROR(__xludf.DUMMYFUNCTION("CONCAT(""A BP: "",IMPORTRANGE(""1xw1EOjVhrK1PNJfOYiUsuJNrlpV53SmfJxYsFFolQ3s"",""Round 5!I32""))"),"A BP: 0")</f>
        <v>A BP: 0</v>
      </c>
      <c r="B82" t="str">
        <f>IFERROR(__xludf.DUMMYFUNCTION("""COMPUTED_VALUE"""),"Score: 0")</f>
        <v>Score: 0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0")</f>
        <v>Score: 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2" t="str">
        <f>IFERROR(__xludf.DUMMYFUNCTION("CONCAT(""B BP: "",IMPORTRANGE(""1xw1EOjVhrK1PNJfOYiUsuJNrlpV53SmfJxYsFFolQ3s"",""Round 5!S32""))"),"B BP: 0")</f>
        <v>B BP: 0</v>
      </c>
      <c r="B83" t="str">
        <f>IFERROR(__xludf.DUMMYFUNCTION("""COMPUTED_VALUE"""),"Player 1")</f>
        <v>Player 1</v>
      </c>
      <c r="C83" t="str">
        <f>IFERROR(__xludf.DUMMYFUNCTION("""COMPUTED_VALUE"""),"Player 2")</f>
        <v>Player 2</v>
      </c>
      <c r="D83" t="str">
        <f>IFERROR(__xludf.DUMMYFUNCTION("""COMPUTED_VALUE"""),"Player 3")</f>
        <v>Player 3</v>
      </c>
      <c r="E83" t="str">
        <f>IFERROR(__xludf.DUMMYFUNCTION("""COMPUTED_VALUE"""),"Player 4")</f>
        <v>Player 4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IFERROR(__xludf.DUMMYFUNCTION("""COMPUTED_VALUE"""),"Player 1")</f>
        <v>Player 1</v>
      </c>
      <c r="I83" t="str">
        <f>IFERROR(__xludf.DUMMYFUNCTION("""COMPUTED_VALUE"""),"Player 2")</f>
        <v>Player 2</v>
      </c>
      <c r="J83" t="str">
        <f>IFERROR(__xludf.DUMMYFUNCTION("""COMPUTED_VALUE"""),"Player 3")</f>
        <v>Player 3</v>
      </c>
      <c r="K83" t="str">
        <f>IFERROR(__xludf.DUMMYFUNCTION("""COMPUTED_VALUE"""),"Player 4")</f>
        <v>Player 4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1" t="s">
        <v>2</v>
      </c>
      <c r="B84">
        <f>IFERROR(__xludf.DUMMYFUNCTION("{IMPORTRANGE(""1xw1EOjVhrK1PNJfOYiUsuJNrlpV53SmfJxYsFFolQ3s"",""Round 5!C32:H36""),IMPORTRANGE(""1xw1EOjVhrK1PNJfOYiUsuJNrlpV53SmfJxYsFFolQ3s"",""Round 5!M32:R36"")}"),20.0)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1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IFERROR(__xludf.DUMMYFUNCTION("""COMPUTED_VALUE"""),0.0)</f>
        <v>0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1">
        <v>10.0</v>
      </c>
      <c r="B86">
        <f>IFERROR(__xludf.DUMMYFUNCTION("""COMPUTED_VALUE"""),0.0)</f>
        <v>0</v>
      </c>
      <c r="C86">
        <f>IFERROR(__xludf.DUMMYFUNCTION("""COMPUTED_VALUE"""),0.0)</f>
        <v>0</v>
      </c>
      <c r="D86">
        <f>IFERROR(__xludf.DUMMYFUNCTION("""COMPUTED_VALUE"""),0.0)</f>
        <v>0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IFERROR(__xludf.DUMMYFUNCTION("""COMPUTED_VALUE"""),0.0)</f>
        <v>0</v>
      </c>
      <c r="I86">
        <f>IFERROR(__xludf.DUMMYFUNCTION("""COMPUTED_VALUE"""),0.0)</f>
        <v>0</v>
      </c>
      <c r="J86">
        <f>IFERROR(__xludf.DUMMYFUNCTION("""COMPUTED_VALUE"""),0.0)</f>
        <v>0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1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IFERROR(__xludf.DUMMYFUNCTION("""COMPUTED_VALUE"""),0.0)</f>
        <v>0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1" t="s">
        <v>3</v>
      </c>
      <c r="B88">
        <f>IFERROR(__xludf.DUMMYFUNCTION("""COMPUTED_VALUE"""),0.0)</f>
        <v>0</v>
      </c>
      <c r="C88">
        <f>IFERROR(__xludf.DUMMYFUNCTION("""COMPUTED_VALUE"""),0.0)</f>
        <v>0</v>
      </c>
      <c r="D88">
        <f>IFERROR(__xludf.DUMMYFUNCTION("""COMPUTED_VALUE"""),0.0)</f>
        <v>0</v>
      </c>
      <c r="E88">
        <f>IFERROR(__xludf.DUMMYFUNCTION("""COMPUTED_VALUE"""),0.0)</f>
        <v>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IFERROR(__xludf.DUMMYFUNCTION("""COMPUTED_VALUE"""),0.0)</f>
        <v>0</v>
      </c>
      <c r="I88">
        <f>IFERROR(__xludf.DUMMYFUNCTION("""COMPUTED_VALUE"""),0.0)</f>
        <v>0</v>
      </c>
      <c r="J88">
        <f>IFERROR(__xludf.DUMMYFUNCTION("""COMPUTED_VALUE"""),0.0)</f>
        <v>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2" t="str">
        <f>IFERROR(__xludf.DUMMYFUNCTION("IMPORTRANGE(""1xw1EOjVhrK1PNJfOYiUsuJNrlpV53SmfJxYsFFolQ3s"",""Round 5!W1"")"),"Question: 1")</f>
        <v>Question: 1</v>
      </c>
      <c r="B89" s="3" t="s">
        <v>25</v>
      </c>
    </row>
    <row r="90">
      <c r="A90" s="2"/>
    </row>
    <row r="91">
      <c r="A91" s="1" t="s">
        <v>26</v>
      </c>
      <c r="B91" t="str">
        <f>IFERROR(__xludf.DUMMYFUNCTION("{IMPORTRANGE(""15wOrdFuJAb1a4MoX5CG4apiBD2jUJ7mBu58Uk-8Mo7s"",""Round 5!C1:H3""),IMPORTRANGE(""15wOrdFuJAb1a4MoX5CG4apiBD2jUJ7mBu58Uk-8Mo7s"",""Round 5!M1:R3"")}"),"Team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2" t="str">
        <f>IFERROR(__xludf.DUMMYFUNCTION("CONCAT(""A BP: "",IMPORTRANGE(""15wOrdFuJAb1a4MoX5CG4apiBD2jUJ7mBu58Uk-8Mo7s"",""Round 5!I32""))"),"A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2" t="str">
        <f>IFERROR(__xludf.DUMMYFUNCTION("CONCAT(""B BP: "",IMPORTRANGE(""15wOrdFuJAb1a4MoX5CG4apiBD2jUJ7mBu58Uk-8Mo7s"",""Round 5!S32""))"),"B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1" t="s">
        <v>2</v>
      </c>
      <c r="B94">
        <f>IFERROR(__xludf.DUMMYFUNCTION("{IMPORTRANGE(""15wOrdFuJAb1a4MoX5CG4apiBD2jUJ7mBu58Uk-8Mo7s"",""Round 5!C32:H36""),IMPORTRANGE(""15wOrdFuJAb1a4MoX5CG4apiBD2jUJ7mBu58Uk-8Mo7s"",""Round 5!M32:R36"")}"),20.0)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1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1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1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1" t="s">
        <v>3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2" t="str">
        <f>IFERROR(__xludf.DUMMYFUNCTION("IMPORTRANGE(""15wOrdFuJAb1a4MoX5CG4apiBD2jUJ7mBu58Uk-8Mo7s"",""Round 5!W1"")"),"Question: 1")</f>
        <v>Question: 1</v>
      </c>
      <c r="B99" s="3" t="s">
        <v>27</v>
      </c>
    </row>
    <row r="100">
      <c r="A100" s="2"/>
    </row>
    <row r="101">
      <c r="A101" s="1" t="s">
        <v>28</v>
      </c>
      <c r="B101" t="str">
        <f>IFERROR(__xludf.DUMMYFUNCTION("{IMPORTRANGE(""1GfJqS1rsy-VutTmPVnm9E2VdinIG-GnQO5b3bhaiX1s"",""Round 5!C1:H3""),IMPORTRANGE(""1GfJqS1rsy-VutTmPVnm9E2VdinIG-GnQO5b3bhaiX1s"",""Round 5!M1:R3"")}"),"Team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2" t="str">
        <f>IFERROR(__xludf.DUMMYFUNCTION("CONCAT(""A BP: "",IMPORTRANGE(""1GfJqS1rsy-VutTmPVnm9E2VdinIG-GnQO5b3bhaiX1s"",""Round 5!I32""))"),"A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2" t="str">
        <f>IFERROR(__xludf.DUMMYFUNCTION("CONCAT(""B BP: "",IMPORTRANGE(""1GfJqS1rsy-VutTmPVnm9E2VdinIG-GnQO5b3bhaiX1s"",""Round 5!S32""))"),"B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1" t="s">
        <v>2</v>
      </c>
      <c r="B104">
        <f>IFERROR(__xludf.DUMMYFUNCTION("{IMPORTRANGE(""1GfJqS1rsy-VutTmPVnm9E2VdinIG-GnQO5b3bhaiX1s"",""Round 5!C32:H36""),IMPORTRANGE(""1GfJqS1rsy-VutTmPVnm9E2VdinIG-GnQO5b3bhaiX1s"",""Round 5!M32:R36"")}"),20.0)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1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1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1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1" t="s">
        <v>3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2" t="str">
        <f>IFERROR(__xludf.DUMMYFUNCTION("IMPORTRANGE(""1GfJqS1rsy-VutTmPVnm9E2VdinIG-GnQO5b3bhaiX1s"",""Round 5!W1"")"),"Question: 1")</f>
        <v>Question: 1</v>
      </c>
      <c r="B109" s="3" t="s">
        <v>29</v>
      </c>
    </row>
    <row r="110">
      <c r="A110" s="2"/>
    </row>
    <row r="111">
      <c r="A111" s="1" t="s">
        <v>45</v>
      </c>
      <c r="B111" t="str">
        <f>IFERROR(__xludf.DUMMYFUNCTION("{IMPORTRANGE(""17CLUEFflDBSa8dyH5vsXfHme4RV8IhzD-mxe9_c9I5k"",""Round 5!C1:H3""),IMPORTRANGE(""17CLUEFflDBSa8dyH5vsXfHme4RV8IhzD-mxe9_c9I5k"",""Round 5!M1:R3"")}"),"Team A")</f>
        <v>Team A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IFERROR(__xludf.DUMMYFUNCTION("""COMPUTED_VALUE"""),"Team B")</f>
        <v>Team B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2" t="str">
        <f>IFERROR(__xludf.DUMMYFUNCTION("CONCAT(""A BP: "",IMPORTRANGE(""17CLUEFflDBSa8dyH5vsXfHme4RV8IhzD-mxe9_c9I5k"",""Round 5!I32""))"),"A BP: 0")</f>
        <v>A BP: 0</v>
      </c>
      <c r="B112" t="str">
        <f>IFERROR(__xludf.DUMMYFUNCTION("""COMPUTED_VALUE"""),"Score: 0")</f>
        <v>Score: 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0")</f>
        <v>Score: 0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2" t="str">
        <f>IFERROR(__xludf.DUMMYFUNCTION("CONCAT(""B BP: "",IMPORTRANGE(""17CLUEFflDBSa8dyH5vsXfHme4RV8IhzD-mxe9_c9I5k"",""Round 5!S32""))"),"B BP: 0")</f>
        <v>B BP: 0</v>
      </c>
      <c r="B113" t="str">
        <f>IFERROR(__xludf.DUMMYFUNCTION("""COMPUTED_VALUE"""),"Player 1")</f>
        <v>Player 1</v>
      </c>
      <c r="C113" t="str">
        <f>IFERROR(__xludf.DUMMYFUNCTION("""COMPUTED_VALUE"""),"Player 2")</f>
        <v>Player 2</v>
      </c>
      <c r="D113" t="str">
        <f>IFERROR(__xludf.DUMMYFUNCTION("""COMPUTED_VALUE"""),"Player 3")</f>
        <v>Player 3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IFERROR(__xludf.DUMMYFUNCTION("""COMPUTED_VALUE"""),"Player 1")</f>
        <v>Player 1</v>
      </c>
      <c r="I113" t="str">
        <f>IFERROR(__xludf.DUMMYFUNCTION("""COMPUTED_VALUE"""),"Player 2")</f>
        <v>Player 2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1" t="s">
        <v>2</v>
      </c>
      <c r="B114">
        <f>IFERROR(__xludf.DUMMYFUNCTION("{IMPORTRANGE(""17CLUEFflDBSa8dyH5vsXfHme4RV8IhzD-mxe9_c9I5k"",""Round 5!C32:H36""),IMPORTRANGE(""17CLUEFflDBSa8dyH5vsXfHme4RV8IhzD-mxe9_c9I5k"",""Round 5!M32:R36"")}"),20.0)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1">
        <v>15.0</v>
      </c>
      <c r="B115">
        <f>IFERROR(__xludf.DUMMYFUNCTION("""COMPUTED_VALUE"""),0.0)</f>
        <v>0</v>
      </c>
      <c r="C115">
        <f>IFERROR(__xludf.DUMMYFUNCTION("""COMPUTED_VALUE"""),0.0)</f>
        <v>0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IFERROR(__xludf.DUMMYFUNCTION("""COMPUTED_VALUE"""),0.0)</f>
        <v>0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1">
        <v>10.0</v>
      </c>
      <c r="B116">
        <f>IFERROR(__xludf.DUMMYFUNCTION("""COMPUTED_VALUE"""),0.0)</f>
        <v>0</v>
      </c>
      <c r="C116">
        <f>IFERROR(__xludf.DUMMYFUNCTION("""COMPUTED_VALUE"""),0.0)</f>
        <v>0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IFERROR(__xludf.DUMMYFUNCTION("""COMPUTED_VALUE"""),0.0)</f>
        <v>0</v>
      </c>
      <c r="I116">
        <f>IFERROR(__xludf.DUMMYFUNCTION("""COMPUTED_VALUE"""),0.0)</f>
        <v>0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1">
        <v>-5.0</v>
      </c>
      <c r="B117">
        <f>IFERROR(__xludf.DUMMYFUNCTION("""COMPUTED_VALUE"""),0.0)</f>
        <v>0</v>
      </c>
      <c r="C117">
        <f>IFERROR(__xludf.DUMMYFUNCTION("""COMPUTED_VALUE"""),0.0)</f>
        <v>0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IFERROR(__xludf.DUMMYFUNCTION("""COMPUTED_VALUE"""),0.0)</f>
        <v>0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1" t="s">
        <v>3</v>
      </c>
      <c r="B118">
        <f>IFERROR(__xludf.DUMMYFUNCTION("""COMPUTED_VALUE"""),0.0)</f>
        <v>0</v>
      </c>
      <c r="C118">
        <f>IFERROR(__xludf.DUMMYFUNCTION("""COMPUTED_VALUE"""),0.0)</f>
        <v>0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IFERROR(__xludf.DUMMYFUNCTION("""COMPUTED_VALUE"""),0.0)</f>
        <v>0</v>
      </c>
      <c r="I118">
        <f>IFERROR(__xludf.DUMMYFUNCTION("""COMPUTED_VALUE"""),0.0)</f>
        <v>0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2" t="str">
        <f>IFERROR(__xludf.DUMMYFUNCTION("IMPORTRANGE(""17CLUEFflDBSa8dyH5vsXfHme4RV8IhzD-mxe9_c9I5k"",""Round 5!W1"")"),"Question: 1")</f>
        <v>Question: 1</v>
      </c>
      <c r="B119" s="3" t="s">
        <v>31</v>
      </c>
    </row>
    <row r="120">
      <c r="A120" s="2"/>
    </row>
    <row r="121">
      <c r="A121" s="1" t="s">
        <v>46</v>
      </c>
      <c r="B121" t="str">
        <f>IFERROR(__xludf.DUMMYFUNCTION("{IMPORTRANGE(""1Knt8XDGFY_MP2OzeadT1pDENTLOdk9Ab_Rd9IdW0kzc"",""Round 5!C1:H3""),IMPORTRANGE(""1Knt8XDGFY_MP2OzeadT1pDENTLOdk9Ab_Rd9IdW0kzc"",""Round 5!M1:R3"")}"),"Team A")</f>
        <v>Team A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IFERROR(__xludf.DUMMYFUNCTION("""COMPUTED_VALUE"""),"Team B")</f>
        <v>Team B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2" t="str">
        <f>IFERROR(__xludf.DUMMYFUNCTION("CONCAT(""A BP: "",IMPORTRANGE(""1Knt8XDGFY_MP2OzeadT1pDENTLOdk9Ab_Rd9IdW0kzc"",""Round 5!I32""))"),"A BP: 0")</f>
        <v>A BP: 0</v>
      </c>
      <c r="B122" t="str">
        <f>IFERROR(__xludf.DUMMYFUNCTION("""COMPUTED_VALUE"""),"Score: 0")</f>
        <v>Score: 0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0")</f>
        <v>Score: 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2" t="str">
        <f>IFERROR(__xludf.DUMMYFUNCTION("CONCAT(""B BP: "",IMPORTRANGE(""1Knt8XDGFY_MP2OzeadT1pDENTLOdk9Ab_Rd9IdW0kzc"",""Round 5!S32""))"),"B BP: 0")</f>
        <v>B BP: 0</v>
      </c>
      <c r="B123" t="str">
        <f>IFERROR(__xludf.DUMMYFUNCTION("""COMPUTED_VALUE"""),"Player 1")</f>
        <v>Player 1</v>
      </c>
      <c r="C123" t="str">
        <f>IFERROR(__xludf.DUMMYFUNCTION("""COMPUTED_VALUE"""),"Player 2")</f>
        <v>Player 2</v>
      </c>
      <c r="D123" t="str">
        <f>IFERROR(__xludf.DUMMYFUNCTION("""COMPUTED_VALUE"""),"Player 3")</f>
        <v>Player 3</v>
      </c>
      <c r="E123" t="str">
        <f>IFERROR(__xludf.DUMMYFUNCTION("""COMPUTED_VALUE"""),"Player 4")</f>
        <v>Player 4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IFERROR(__xludf.DUMMYFUNCTION("""COMPUTED_VALUE"""),"Player 1")</f>
        <v>Player 1</v>
      </c>
      <c r="I123" t="str">
        <f>IFERROR(__xludf.DUMMYFUNCTION("""COMPUTED_VALUE"""),"Player 2")</f>
        <v>Player 2</v>
      </c>
      <c r="J123" t="str">
        <f>IFERROR(__xludf.DUMMYFUNCTION("""COMPUTED_VALUE"""),"Player 3")</f>
        <v>Player 3</v>
      </c>
      <c r="K123" t="str">
        <f>IFERROR(__xludf.DUMMYFUNCTION("""COMPUTED_VALUE"""),"Player 4")</f>
        <v>Player 4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1" t="s">
        <v>2</v>
      </c>
      <c r="B124">
        <f>IFERROR(__xludf.DUMMYFUNCTION("{IMPORTRANGE(""1Knt8XDGFY_MP2OzeadT1pDENTLOdk9Ab_Rd9IdW0kzc"",""Round 5!C32:H36""),IMPORTRANGE(""1Knt8XDGFY_MP2OzeadT1pDENTLOdk9Ab_Rd9IdW0kzc"",""Round 5!M32:R36"")}"),20.0)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1">
        <v>15.0</v>
      </c>
      <c r="B125">
        <f>IFERROR(__xludf.DUMMYFUNCTION("""COMPUTED_VALUE"""),0.0)</f>
        <v>0</v>
      </c>
      <c r="C125">
        <f>IFERROR(__xludf.DUMMYFUNCTION("""COMPUTED_VALUE"""),0.0)</f>
        <v>0</v>
      </c>
      <c r="D125">
        <f>IFERROR(__xludf.DUMMYFUNCTION("""COMPUTED_VALUE"""),0.0)</f>
        <v>0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1">
        <v>10.0</v>
      </c>
      <c r="B126">
        <f>IFERROR(__xludf.DUMMYFUNCTION("""COMPUTED_VALUE"""),0.0)</f>
        <v>0</v>
      </c>
      <c r="C126">
        <f>IFERROR(__xludf.DUMMYFUNCTION("""COMPUTED_VALUE"""),0.0)</f>
        <v>0</v>
      </c>
      <c r="D126">
        <f>IFERROR(__xludf.DUMMYFUNCTION("""COMPUTED_VALUE"""),0.0)</f>
        <v>0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IFERROR(__xludf.DUMMYFUNCTION("""COMPUTED_VALUE"""),0.0)</f>
        <v>0</v>
      </c>
      <c r="I126">
        <f>IFERROR(__xludf.DUMMYFUNCTION("""COMPUTED_VALUE"""),0.0)</f>
        <v>0</v>
      </c>
      <c r="J126">
        <f>IFERROR(__xludf.DUMMYFUNCTION("""COMPUTED_VALUE"""),0.0)</f>
        <v>0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1">
        <v>-5.0</v>
      </c>
      <c r="B127">
        <f>IFERROR(__xludf.DUMMYFUNCTION("""COMPUTED_VALUE"""),0.0)</f>
        <v>0</v>
      </c>
      <c r="C127">
        <f>IFERROR(__xludf.DUMMYFUNCTION("""COMPUTED_VALUE"""),0.0)</f>
        <v>0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IFERROR(__xludf.DUMMYFUNCTION("""COMPUTED_VALUE"""),0.0)</f>
        <v>0</v>
      </c>
      <c r="I127">
        <f>IFERROR(__xludf.DUMMYFUNCTION("""COMPUTED_VALUE"""),0.0)</f>
        <v>0</v>
      </c>
      <c r="J127">
        <f>IFERROR(__xludf.DUMMYFUNCTION("""COMPUTED_VALUE"""),0.0)</f>
        <v>0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1" t="s">
        <v>3</v>
      </c>
      <c r="B128">
        <f>IFERROR(__xludf.DUMMYFUNCTION("""COMPUTED_VALUE"""),0.0)</f>
        <v>0</v>
      </c>
      <c r="C128">
        <f>IFERROR(__xludf.DUMMYFUNCTION("""COMPUTED_VALUE"""),0.0)</f>
        <v>0</v>
      </c>
      <c r="D128">
        <f>IFERROR(__xludf.DUMMYFUNCTION("""COMPUTED_VALUE"""),0.0)</f>
        <v>0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IFERROR(__xludf.DUMMYFUNCTION("""COMPUTED_VALUE"""),0.0)</f>
        <v>0</v>
      </c>
      <c r="I128">
        <f>IFERROR(__xludf.DUMMYFUNCTION("""COMPUTED_VALUE"""),0.0)</f>
        <v>0</v>
      </c>
      <c r="J128">
        <f>IFERROR(__xludf.DUMMYFUNCTION("""COMPUTED_VALUE"""),0.0)</f>
        <v>0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2" t="str">
        <f>IFERROR(__xludf.DUMMYFUNCTION("IMPORTRANGE(""1Knt8XDGFY_MP2OzeadT1pDENTLOdk9Ab_Rd9IdW0kzc"",""Round 5!W1"")"),"Question: 1")</f>
        <v>Question: 1</v>
      </c>
      <c r="B129" s="3" t="s">
        <v>33</v>
      </c>
    </row>
    <row r="130">
      <c r="A130" s="2"/>
    </row>
    <row r="131">
      <c r="A131" s="1" t="s">
        <v>47</v>
      </c>
      <c r="B131" t="str">
        <f>IFERROR(__xludf.DUMMYFUNCTION("{IMPORTRANGE(""16i4gsLDaJasgGgtJt27HweoboYNaal3qpX3MtxIR2f0"",""Round 5!C1:H3""),IMPORTRANGE(""16i4gsLDaJasgGgtJt27HweoboYNaal3qpX3MtxIR2f0"",""Round 5!M1:R3"")}"),"Team A")</f>
        <v>Team A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IFERROR(__xludf.DUMMYFUNCTION("""COMPUTED_VALUE"""),"Team B")</f>
        <v>Team B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2" t="str">
        <f>IFERROR(__xludf.DUMMYFUNCTION("CONCAT(""A BP: "",IMPORTRANGE(""16i4gsLDaJasgGgtJt27HweoboYNaal3qpX3MtxIR2f0"",""Round 5!I32""))"),"A BP: 0")</f>
        <v>A BP: 0</v>
      </c>
      <c r="B132" t="str">
        <f>IFERROR(__xludf.DUMMYFUNCTION("""COMPUTED_VALUE"""),"Score: 0")</f>
        <v>Score: 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0")</f>
        <v>Score: 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2" t="str">
        <f>IFERROR(__xludf.DUMMYFUNCTION("CONCAT(""B BP: "",IMPORTRANGE(""16i4gsLDaJasgGgtJt27HweoboYNaal3qpX3MtxIR2f0"",""Round 5!S32""))"),"B BP: 0")</f>
        <v>B BP: 0</v>
      </c>
      <c r="B133" t="str">
        <f>IFERROR(__xludf.DUMMYFUNCTION("""COMPUTED_VALUE"""),"Player 1")</f>
        <v>Player 1</v>
      </c>
      <c r="C133" t="str">
        <f>IFERROR(__xludf.DUMMYFUNCTION("""COMPUTED_VALUE"""),"Player 2")</f>
        <v>Player 2</v>
      </c>
      <c r="D133" t="str">
        <f>IFERROR(__xludf.DUMMYFUNCTION("""COMPUTED_VALUE"""),"Player 3")</f>
        <v>Player 3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IFERROR(__xludf.DUMMYFUNCTION("""COMPUTED_VALUE"""),"Player 1")</f>
        <v>Player 1</v>
      </c>
      <c r="I133" t="str">
        <f>IFERROR(__xludf.DUMMYFUNCTION("""COMPUTED_VALUE"""),"Player 2")</f>
        <v>Player 2</v>
      </c>
      <c r="J133" t="str">
        <f>IFERROR(__xludf.DUMMYFUNCTION("""COMPUTED_VALUE"""),"Player 3")</f>
        <v>Player 3</v>
      </c>
      <c r="K133" t="str">
        <f>IFERROR(__xludf.DUMMYFUNCTION("""COMPUTED_VALUE"""),"Player 4")</f>
        <v>Player 4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1" t="s">
        <v>2</v>
      </c>
      <c r="B134">
        <f>IFERROR(__xludf.DUMMYFUNCTION("{IMPORTRANGE(""16i4gsLDaJasgGgtJt27HweoboYNaal3qpX3MtxIR2f0"",""Round 5!C32:H36""),IMPORTRANGE(""16i4gsLDaJasgGgtJt27HweoboYNaal3qpX3MtxIR2f0"",""Round 5!M32:R36"")}"),20.0)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1">
        <v>15.0</v>
      </c>
      <c r="B135">
        <f>IFERROR(__xludf.DUMMYFUNCTION("""COMPUTED_VALUE"""),0.0)</f>
        <v>0</v>
      </c>
      <c r="C135">
        <f>IFERROR(__xludf.DUMMYFUNCTION("""COMPUTED_VALUE"""),0.0)</f>
        <v>0</v>
      </c>
      <c r="D135">
        <f>IFERROR(__xludf.DUMMYFUNCTION("""COMPUTED_VALUE"""),0.0)</f>
        <v>0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IFERROR(__xludf.DUMMYFUNCTION("""COMPUTED_VALUE"""),0.0)</f>
        <v>0</v>
      </c>
      <c r="I135">
        <f>IFERROR(__xludf.DUMMYFUNCTION("""COMPUTED_VALUE"""),0.0)</f>
        <v>0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1">
        <v>10.0</v>
      </c>
      <c r="B136">
        <f>IFERROR(__xludf.DUMMYFUNCTION("""COMPUTED_VALUE"""),0.0)</f>
        <v>0</v>
      </c>
      <c r="C136">
        <f>IFERROR(__xludf.DUMMYFUNCTION("""COMPUTED_VALUE"""),0.0)</f>
        <v>0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IFERROR(__xludf.DUMMYFUNCTION("""COMPUTED_VALUE"""),0.0)</f>
        <v>0</v>
      </c>
      <c r="I136">
        <f>IFERROR(__xludf.DUMMYFUNCTION("""COMPUTED_VALUE"""),0.0)</f>
        <v>0</v>
      </c>
      <c r="J136">
        <f>IFERROR(__xludf.DUMMYFUNCTION("""COMPUTED_VALUE"""),0.0)</f>
        <v>0</v>
      </c>
      <c r="K136">
        <f>IFERROR(__xludf.DUMMYFUNCTION("""COMPUTED_VALUE"""),0.0)</f>
        <v>0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1">
        <v>-5.0</v>
      </c>
      <c r="B137">
        <f>IFERROR(__xludf.DUMMYFUNCTION("""COMPUTED_VALUE"""),0.0)</f>
        <v>0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IFERROR(__xludf.DUMMYFUNCTION("""COMPUTED_VALUE"""),0.0)</f>
        <v>0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1" t="s">
        <v>3</v>
      </c>
      <c r="B138">
        <f>IFERROR(__xludf.DUMMYFUNCTION("""COMPUTED_VALUE"""),0.0)</f>
        <v>0</v>
      </c>
      <c r="C138">
        <f>IFERROR(__xludf.DUMMYFUNCTION("""COMPUTED_VALUE"""),0.0)</f>
        <v>0</v>
      </c>
      <c r="D138">
        <f>IFERROR(__xludf.DUMMYFUNCTION("""COMPUTED_VALUE"""),0.0)</f>
        <v>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IFERROR(__xludf.DUMMYFUNCTION("""COMPUTED_VALUE"""),0.0)</f>
        <v>0</v>
      </c>
      <c r="I138">
        <f>IFERROR(__xludf.DUMMYFUNCTION("""COMPUTED_VALUE"""),0.0)</f>
        <v>0</v>
      </c>
      <c r="J138">
        <f>IFERROR(__xludf.DUMMYFUNCTION("""COMPUTED_VALUE"""),0.0)</f>
        <v>0</v>
      </c>
      <c r="K138">
        <f>IFERROR(__xludf.DUMMYFUNCTION("""COMPUTED_VALUE"""),0.0)</f>
        <v>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2" t="str">
        <f>IFERROR(__xludf.DUMMYFUNCTION("IMPORTRANGE(""16i4gsLDaJasgGgtJt27HweoboYNaal3qpX3MtxIR2f0"",""Round 5!W1"")"),"Question: 1")</f>
        <v>Question: 1</v>
      </c>
      <c r="B139" s="3" t="s">
        <v>35</v>
      </c>
    </row>
    <row r="140">
      <c r="A140" s="2"/>
    </row>
    <row r="141">
      <c r="A141" s="1" t="s">
        <v>48</v>
      </c>
      <c r="B141" t="str">
        <f>IFERROR(__xludf.DUMMYFUNCTION("{IMPORTRANGE(""1KRyI2c190uhOTF270Hsdzh1rgG565QIaE9TymteaGNY"",""Round 5!C1:H3""),IMPORTRANGE(""1KRyI2c190uhOTF270Hsdzh1rgG565QIaE9TymteaGNY"",""Round 5!M1:R3"")}"),"Team A")</f>
        <v>Team A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IFERROR(__xludf.DUMMYFUNCTION("""COMPUTED_VALUE"""),"Team B")</f>
        <v>Team B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2" t="str">
        <f>IFERROR(__xludf.DUMMYFUNCTION("CONCAT(""A BP: "",IMPORTRANGE(""1KRyI2c190uhOTF270Hsdzh1rgG565QIaE9TymteaGNY"",""Round 5!I32""))"),"A BP: 0")</f>
        <v>A BP: 0</v>
      </c>
      <c r="B142" t="str">
        <f>IFERROR(__xludf.DUMMYFUNCTION("""COMPUTED_VALUE"""),"Score: 0")</f>
        <v>Score: 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0")</f>
        <v>Score: 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2" t="str">
        <f>IFERROR(__xludf.DUMMYFUNCTION("CONCAT(""B BP: "",IMPORTRANGE(""1KRyI2c190uhOTF270Hsdzh1rgG565QIaE9TymteaGNY"",""Round 5!S32""))"),"B BP: 0")</f>
        <v>B BP: 0</v>
      </c>
      <c r="B143" t="str">
        <f>IFERROR(__xludf.DUMMYFUNCTION("""COMPUTED_VALUE"""),"Player 1")</f>
        <v>Player 1</v>
      </c>
      <c r="C143" t="str">
        <f>IFERROR(__xludf.DUMMYFUNCTION("""COMPUTED_VALUE"""),"Player 2")</f>
        <v>Player 2</v>
      </c>
      <c r="D143" t="str">
        <f>IFERROR(__xludf.DUMMYFUNCTION("""COMPUTED_VALUE"""),"Player 3")</f>
        <v>Player 3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IFERROR(__xludf.DUMMYFUNCTION("""COMPUTED_VALUE"""),"Player 1")</f>
        <v>Player 1</v>
      </c>
      <c r="I143" t="str">
        <f>IFERROR(__xludf.DUMMYFUNCTION("""COMPUTED_VALUE"""),"Player 2")</f>
        <v>Player 2</v>
      </c>
      <c r="J143" t="str">
        <f>IFERROR(__xludf.DUMMYFUNCTION("""COMPUTED_VALUE"""),"Player 3")</f>
        <v>Player 3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1" t="s">
        <v>2</v>
      </c>
      <c r="B144">
        <f>IFERROR(__xludf.DUMMYFUNCTION("{IMPORTRANGE(""1KRyI2c190uhOTF270Hsdzh1rgG565QIaE9TymteaGNY"",""Round 5!C32:H36""),IMPORTRANGE(""1KRyI2c190uhOTF270Hsdzh1rgG565QIaE9TymteaGNY"",""Round 5!M32:R36"")}"),20.0)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1">
        <v>15.0</v>
      </c>
      <c r="B145">
        <f>IFERROR(__xludf.DUMMYFUNCTION("""COMPUTED_VALUE"""),0.0)</f>
        <v>0</v>
      </c>
      <c r="C145">
        <f>IFERROR(__xludf.DUMMYFUNCTION("""COMPUTED_VALUE"""),0.0)</f>
        <v>0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1">
        <v>10.0</v>
      </c>
      <c r="B146">
        <f>IFERROR(__xludf.DUMMYFUNCTION("""COMPUTED_VALUE"""),0.0)</f>
        <v>0</v>
      </c>
      <c r="C146">
        <f>IFERROR(__xludf.DUMMYFUNCTION("""COMPUTED_VALUE"""),0.0)</f>
        <v>0</v>
      </c>
      <c r="D146">
        <f>IFERROR(__xludf.DUMMYFUNCTION("""COMPUTED_VALUE"""),0.0)</f>
        <v>0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IFERROR(__xludf.DUMMYFUNCTION("""COMPUTED_VALUE"""),0.0)</f>
        <v>0</v>
      </c>
      <c r="I146">
        <f>IFERROR(__xludf.DUMMYFUNCTION("""COMPUTED_VALUE"""),0.0)</f>
        <v>0</v>
      </c>
      <c r="J146">
        <f>IFERROR(__xludf.DUMMYFUNCTION("""COMPUTED_VALUE"""),0.0)</f>
        <v>0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1">
        <v>-5.0</v>
      </c>
      <c r="B147">
        <f>IFERROR(__xludf.DUMMYFUNCTION("""COMPUTED_VALUE"""),0.0)</f>
        <v>0</v>
      </c>
      <c r="C147">
        <f>IFERROR(__xludf.DUMMYFUNCTION("""COMPUTED_VALUE"""),0.0)</f>
        <v>0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IFERROR(__xludf.DUMMYFUNCTION("""COMPUTED_VALUE"""),0.0)</f>
        <v>0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1" t="s">
        <v>3</v>
      </c>
      <c r="B148">
        <f>IFERROR(__xludf.DUMMYFUNCTION("""COMPUTED_VALUE"""),0.0)</f>
        <v>0</v>
      </c>
      <c r="C148">
        <f>IFERROR(__xludf.DUMMYFUNCTION("""COMPUTED_VALUE"""),0.0)</f>
        <v>0</v>
      </c>
      <c r="D148">
        <f>IFERROR(__xludf.DUMMYFUNCTION("""COMPUTED_VALUE"""),0.0)</f>
        <v>0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IFERROR(__xludf.DUMMYFUNCTION("""COMPUTED_VALUE"""),0.0)</f>
        <v>0</v>
      </c>
      <c r="I148">
        <f>IFERROR(__xludf.DUMMYFUNCTION("""COMPUTED_VALUE"""),0.0)</f>
        <v>0</v>
      </c>
      <c r="J148">
        <f>IFERROR(__xludf.DUMMYFUNCTION("""COMPUTED_VALUE"""),0.0)</f>
        <v>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2" t="str">
        <f>IFERROR(__xludf.DUMMYFUNCTION("IMPORTRANGE(""1KRyI2c190uhOTF270Hsdzh1rgG565QIaE9TymteaGNY"",""Round 5!W1"")"),"Question: 1")</f>
        <v>Question: 1</v>
      </c>
      <c r="B149" s="3" t="s">
        <v>37</v>
      </c>
    </row>
    <row r="150">
      <c r="A150" s="2"/>
    </row>
    <row r="151">
      <c r="A151" s="1" t="s">
        <v>49</v>
      </c>
      <c r="B151" t="str">
        <f>IFERROR(__xludf.DUMMYFUNCTION("{IMPORTRANGE(""1zr0uYCpJ5izByVOUCsr6JXezthGEdLXnwOrjIKGx5XI"",""Round 5!C1:H3""),IMPORTRANGE(""1zr0uYCpJ5izByVOUCsr6JXezthGEdLXnwOrjIKGx5XI"",""Round 5!M1:R3"")}"),"Team A")</f>
        <v>Team A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IFERROR(__xludf.DUMMYFUNCTION("""COMPUTED_VALUE"""),"Team B")</f>
        <v>Team B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2" t="str">
        <f>IFERROR(__xludf.DUMMYFUNCTION("CONCAT(""A BP: "",IMPORTRANGE(""1zr0uYCpJ5izByVOUCsr6JXezthGEdLXnwOrjIKGx5XI"",""Round 5!I32""))"),"A BP: 0")</f>
        <v>A BP: 0</v>
      </c>
      <c r="B152" t="str">
        <f>IFERROR(__xludf.DUMMYFUNCTION("""COMPUTED_VALUE"""),"Score: 0")</f>
        <v>Score: 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0")</f>
        <v>Score: 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2" t="str">
        <f>IFERROR(__xludf.DUMMYFUNCTION("CONCAT(""B BP: "",IMPORTRANGE(""1zr0uYCpJ5izByVOUCsr6JXezthGEdLXnwOrjIKGx5XI"",""Round 5!S32""))"),"B BP: 0")</f>
        <v>B BP: 0</v>
      </c>
      <c r="B153" t="str">
        <f>IFERROR(__xludf.DUMMYFUNCTION("""COMPUTED_VALUE"""),"Player 1")</f>
        <v>Player 1</v>
      </c>
      <c r="C153" t="str">
        <f>IFERROR(__xludf.DUMMYFUNCTION("""COMPUTED_VALUE"""),"Player 2")</f>
        <v>Player 2</v>
      </c>
      <c r="D153" t="str">
        <f>IFERROR(__xludf.DUMMYFUNCTION("""COMPUTED_VALUE"""),"Player 3")</f>
        <v>Player 3</v>
      </c>
      <c r="E153" t="str">
        <f>IFERROR(__xludf.DUMMYFUNCTION("""COMPUTED_VALUE"""),"Player 4")</f>
        <v>Player 4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IFERROR(__xludf.DUMMYFUNCTION("""COMPUTED_VALUE"""),"Player 1")</f>
        <v>Player 1</v>
      </c>
      <c r="I153" t="str">
        <f>IFERROR(__xludf.DUMMYFUNCTION("""COMPUTED_VALUE"""),"Player 2")</f>
        <v>Player 2</v>
      </c>
      <c r="J153" t="str">
        <f>IFERROR(__xludf.DUMMYFUNCTION("""COMPUTED_VALUE"""),"Player 3")</f>
        <v>Player 3</v>
      </c>
      <c r="K153" t="str">
        <f>IFERROR(__xludf.DUMMYFUNCTION("""COMPUTED_VALUE"""),"Player 4")</f>
        <v>Player 4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1" t="s">
        <v>2</v>
      </c>
      <c r="B154">
        <f>IFERROR(__xludf.DUMMYFUNCTION("{IMPORTRANGE(""1zr0uYCpJ5izByVOUCsr6JXezthGEdLXnwOrjIKGx5XI"",""Round 5!C32:H36""),IMPORTRANGE(""1zr0uYCpJ5izByVOUCsr6JXezthGEdLXnwOrjIKGx5XI"",""Round 5!M32:R36"")}"),20.0)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1">
        <v>15.0</v>
      </c>
      <c r="B155">
        <f>IFERROR(__xludf.DUMMYFUNCTION("""COMPUTED_VALUE"""),0.0)</f>
        <v>0</v>
      </c>
      <c r="C155">
        <f>IFERROR(__xludf.DUMMYFUNCTION("""COMPUTED_VALUE"""),0.0)</f>
        <v>0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IFERROR(__xludf.DUMMYFUNCTION("""COMPUTED_VALUE"""),0.0)</f>
        <v>0</v>
      </c>
      <c r="I155">
        <f>IFERROR(__xludf.DUMMYFUNCTION("""COMPUTED_VALUE"""),0.0)</f>
        <v>0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1">
        <v>10.0</v>
      </c>
      <c r="B156">
        <f>IFERROR(__xludf.DUMMYFUNCTION("""COMPUTED_VALUE"""),0.0)</f>
        <v>0</v>
      </c>
      <c r="C156">
        <f>IFERROR(__xludf.DUMMYFUNCTION("""COMPUTED_VALUE"""),0.0)</f>
        <v>0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IFERROR(__xludf.DUMMYFUNCTION("""COMPUTED_VALUE"""),0.0)</f>
        <v>0</v>
      </c>
      <c r="I156">
        <f>IFERROR(__xludf.DUMMYFUNCTION("""COMPUTED_VALUE"""),0.0)</f>
        <v>0</v>
      </c>
      <c r="J156">
        <f>IFERROR(__xludf.DUMMYFUNCTION("""COMPUTED_VALUE"""),0.0)</f>
        <v>0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1">
        <v>-5.0</v>
      </c>
      <c r="B157">
        <f>IFERROR(__xludf.DUMMYFUNCTION("""COMPUTED_VALUE"""),0.0)</f>
        <v>0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IFERROR(__xludf.DUMMYFUNCTION("""COMPUTED_VALUE"""),0.0)</f>
        <v>0</v>
      </c>
      <c r="J157">
        <f>IFERROR(__xludf.DUMMYFUNCTION("""COMPUTED_VALUE"""),0.0)</f>
        <v>0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1" t="s">
        <v>3</v>
      </c>
      <c r="B158">
        <f>IFERROR(__xludf.DUMMYFUNCTION("""COMPUTED_VALUE"""),0.0)</f>
        <v>0</v>
      </c>
      <c r="C158">
        <f>IFERROR(__xludf.DUMMYFUNCTION("""COMPUTED_VALUE"""),0.0)</f>
        <v>0</v>
      </c>
      <c r="D158">
        <f>IFERROR(__xludf.DUMMYFUNCTION("""COMPUTED_VALUE"""),0.0)</f>
        <v>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IFERROR(__xludf.DUMMYFUNCTION("""COMPUTED_VALUE"""),0.0)</f>
        <v>0</v>
      </c>
      <c r="I158">
        <f>IFERROR(__xludf.DUMMYFUNCTION("""COMPUTED_VALUE"""),0.0)</f>
        <v>0</v>
      </c>
      <c r="J158">
        <f>IFERROR(__xludf.DUMMYFUNCTION("""COMPUTED_VALUE"""),0.0)</f>
        <v>0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2" t="str">
        <f>IFERROR(__xludf.DUMMYFUNCTION("IMPORTRANGE(""1zr0uYCpJ5izByVOUCsr6JXezthGEdLXnwOrjIKGx5XI"",""Round 5!W1"")"),"Question: 1")</f>
        <v>Question: 1</v>
      </c>
      <c r="B159" s="3" t="s">
        <v>39</v>
      </c>
    </row>
    <row r="160">
      <c r="A160" s="2"/>
    </row>
    <row r="161">
      <c r="A161" s="1" t="s">
        <v>50</v>
      </c>
      <c r="B161" t="str">
        <f>IFERROR(__xludf.DUMMYFUNCTION("{IMPORTRANGE(""1TVrjNI5RE1VozIr906BhaTKMFP0VPx8aUGpyt_loukE"",""Round 5!C1:H3""),IMPORTRANGE(""1TVrjNI5RE1VozIr906BhaTKMFP0VPx8aUGpyt_loukE"",""Round 5!M1:R3"")}"),"Team A")</f>
        <v>Team A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IFERROR(__xludf.DUMMYFUNCTION("""COMPUTED_VALUE"""),"Team B")</f>
        <v>Team B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2" t="str">
        <f>IFERROR(__xludf.DUMMYFUNCTION("CONCAT(""A BP: "",IMPORTRANGE(""1TVrjNI5RE1VozIr906BhaTKMFP0VPx8aUGpyt_loukE"",""Round 5!I32""))"),"A BP: 0")</f>
        <v>A BP: 0</v>
      </c>
      <c r="B162" t="str">
        <f>IFERROR(__xludf.DUMMYFUNCTION("""COMPUTED_VALUE"""),"Score: 0")</f>
        <v>Score: 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0")</f>
        <v>Score: 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2" t="str">
        <f>IFERROR(__xludf.DUMMYFUNCTION("CONCAT(""B BP: "",IMPORTRANGE(""1TVrjNI5RE1VozIr906BhaTKMFP0VPx8aUGpyt_loukE"",""Round 5!S32""))"),"B BP: 0")</f>
        <v>B BP: 0</v>
      </c>
      <c r="B163" t="str">
        <f>IFERROR(__xludf.DUMMYFUNCTION("""COMPUTED_VALUE"""),"Player 1")</f>
        <v>Player 1</v>
      </c>
      <c r="C163" t="str">
        <f>IFERROR(__xludf.DUMMYFUNCTION("""COMPUTED_VALUE"""),"Player 2")</f>
        <v>Player 2</v>
      </c>
      <c r="D163" t="str">
        <f>IFERROR(__xludf.DUMMYFUNCTION("""COMPUTED_VALUE"""),"Player 3")</f>
        <v>Player 3</v>
      </c>
      <c r="E163" t="str">
        <f>IFERROR(__xludf.DUMMYFUNCTION("""COMPUTED_VALUE"""),"Player 4")</f>
        <v>Player 4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IFERROR(__xludf.DUMMYFUNCTION("""COMPUTED_VALUE"""),"Player 1")</f>
        <v>Player 1</v>
      </c>
      <c r="I163" t="str">
        <f>IFERROR(__xludf.DUMMYFUNCTION("""COMPUTED_VALUE"""),"Player 2")</f>
        <v>Player 2</v>
      </c>
      <c r="J163" t="str">
        <f>IFERROR(__xludf.DUMMYFUNCTION("""COMPUTED_VALUE"""),"Player 3")</f>
        <v>Player 3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1" t="s">
        <v>2</v>
      </c>
      <c r="B164">
        <f>IFERROR(__xludf.DUMMYFUNCTION("{IMPORTRANGE(""1TVrjNI5RE1VozIr906BhaTKMFP0VPx8aUGpyt_loukE"",""Round 5!C32:H36""),IMPORTRANGE(""1TVrjNI5RE1VozIr906BhaTKMFP0VPx8aUGpyt_loukE"",""Round 5!M32:R36"")}"),20.0)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1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1">
        <v>10.0</v>
      </c>
      <c r="B166">
        <f>IFERROR(__xludf.DUMMYFUNCTION("""COMPUTED_VALUE"""),0.0)</f>
        <v>0</v>
      </c>
      <c r="C166">
        <f>IFERROR(__xludf.DUMMYFUNCTION("""COMPUTED_VALUE"""),0.0)</f>
        <v>0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IFERROR(__xludf.DUMMYFUNCTION("""COMPUTED_VALUE"""),0.0)</f>
        <v>0</v>
      </c>
      <c r="I166">
        <f>IFERROR(__xludf.DUMMYFUNCTION("""COMPUTED_VALUE"""),0.0)</f>
        <v>0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1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IFERROR(__xludf.DUMMYFUNCTION("""COMPUTED_VALUE"""),0.0)</f>
        <v>0</v>
      </c>
      <c r="I167">
        <f>IFERROR(__xludf.DUMMYFUNCTION("""COMPUTED_VALUE"""),0.0)</f>
        <v>0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1" t="s">
        <v>3</v>
      </c>
      <c r="B168">
        <f>IFERROR(__xludf.DUMMYFUNCTION("""COMPUTED_VALUE"""),0.0)</f>
        <v>0</v>
      </c>
      <c r="C168">
        <f>IFERROR(__xludf.DUMMYFUNCTION("""COMPUTED_VALUE"""),0.0)</f>
        <v>0</v>
      </c>
      <c r="D168">
        <f>IFERROR(__xludf.DUMMYFUNCTION("""COMPUTED_VALUE"""),0.0)</f>
        <v>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IFERROR(__xludf.DUMMYFUNCTION("""COMPUTED_VALUE"""),0.0)</f>
        <v>0</v>
      </c>
      <c r="I168">
        <f>IFERROR(__xludf.DUMMYFUNCTION("""COMPUTED_VALUE"""),0.0)</f>
        <v>0</v>
      </c>
      <c r="J168">
        <f>IFERROR(__xludf.DUMMYFUNCTION("""COMPUTED_VALUE"""),0.0)</f>
        <v>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2" t="str">
        <f>IFERROR(__xludf.DUMMYFUNCTION("IMPORTRANGE(""1TVrjNI5RE1VozIr906BhaTKMFP0VPx8aUGpyt_loukE"",""Round 5!W1"")"),"Question: 1")</f>
        <v>Question: 1</v>
      </c>
      <c r="B169" s="3" t="s">
        <v>41</v>
      </c>
    </row>
    <row r="170">
      <c r="A170" s="2"/>
    </row>
    <row r="171">
      <c r="A171" s="1" t="s">
        <v>42</v>
      </c>
      <c r="B171" t="str">
        <f>IFERROR(__xludf.DUMMYFUNCTION("{IMPORTRANGE(""1xRz0po-ejgp-QRvMkY44z3u2CePgTccasdyrrVALbmE"",""Round 5!C1:H3""),IMPORTRANGE(""1xRz0po-ejgp-QRvMkY44z3u2CePgTccasdyrrVALbmE"",""Round 5!M1:R3"")}"),"Team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2" t="str">
        <f>IFERROR(__xludf.DUMMYFUNCTION("CONCAT(""A BP: "",IMPORTRANGE(""1xRz0po-ejgp-QRvMkY44z3u2CePgTccasdyrrVALbmE"",""Round 5!I32""))"),"A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2" t="str">
        <f>IFERROR(__xludf.DUMMYFUNCTION("CONCAT(""B BP: "",IMPORTRANGE(""1xRz0po-ejgp-QRvMkY44z3u2CePgTccasdyrrVALbmE"",""Round 5!S32""))"),"B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1" t="s">
        <v>2</v>
      </c>
      <c r="B174">
        <f>IFERROR(__xludf.DUMMYFUNCTION("{IMPORTRANGE(""1xRz0po-ejgp-QRvMkY44z3u2CePgTccasdyrrVALbmE"",""Round 5!C32:H36""),IMPORTRANGE(""1xRz0po-ejgp-QRvMkY44z3u2CePgTccasdyrrVALbmE"",""Round 5!M32:R36"")}"),20.0)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1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1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1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1" t="s">
        <v>3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2" t="str">
        <f>IFERROR(__xludf.DUMMYFUNCTION("IMPORTRANGE(""1xRz0po-ejgp-QRvMkY44z3u2CePgTccasdyrrVALbmE"",""Round 5!W1"")"),"Question: 1")</f>
        <v>Question: 1</v>
      </c>
      <c r="B179" s="3" t="s">
        <v>43</v>
      </c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 t="s">
        <v>0</v>
      </c>
      <c r="B1" t="str">
        <f>IFERROR(__xludf.DUMMYFUNCTION("{IMPORTRANGE(""1JXwZ4AjXctyKvWy9qFKCX518NRYJYhSX9Jii0HPBCUs"",""Round 6!C1:H3""),IMPORTRANGE(""1JXwZ4AjXctyKvWy9qFKCX518NRYJYhSX9Jii0HPBCUs"",""Round 6!M1:R3"")}"),"Team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2" t="str">
        <f>IFERROR(__xludf.DUMMYFUNCTION("CONCAT(""A BP: "",IMPORTRANGE(""1JXwZ4AjXctyKvWy9qFKCX518NRYJYhSX9Jii0HPBCUs"",""Round 6!I32""))"),"A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2" t="str">
        <f>IFERROR(__xludf.DUMMYFUNCTION("CONCAT(""B BP: "",IMPORTRANGE(""1JXwZ4AjXctyKvWy9qFKCX518NRYJYhSX9Jii0HPBCUs"",""Round 6!S32""))"),"B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1" t="s">
        <v>2</v>
      </c>
      <c r="B4">
        <f>IFERROR(__xludf.DUMMYFUNCTION("{IMPORTRANGE(""1JXwZ4AjXctyKvWy9qFKCX518NRYJYhSX9Jii0HPBCUs"",""Round 6!C32:H36""),IMPORTRANGE(""1JXwZ4AjXctyKvWy9qFKCX518NRYJYhSX9Jii0HPBCUs"",""Round 6!M32:R36"")}"),20.0)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1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1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1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1" t="s">
        <v>3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2" t="str">
        <f>IFERROR(__xludf.DUMMYFUNCTION("IMPORTRANGE(""1JXwZ4AjXctyKvWy9qFKCX518NRYJYhSX9Jii0HPBCUs"",""Round 6!W1"")"),"Question: 1")</f>
        <v>Question: 1</v>
      </c>
      <c r="B9" s="3" t="s">
        <v>4</v>
      </c>
    </row>
    <row r="10">
      <c r="A10" s="1"/>
    </row>
    <row r="11">
      <c r="A11" s="1" t="s">
        <v>5</v>
      </c>
      <c r="B11" t="str">
        <f>IFERROR(__xludf.DUMMYFUNCTION("{IMPORTRANGE(""1GBDUn_ZojNLX5OJCVBEhvJbdm0c55Z7lPcE4L6WH89o"",""Round 6!C1:H3""),IMPORTRANGE(""1GBDUn_ZojNLX5OJCVBEhvJbdm0c55Z7lPcE4L6WH89o"",""Round 6!M1:R3"")}"),"Team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2" t="str">
        <f>IFERROR(__xludf.DUMMYFUNCTION("CONCAT(""A BP: "",IMPORTRANGE(""1GBDUn_ZojNLX5OJCVBEhvJbdm0c55Z7lPcE4L6WH89o"",""Round 6!I32""))"),"A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2" t="str">
        <f>IFERROR(__xludf.DUMMYFUNCTION("CONCAT(""B BP: "",IMPORTRANGE(""1GBDUn_ZojNLX5OJCVBEhvJbdm0c55Z7lPcE4L6WH89o"",""Round 6!S32""))"),"B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1" t="s">
        <v>2</v>
      </c>
      <c r="B14">
        <f>IFERROR(__xludf.DUMMYFUNCTION("{IMPORTRANGE(""1GBDUn_ZojNLX5OJCVBEhvJbdm0c55Z7lPcE4L6WH89o"",""Round 6!C32:H36""),IMPORTRANGE(""1GBDUn_ZojNLX5OJCVBEhvJbdm0c55Z7lPcE4L6WH89o"",""Round 6!M32:R36"")}"),20.0)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1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1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1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1" t="s">
        <v>3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2" t="str">
        <f>IFERROR(__xludf.DUMMYFUNCTION("IMPORTRANGE(""1GBDUn_ZojNLX5OJCVBEhvJbdm0c55Z7lPcE4L6WH89o"",""Round 6!W1"")"),"Question: 1")</f>
        <v>Question: 1</v>
      </c>
      <c r="B19" s="3" t="s">
        <v>6</v>
      </c>
    </row>
    <row r="20">
      <c r="A20" s="2"/>
    </row>
    <row r="21">
      <c r="A21" s="1" t="s">
        <v>7</v>
      </c>
      <c r="B21" t="str">
        <f>IFERROR(__xludf.DUMMYFUNCTION("{IMPORTRANGE(""19Dum1qlL_dEwf1AEniLf02Eg9XaNXi1GMkI5M4_Ei6w"",""Round 6!C1:H3""),IMPORTRANGE(""19Dum1qlL_dEwf1AEniLf02Eg9XaNXi1GMkI5M4_Ei6w"",""Round 6!M1:R3"")}"),"Team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2" t="str">
        <f>IFERROR(__xludf.DUMMYFUNCTION("CONCAT(""A BP: "",IMPORTRANGE(""19Dum1qlL_dEwf1AEniLf02Eg9XaNXi1GMkI5M4_Ei6w"",""Round 6!I32""))"),"A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2" t="str">
        <f>IFERROR(__xludf.DUMMYFUNCTION("CONCAT(""B BP: "",IMPORTRANGE(""19Dum1qlL_dEwf1AEniLf02Eg9XaNXi1GMkI5M4_Ei6w"",""Round 6!S32""))"),"B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1" t="s">
        <v>2</v>
      </c>
      <c r="B24">
        <f>IFERROR(__xludf.DUMMYFUNCTION("{IMPORTRANGE(""19Dum1qlL_dEwf1AEniLf02Eg9XaNXi1GMkI5M4_Ei6w"",""Round 6!C32:H36""),IMPORTRANGE(""19Dum1qlL_dEwf1AEniLf02Eg9XaNXi1GMkI5M4_Ei6w"",""Round 6!M32:R36"")}"),20.0)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1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1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1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1" t="s">
        <v>3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2" t="str">
        <f>IFERROR(__xludf.DUMMYFUNCTION("IMPORTRANGE(""19Dum1qlL_dEwf1AEniLf02Eg9XaNXi1GMkI5M4_Ei6w"",""Round 6!W1"")"),"Question: 1")</f>
        <v>Question: 1</v>
      </c>
      <c r="B29" s="3" t="s">
        <v>8</v>
      </c>
    </row>
    <row r="30">
      <c r="A30" s="2"/>
    </row>
    <row r="31">
      <c r="A31" s="1" t="s">
        <v>44</v>
      </c>
      <c r="B31" t="str">
        <f>IFERROR(__xludf.DUMMYFUNCTION("{IMPORTRANGE(""18KjuM_F6goZYnozVb7folIb5Hw_mfKQrNdVWKGx6j4s"",""Round 6!C1:H3""),IMPORTRANGE(""18KjuM_F6goZYnozVb7folIb5Hw_mfKQrNdVWKGx6j4s"",""Round 6!M1:R3"")}"),"Oak Valley C (JV)")</f>
        <v>Oak Valley C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IFERROR(__xludf.DUMMYFUNCTION("""COMPUTED_VALUE"""),"Rancho Bernardo (JV)")</f>
        <v>Rancho Bernardo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2" t="str">
        <f>IFERROR(__xludf.DUMMYFUNCTION("CONCAT(""A BP: "",IMPORTRANGE(""18KjuM_F6goZYnozVb7folIb5Hw_mfKQrNdVWKGx6j4s"",""Round 6!I32""))"),"A BP: 10")</f>
        <v>A BP: 10</v>
      </c>
      <c r="B32" t="str">
        <f>IFERROR(__xludf.DUMMYFUNCTION("""COMPUTED_VALUE"""),"Score: 45")</f>
        <v>Score: 45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295")</f>
        <v>Score: 295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2" t="str">
        <f>IFERROR(__xludf.DUMMYFUNCTION("CONCAT(""B BP: "",IMPORTRANGE(""18KjuM_F6goZYnozVb7folIb5Hw_mfKQrNdVWKGx6j4s"",""Round 6!S32""))"),"B BP: 160")</f>
        <v>B BP: 160</v>
      </c>
      <c r="B33" t="str">
        <f>IFERROR(__xludf.DUMMYFUNCTION("""COMPUTED_VALUE"""),"Sarah Feng (6)")</f>
        <v>Sarah Feng (6)</v>
      </c>
      <c r="C33" t="str">
        <f>IFERROR(__xludf.DUMMYFUNCTION("""COMPUTED_VALUE"""),"Saanvi Agarwal (6)")</f>
        <v>Saanvi Agarwal (6)</v>
      </c>
      <c r="D33" t="str">
        <f>IFERROR(__xludf.DUMMYFUNCTION("""COMPUTED_VALUE"""),"Tay Kim (7)")</f>
        <v>Tay Kim (7)</v>
      </c>
      <c r="E33" t="str">
        <f>IFERROR(__xludf.DUMMYFUNCTION("""COMPUTED_VALUE"""),"Chinmay Ramamurthy (7)")</f>
        <v>Chinmay Ramamurthy (7)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IFERROR(__xludf.DUMMYFUNCTION("""COMPUTED_VALUE"""),"Sandy Tran (12)")</f>
        <v>Sandy Tran (12)</v>
      </c>
      <c r="I33" t="str">
        <f>IFERROR(__xludf.DUMMYFUNCTION("""COMPUTED_VALUE"""),"Patrick Joyce (11)")</f>
        <v>Patrick Joyce (11)</v>
      </c>
      <c r="J33" t="str">
        <f>IFERROR(__xludf.DUMMYFUNCTION("""COMPUTED_VALUE"""),"Katheryn Garrett (11)")</f>
        <v>Katheryn Garrett (11)</v>
      </c>
      <c r="K33" t="str">
        <f>IFERROR(__xludf.DUMMYFUNCTION("""COMPUTED_VALUE"""),"YungYi Sun (12)")</f>
        <v>YungYi Sun (12)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1" t="s">
        <v>2</v>
      </c>
      <c r="B34">
        <f>IFERROR(__xludf.DUMMYFUNCTION("{IMPORTRANGE(""18KjuM_F6goZYnozVb7folIb5Hw_mfKQrNdVWKGx6j4s"",""Round 6!C32:H36""),IMPORTRANGE(""18KjuM_F6goZYnozVb7folIb5Hw_mfKQrNdVWKGx6j4s"",""Round 6!M32:R36"")}"),20.0)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1">
        <v>15.0</v>
      </c>
      <c r="B35">
        <f>IFERROR(__xludf.DUMMYFUNCTION("""COMPUTED_VALUE"""),0.0)</f>
        <v>0</v>
      </c>
      <c r="C35">
        <f>IFERROR(__xludf.DUMMYFUNCTION("""COMPUTED_VALUE"""),1.0)</f>
        <v>1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IFERROR(__xludf.DUMMYFUNCTION("""COMPUTED_VALUE"""),3.0)</f>
        <v>3</v>
      </c>
      <c r="I35">
        <f>IFERROR(__xludf.DUMMYFUNCTION("""COMPUTED_VALUE"""),0.0)</f>
        <v>0</v>
      </c>
      <c r="J35">
        <f>IFERROR(__xludf.DUMMYFUNCTION("""COMPUTED_VALUE"""),0.0)</f>
        <v>0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1">
        <v>10.0</v>
      </c>
      <c r="B36">
        <f>IFERROR(__xludf.DUMMYFUNCTION("""COMPUTED_VALUE"""),1.0)</f>
        <v>1</v>
      </c>
      <c r="C36">
        <f>IFERROR(__xludf.DUMMYFUNCTION("""COMPUTED_VALUE"""),1.0)</f>
        <v>1</v>
      </c>
      <c r="D36">
        <f>IFERROR(__xludf.DUMMYFUNCTION("""COMPUTED_VALUE"""),0.0)</f>
        <v>0</v>
      </c>
      <c r="E36">
        <f>IFERROR(__xludf.DUMMYFUNCTION("""COMPUTED_VALUE"""),1.0)</f>
        <v>1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IFERROR(__xludf.DUMMYFUNCTION("""COMPUTED_VALUE"""),8.0)</f>
        <v>8</v>
      </c>
      <c r="I36">
        <f>IFERROR(__xludf.DUMMYFUNCTION("""COMPUTED_VALUE"""),0.0)</f>
        <v>0</v>
      </c>
      <c r="J36">
        <f>IFERROR(__xludf.DUMMYFUNCTION("""COMPUTED_VALUE"""),1.0)</f>
        <v>1</v>
      </c>
      <c r="K36">
        <f>IFERROR(__xludf.DUMMYFUNCTION("""COMPUTED_VALUE"""),1.0)</f>
        <v>1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1">
        <v>-5.0</v>
      </c>
      <c r="B37">
        <f>IFERROR(__xludf.DUMMYFUNCTION("""COMPUTED_VALUE"""),0.0)</f>
        <v>0</v>
      </c>
      <c r="C37">
        <f>IFERROR(__xludf.DUMMYFUNCTION("""COMPUTED_VALUE"""),1.0)</f>
        <v>1</v>
      </c>
      <c r="D37">
        <f>IFERROR(__xludf.DUMMYFUNCTION("""COMPUTED_VALUE"""),0.0)</f>
        <v>0</v>
      </c>
      <c r="E37">
        <f>IFERROR(__xludf.DUMMYFUNCTION("""COMPUTED_VALUE"""),1.0)</f>
        <v>1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IFERROR(__xludf.DUMMYFUNCTION("""COMPUTED_VALUE"""),1.0)</f>
        <v>1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IFERROR(__xludf.DUMMYFUNCTION("""COMPUTED_VALUE"""),1.0)</f>
        <v>1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1" t="s">
        <v>3</v>
      </c>
      <c r="B38">
        <f>IFERROR(__xludf.DUMMYFUNCTION("""COMPUTED_VALUE"""),10.0)</f>
        <v>10</v>
      </c>
      <c r="C38">
        <f>IFERROR(__xludf.DUMMYFUNCTION("""COMPUTED_VALUE"""),20.0)</f>
        <v>20</v>
      </c>
      <c r="D38">
        <f>IFERROR(__xludf.DUMMYFUNCTION("""COMPUTED_VALUE"""),0.0)</f>
        <v>0</v>
      </c>
      <c r="E38">
        <f>IFERROR(__xludf.DUMMYFUNCTION("""COMPUTED_VALUE"""),5.0)</f>
        <v>5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IFERROR(__xludf.DUMMYFUNCTION("""COMPUTED_VALUE"""),120.0)</f>
        <v>120</v>
      </c>
      <c r="I38">
        <f>IFERROR(__xludf.DUMMYFUNCTION("""COMPUTED_VALUE"""),0.0)</f>
        <v>0</v>
      </c>
      <c r="J38">
        <f>IFERROR(__xludf.DUMMYFUNCTION("""COMPUTED_VALUE"""),10.0)</f>
        <v>10</v>
      </c>
      <c r="K38">
        <f>IFERROR(__xludf.DUMMYFUNCTION("""COMPUTED_VALUE"""),5.0)</f>
        <v>5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2" t="str">
        <f>IFERROR(__xludf.DUMMYFUNCTION("IMPORTRANGE(""18KjuM_F6goZYnozVb7folIb5Hw_mfKQrNdVWKGx6j4s"",""Round 6!W1"")"),"Question: 21")</f>
        <v>Question: 21</v>
      </c>
      <c r="B39" s="3" t="s">
        <v>10</v>
      </c>
    </row>
    <row r="40">
      <c r="A40" s="2"/>
    </row>
    <row r="41">
      <c r="A41" s="1" t="s">
        <v>12</v>
      </c>
      <c r="B41" t="str">
        <f>IFERROR(__xludf.DUMMYFUNCTION("{IMPORTRANGE(""1_YEY20HiFjspjicPICCMlL_lQXsksdB6d3m5vzHwuOI"",""Round 6!C1:H3""),IMPORTRANGE(""1_YEY20HiFjspjicPICCMlL_lQXsksdB6d3m5vzHwuOI"",""Round 6!M1:R3"")}"),"Westview C (JV)")</f>
        <v>Westview C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IFERROR(__xludf.DUMMYFUNCTION("""COMPUTED_VALUE"""),"La Serna A (JV)")</f>
        <v>La Serna A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2" t="str">
        <f>IFERROR(__xludf.DUMMYFUNCTION("CONCAT(""A BP: "",IMPORTRANGE(""1_YEY20HiFjspjicPICCMlL_lQXsksdB6d3m5vzHwuOI"",""Round 6!I32""))"),"A BP: 110")</f>
        <v>A BP: 110</v>
      </c>
      <c r="B42" t="str">
        <f>IFERROR(__xludf.DUMMYFUNCTION("""COMPUTED_VALUE"""),"Score: 185")</f>
        <v>Score: 185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350")</f>
        <v>Score: 350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2" t="str">
        <f>IFERROR(__xludf.DUMMYFUNCTION("CONCAT(""B BP: "",IMPORTRANGE(""1_YEY20HiFjspjicPICCMlL_lQXsksdB6d3m5vzHwuOI"",""Round 6!S32""))"),"B BP: 200")</f>
        <v>B BP: 200</v>
      </c>
      <c r="B43" t="str">
        <f>IFERROR(__xludf.DUMMYFUNCTION("""COMPUTED_VALUE"""),"Rohan Kumar (11)")</f>
        <v>Rohan Kumar (11)</v>
      </c>
      <c r="C43" t="str">
        <f>IFERROR(__xludf.DUMMYFUNCTION("""COMPUTED_VALUE"""),"Aiken Wang (9)")</f>
        <v>Aiken Wang (9)</v>
      </c>
      <c r="D43" t="str">
        <f>IFERROR(__xludf.DUMMYFUNCTION("""COMPUTED_VALUE"""),"Radhika Sreelal (10)")</f>
        <v>Radhika Sreelal (10)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IFERROR(__xludf.DUMMYFUNCTION("""COMPUTED_VALUE"""),"Jay Gamez (12)")</f>
        <v>Jay Gamez (12)</v>
      </c>
      <c r="I43" t="str">
        <f>IFERROR(__xludf.DUMMYFUNCTION("""COMPUTED_VALUE"""),"Cole Aedo (12)")</f>
        <v>Cole Aedo (12)</v>
      </c>
      <c r="J43" t="str">
        <f>IFERROR(__xludf.DUMMYFUNCTION("""COMPUTED_VALUE"""),"Ian Brennan (12)")</f>
        <v>Ian Brennan (12)</v>
      </c>
      <c r="K43" t="str">
        <f>IFERROR(__xludf.DUMMYFUNCTION("""COMPUTED_VALUE"""),"Player 4")</f>
        <v>Player 4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1" t="s">
        <v>2</v>
      </c>
      <c r="B44">
        <f>IFERROR(__xludf.DUMMYFUNCTION("{IMPORTRANGE(""1_YEY20HiFjspjicPICCMlL_lQXsksdB6d3m5vzHwuOI"",""Round 6!C32:H36""),IMPORTRANGE(""1_YEY20HiFjspjicPICCMlL_lQXsksdB6d3m5vzHwuOI"",""Round 6!M32:R36"")}"),20.0)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1">
        <v>15.0</v>
      </c>
      <c r="B45">
        <f>IFERROR(__xludf.DUMMYFUNCTION("""COMPUTED_VALUE"""),0.0)</f>
        <v>0</v>
      </c>
      <c r="C45">
        <f>IFERROR(__xludf.DUMMYFUNCTION("""COMPUTED_VALUE"""),2.0)</f>
        <v>2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IFERROR(__xludf.DUMMYFUNCTION("""COMPUTED_VALUE"""),0.0)</f>
        <v>0</v>
      </c>
      <c r="I45">
        <f>IFERROR(__xludf.DUMMYFUNCTION("""COMPUTED_VALUE"""),4.0)</f>
        <v>4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1">
        <v>10.0</v>
      </c>
      <c r="B46">
        <f>IFERROR(__xludf.DUMMYFUNCTION("""COMPUTED_VALUE"""),2.0)</f>
        <v>2</v>
      </c>
      <c r="C46">
        <f>IFERROR(__xludf.DUMMYFUNCTION("""COMPUTED_VALUE"""),3.0)</f>
        <v>3</v>
      </c>
      <c r="D46">
        <f>IFERROR(__xludf.DUMMYFUNCTION("""COMPUTED_VALUE"""),0.0)</f>
        <v>0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IFERROR(__xludf.DUMMYFUNCTION("""COMPUTED_VALUE"""),0.0)</f>
        <v>0</v>
      </c>
      <c r="I46">
        <f>IFERROR(__xludf.DUMMYFUNCTION("""COMPUTED_VALUE"""),6.0)</f>
        <v>6</v>
      </c>
      <c r="J46">
        <f>IFERROR(__xludf.DUMMYFUNCTION("""COMPUTED_VALUE"""),3.0)</f>
        <v>3</v>
      </c>
      <c r="K46">
        <f>IFERROR(__xludf.DUMMYFUNCTION("""COMPUTED_VALUE"""),0.0)</f>
        <v>0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1">
        <v>-5.0</v>
      </c>
      <c r="B47">
        <f>IFERROR(__xludf.DUMMYFUNCTION("""COMPUTED_VALUE"""),0.0)</f>
        <v>0</v>
      </c>
      <c r="C47">
        <f>IFERROR(__xludf.DUMMYFUNCTION("""COMPUTED_VALUE"""),0.0)</f>
        <v>0</v>
      </c>
      <c r="D47">
        <f>IFERROR(__xludf.DUMMYFUNCTION("""COMPUTED_VALUE"""),1.0)</f>
        <v>1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1" t="s">
        <v>3</v>
      </c>
      <c r="B48">
        <f>IFERROR(__xludf.DUMMYFUNCTION("""COMPUTED_VALUE"""),20.0)</f>
        <v>20</v>
      </c>
      <c r="C48">
        <f>IFERROR(__xludf.DUMMYFUNCTION("""COMPUTED_VALUE"""),60.0)</f>
        <v>60</v>
      </c>
      <c r="D48">
        <f>IFERROR(__xludf.DUMMYFUNCTION("""COMPUTED_VALUE"""),-5.0)</f>
        <v>-5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IFERROR(__xludf.DUMMYFUNCTION("""COMPUTED_VALUE"""),0.0)</f>
        <v>0</v>
      </c>
      <c r="I48">
        <f>IFERROR(__xludf.DUMMYFUNCTION("""COMPUTED_VALUE"""),120.0)</f>
        <v>120</v>
      </c>
      <c r="J48">
        <f>IFERROR(__xludf.DUMMYFUNCTION("""COMPUTED_VALUE"""),30.0)</f>
        <v>30</v>
      </c>
      <c r="K48">
        <f>IFERROR(__xludf.DUMMYFUNCTION("""COMPUTED_VALUE"""),0.0)</f>
        <v>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2" t="str">
        <f>IFERROR(__xludf.DUMMYFUNCTION("IMPORTRANGE(""1_YEY20HiFjspjicPICCMlL_lQXsksdB6d3m5vzHwuOI"",""Round 6!W1"")"),"Question: 21")</f>
        <v>Question: 21</v>
      </c>
      <c r="B49" s="3" t="s">
        <v>13</v>
      </c>
    </row>
    <row r="50">
      <c r="A50" s="2"/>
    </row>
    <row r="51">
      <c r="A51" s="1" t="s">
        <v>15</v>
      </c>
      <c r="B51" t="str">
        <f>IFERROR(__xludf.DUMMYFUNCTION("{IMPORTRANGE(""1SYS5Ef48991ZUgqcGqj51eX2YgqKCzfrEZ_pUY01Lwo"",""Round 6!C1:H3""),IMPORTRANGE(""1SYS5Ef48991ZUgqcGqj51eX2YgqKCzfrEZ_pUY01Lwo"",""Round 6!M1:R3"")}"),"Canyon Crest D (JV)")</f>
        <v>Canyon Crest D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IFERROR(__xludf.DUMMYFUNCTION("""COMPUTED_VALUE"""),"Troy B (JV)")</f>
        <v>Troy B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2" t="str">
        <f>IFERROR(__xludf.DUMMYFUNCTION("CONCAT(""A BP: "",IMPORTRANGE(""1SYS5Ef48991ZUgqcGqj51eX2YgqKCzfrEZ_pUY01Lwo"",""Round 6!I32""))"),"A BP: 210")</f>
        <v>A BP: 210</v>
      </c>
      <c r="B52" t="str">
        <f>IFERROR(__xludf.DUMMYFUNCTION("""COMPUTED_VALUE"""),"Score: 365")</f>
        <v>Score: 365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60")</f>
        <v>Score: 60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2" t="str">
        <f>IFERROR(__xludf.DUMMYFUNCTION("CONCAT(""B BP: "",IMPORTRANGE(""1SYS5Ef48991ZUgqcGqj51eX2YgqKCzfrEZ_pUY01Lwo"",""Round 6!S32""))"),"B BP: 30")</f>
        <v>B BP: 30</v>
      </c>
      <c r="B53" t="str">
        <f>IFERROR(__xludf.DUMMYFUNCTION("""COMPUTED_VALUE"""),"Tompson Hsu (12)")</f>
        <v>Tompson Hsu (12)</v>
      </c>
      <c r="C53" t="str">
        <f>IFERROR(__xludf.DUMMYFUNCTION("""COMPUTED_VALUE"""),"Demitrius Hong (12)")</f>
        <v>Demitrius Hong (12)</v>
      </c>
      <c r="D53" t="str">
        <f>IFERROR(__xludf.DUMMYFUNCTION("""COMPUTED_VALUE"""),"Kyle Lu (12)")</f>
        <v>Kyle Lu (12)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IFERROR(__xludf.DUMMYFUNCTION("""COMPUTED_VALUE"""),"Ryan Salehi (11)")</f>
        <v>Ryan Salehi (11)</v>
      </c>
      <c r="I53" t="str">
        <f>IFERROR(__xludf.DUMMYFUNCTION("""COMPUTED_VALUE"""),"Juan Manalo (11)")</f>
        <v>Juan Manalo (11)</v>
      </c>
      <c r="J53" t="str">
        <f>IFERROR(__xludf.DUMMYFUNCTION("""COMPUTED_VALUE"""),"Luke Waldo (11)")</f>
        <v>Luke Waldo (11)</v>
      </c>
      <c r="K53" t="str">
        <f>IFERROR(__xludf.DUMMYFUNCTION("""COMPUTED_VALUE"""),"Player 4")</f>
        <v>Player 4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1" t="s">
        <v>2</v>
      </c>
      <c r="B54">
        <f>IFERROR(__xludf.DUMMYFUNCTION("{IMPORTRANGE(""1SYS5Ef48991ZUgqcGqj51eX2YgqKCzfrEZ_pUY01Lwo"",""Round 6!C32:H36""),IMPORTRANGE(""1SYS5Ef48991ZUgqcGqj51eX2YgqKCzfrEZ_pUY01Lwo"",""Round 6!M32:R36"")}"),20.0)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1">
        <v>15.0</v>
      </c>
      <c r="B55">
        <f>IFERROR(__xludf.DUMMYFUNCTION("""COMPUTED_VALUE"""),3.0)</f>
        <v>3</v>
      </c>
      <c r="C55">
        <f>IFERROR(__xludf.DUMMYFUNCTION("""COMPUTED_VALUE"""),1.0)</f>
        <v>1</v>
      </c>
      <c r="D55">
        <f>IFERROR(__xludf.DUMMYFUNCTION("""COMPUTED_VALUE"""),1.0)</f>
        <v>1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IFERROR(__xludf.DUMMYFUNCTION("""COMPUTED_VALUE"""),1.0)</f>
        <v>1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1">
        <v>10.0</v>
      </c>
      <c r="B56">
        <f>IFERROR(__xludf.DUMMYFUNCTION("""COMPUTED_VALUE"""),1.0)</f>
        <v>1</v>
      </c>
      <c r="C56">
        <f>IFERROR(__xludf.DUMMYFUNCTION("""COMPUTED_VALUE"""),5.0)</f>
        <v>5</v>
      </c>
      <c r="D56">
        <f>IFERROR(__xludf.DUMMYFUNCTION("""COMPUTED_VALUE"""),2.0)</f>
        <v>2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IFERROR(__xludf.DUMMYFUNCTION("""COMPUTED_VALUE"""),1.0)</f>
        <v>1</v>
      </c>
      <c r="I56">
        <f>IFERROR(__xludf.DUMMYFUNCTION("""COMPUTED_VALUE"""),1.0)</f>
        <v>1</v>
      </c>
      <c r="J56">
        <f>IFERROR(__xludf.DUMMYFUNCTION("""COMPUTED_VALUE"""),1.0)</f>
        <v>1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1">
        <v>-5.0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IFERROR(__xludf.DUMMYFUNCTION("""COMPUTED_VALUE"""),2.0)</f>
        <v>2</v>
      </c>
      <c r="I57">
        <f>IFERROR(__xludf.DUMMYFUNCTION("""COMPUTED_VALUE"""),1.0)</f>
        <v>1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1" t="s">
        <v>3</v>
      </c>
      <c r="B58">
        <f>IFERROR(__xludf.DUMMYFUNCTION("""COMPUTED_VALUE"""),55.0)</f>
        <v>55</v>
      </c>
      <c r="C58">
        <f>IFERROR(__xludf.DUMMYFUNCTION("""COMPUTED_VALUE"""),65.0)</f>
        <v>65</v>
      </c>
      <c r="D58">
        <f>IFERROR(__xludf.DUMMYFUNCTION("""COMPUTED_VALUE"""),35.0)</f>
        <v>35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IFERROR(__xludf.DUMMYFUNCTION("""COMPUTED_VALUE"""),15.0)</f>
        <v>15</v>
      </c>
      <c r="I58">
        <f>IFERROR(__xludf.DUMMYFUNCTION("""COMPUTED_VALUE"""),5.0)</f>
        <v>5</v>
      </c>
      <c r="J58">
        <f>IFERROR(__xludf.DUMMYFUNCTION("""COMPUTED_VALUE"""),10.0)</f>
        <v>10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2" t="str">
        <f>IFERROR(__xludf.DUMMYFUNCTION("IMPORTRANGE(""1SYS5Ef48991ZUgqcGqj51eX2YgqKCzfrEZ_pUY01Lwo"",""Round 6!W1"")"),"Question: 21")</f>
        <v>Question: 21</v>
      </c>
      <c r="B59" s="3" t="s">
        <v>16</v>
      </c>
    </row>
    <row r="60">
      <c r="A60" s="2"/>
    </row>
    <row r="61">
      <c r="A61" s="1" t="s">
        <v>17</v>
      </c>
      <c r="B61" t="str">
        <f>IFERROR(__xludf.DUMMYFUNCTION("{IMPORTRANGE(""1UJlRLlhI2Hg_SAQqQOg0JGdwHhiagF7EVAtCX8UOYFc"",""Round 6!C1:H3""),IMPORTRANGE(""1UJlRLlhI2Hg_SAQqQOg0JGdwHhiagF7EVAtCX8UOYFc"",""Round 6!M1:R3"")}"),"Oak Valley A (JV)")</f>
        <v>Oak Valley A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IFERROR(__xludf.DUMMYFUNCTION("""COMPUTED_VALUE"""),"Valley Center (JV)")</f>
        <v>Valley Center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2" t="str">
        <f>IFERROR(__xludf.DUMMYFUNCTION("CONCAT(""A BP: "",IMPORTRANGE(""1UJlRLlhI2Hg_SAQqQOg0JGdwHhiagF7EVAtCX8UOYFc"",""Round 6!I32""))"),"A BP: 470")</f>
        <v>A BP: 470</v>
      </c>
      <c r="B62" t="str">
        <f>IFERROR(__xludf.DUMMYFUNCTION("""COMPUTED_VALUE"""),"Score: 675")</f>
        <v>Score: 675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5")</f>
        <v>Score: 5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2" t="str">
        <f>IFERROR(__xludf.DUMMYFUNCTION("CONCAT(""B BP: "",IMPORTRANGE(""1UJlRLlhI2Hg_SAQqQOg0JGdwHhiagF7EVAtCX8UOYFc"",""Round 6!S32""))"),"B BP: 10")</f>
        <v>B BP: 10</v>
      </c>
      <c r="B63" t="str">
        <f>IFERROR(__xludf.DUMMYFUNCTION("""COMPUTED_VALUE"""),"Conner Feng (8)")</f>
        <v>Conner Feng (8)</v>
      </c>
      <c r="C63" t="str">
        <f>IFERROR(__xludf.DUMMYFUNCTION("""COMPUTED_VALUE"""),"Raunak Mondal (7)")</f>
        <v>Raunak Mondal (7)</v>
      </c>
      <c r="D63" t="str">
        <f>IFERROR(__xludf.DUMMYFUNCTION("""COMPUTED_VALUE"""),"Jadon Pandian (7)")</f>
        <v>Jadon Pandian (7)</v>
      </c>
      <c r="E63" t="str">
        <f>IFERROR(__xludf.DUMMYFUNCTION("""COMPUTED_VALUE"""),"Jonas Brown (7)")</f>
        <v>Jonas Brown (7)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IFERROR(__xludf.DUMMYFUNCTION("""COMPUTED_VALUE"""),"Ava Downey (12)")</f>
        <v>Ava Downey (12)</v>
      </c>
      <c r="I63" t="str">
        <f>IFERROR(__xludf.DUMMYFUNCTION("""COMPUTED_VALUE"""),"Leon Thigh (11)")</f>
        <v>Leon Thigh (11)</v>
      </c>
      <c r="J63" t="str">
        <f>IFERROR(__xludf.DUMMYFUNCTION("""COMPUTED_VALUE"""),"Aaron Martinez (11)")</f>
        <v>Aaron Martinez (11)</v>
      </c>
      <c r="K63" t="str">
        <f>IFERROR(__xludf.DUMMYFUNCTION("""COMPUTED_VALUE"""),"Mehreen Sing (12)")</f>
        <v>Mehreen Sing (12)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1" t="s">
        <v>2</v>
      </c>
      <c r="B64">
        <f>IFERROR(__xludf.DUMMYFUNCTION("{IMPORTRANGE(""1UJlRLlhI2Hg_SAQqQOg0JGdwHhiagF7EVAtCX8UOYFc"",""Round 6!C32:H36""),IMPORTRANGE(""1UJlRLlhI2Hg_SAQqQOg0JGdwHhiagF7EVAtCX8UOYFc"",""Round 6!M32:R36"")}"),20.0)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1">
        <v>15.0</v>
      </c>
      <c r="B65">
        <f>IFERROR(__xludf.DUMMYFUNCTION("""COMPUTED_VALUE"""),3.0)</f>
        <v>3</v>
      </c>
      <c r="C65">
        <f>IFERROR(__xludf.DUMMYFUNCTION("""COMPUTED_VALUE"""),2.0)</f>
        <v>2</v>
      </c>
      <c r="D65">
        <f>IFERROR(__xludf.DUMMYFUNCTION("""COMPUTED_VALUE"""),0.0)</f>
        <v>0</v>
      </c>
      <c r="E65">
        <f>IFERROR(__xludf.DUMMYFUNCTION("""COMPUTED_VALUE"""),1.0)</f>
        <v>1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IFERROR(__xludf.DUMMYFUNCTION("""COMPUTED_VALUE"""),0.0)</f>
        <v>0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1">
        <v>10.0</v>
      </c>
      <c r="B66">
        <f>IFERROR(__xludf.DUMMYFUNCTION("""COMPUTED_VALUE"""),2.0)</f>
        <v>2</v>
      </c>
      <c r="C66">
        <f>IFERROR(__xludf.DUMMYFUNCTION("""COMPUTED_VALUE"""),6.0)</f>
        <v>6</v>
      </c>
      <c r="D66">
        <f>IFERROR(__xludf.DUMMYFUNCTION("""COMPUTED_VALUE"""),1.0)</f>
        <v>1</v>
      </c>
      <c r="E66">
        <f>IFERROR(__xludf.DUMMYFUNCTION("""COMPUTED_VALUE"""),3.0)</f>
        <v>3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IFERROR(__xludf.DUMMYFUNCTION("""COMPUTED_VALUE"""),0.0)</f>
        <v>0</v>
      </c>
      <c r="I66">
        <f>IFERROR(__xludf.DUMMYFUNCTION("""COMPUTED_VALUE"""),1.0)</f>
        <v>1</v>
      </c>
      <c r="J66">
        <f>IFERROR(__xludf.DUMMYFUNCTION("""COMPUTED_VALUE"""),0.0)</f>
        <v>0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1">
        <v>-5.0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IFERROR(__xludf.DUMMYFUNCTION("""COMPUTED_VALUE"""),1.0)</f>
        <v>1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IFERROR(__xludf.DUMMYFUNCTION("""COMPUTED_VALUE"""),2.0)</f>
        <v>2</v>
      </c>
      <c r="I67">
        <f>IFERROR(__xludf.DUMMYFUNCTION("""COMPUTED_VALUE"""),0.0)</f>
        <v>0</v>
      </c>
      <c r="J67">
        <f>IFERROR(__xludf.DUMMYFUNCTION("""COMPUTED_VALUE"""),1.0)</f>
        <v>1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1" t="s">
        <v>3</v>
      </c>
      <c r="B68">
        <f>IFERROR(__xludf.DUMMYFUNCTION("""COMPUTED_VALUE"""),65.0)</f>
        <v>65</v>
      </c>
      <c r="C68">
        <f>IFERROR(__xludf.DUMMYFUNCTION("""COMPUTED_VALUE"""),90.0)</f>
        <v>90</v>
      </c>
      <c r="D68">
        <f>IFERROR(__xludf.DUMMYFUNCTION("""COMPUTED_VALUE"""),10.0)</f>
        <v>10</v>
      </c>
      <c r="E68">
        <f>IFERROR(__xludf.DUMMYFUNCTION("""COMPUTED_VALUE"""),40.0)</f>
        <v>40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IFERROR(__xludf.DUMMYFUNCTION("""COMPUTED_VALUE"""),-10.0)</f>
        <v>-10</v>
      </c>
      <c r="I68">
        <f>IFERROR(__xludf.DUMMYFUNCTION("""COMPUTED_VALUE"""),10.0)</f>
        <v>10</v>
      </c>
      <c r="J68">
        <f>IFERROR(__xludf.DUMMYFUNCTION("""COMPUTED_VALUE"""),-5.0)</f>
        <v>-5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2" t="str">
        <f>IFERROR(__xludf.DUMMYFUNCTION("IMPORTRANGE(""1UJlRLlhI2Hg_SAQqQOg0JGdwHhiagF7EVAtCX8UOYFc"",""Round 6!W1"")"),"Question: 21")</f>
        <v>Question: 21</v>
      </c>
      <c r="B69" s="3" t="s">
        <v>19</v>
      </c>
    </row>
    <row r="70">
      <c r="A70" s="2"/>
    </row>
    <row r="71">
      <c r="A71" s="1" t="s">
        <v>20</v>
      </c>
      <c r="B71" t="str">
        <f>IFERROR(__xludf.DUMMYFUNCTION("{IMPORTRANGE(""1jA96n0qbauznSt6-hkr51AslpxJqfrWgkafVtMV8_xU"",""Round 6!C1:H3""),IMPORTRANGE(""1jA96n0qbauznSt6-hkr51AslpxJqfrWgkafVtMV8_xU"",""Round 6!M1:R3"")}"),"La Serna B (JV)")</f>
        <v>La Serna B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IFERROR(__xludf.DUMMYFUNCTION("""COMPUTED_VALUE"""),"Black Mountain A (JV)")</f>
        <v>Black Mountain A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2" t="str">
        <f>IFERROR(__xludf.DUMMYFUNCTION("CONCAT(""A BP: "",IMPORTRANGE(""1jA96n0qbauznSt6-hkr51AslpxJqfrWgkafVtMV8_xU"",""Round 6!I32""))"),"A BP: 30")</f>
        <v>A BP: 30</v>
      </c>
      <c r="B72" t="str">
        <f>IFERROR(__xludf.DUMMYFUNCTION("""COMPUTED_VALUE"""),"Score: 70")</f>
        <v>Score: 70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340")</f>
        <v>Score: 340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2" t="str">
        <f>IFERROR(__xludf.DUMMYFUNCTION("CONCAT(""B BP: "",IMPORTRANGE(""1jA96n0qbauznSt6-hkr51AslpxJqfrWgkafVtMV8_xU"",""Round 6!S32""))"),"B BP: 200")</f>
        <v>B BP: 200</v>
      </c>
      <c r="B73" t="str">
        <f>IFERROR(__xludf.DUMMYFUNCTION("""COMPUTED_VALUE"""),"Colin Twisselmann (10)")</f>
        <v>Colin Twisselmann (10)</v>
      </c>
      <c r="C73" t="str">
        <f>IFERROR(__xludf.DUMMYFUNCTION("""COMPUTED_VALUE"""),"Liz Carrasco (12)")</f>
        <v>Liz Carrasco (12)</v>
      </c>
      <c r="D73" t="str">
        <f>IFERROR(__xludf.DUMMYFUNCTION("""COMPUTED_VALUE"""),"Jerred Casillas (12)")</f>
        <v>Jerred Casillas (12)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IFERROR(__xludf.DUMMYFUNCTION("""COMPUTED_VALUE"""),"Adarsh Venkateswaran (8)")</f>
        <v>Adarsh Venkateswaran (8)</v>
      </c>
      <c r="I73" t="str">
        <f>IFERROR(__xludf.DUMMYFUNCTION("""COMPUTED_VALUE"""),"Anvit Watwani (7)")</f>
        <v>Anvit Watwani (7)</v>
      </c>
      <c r="J73" t="str">
        <f>IFERROR(__xludf.DUMMYFUNCTION("""COMPUTED_VALUE"""),"Tanvi Bhide (7)")</f>
        <v>Tanvi Bhide (7)</v>
      </c>
      <c r="K73" t="str">
        <f>IFERROR(__xludf.DUMMYFUNCTION("""COMPUTED_VALUE"""),"Edwin Chang (8)")</f>
        <v>Edwin Chang (8)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1" t="s">
        <v>2</v>
      </c>
      <c r="B74">
        <f>IFERROR(__xludf.DUMMYFUNCTION("{IMPORTRANGE(""1jA96n0qbauznSt6-hkr51AslpxJqfrWgkafVtMV8_xU"",""Round 6!C32:H36""),IMPORTRANGE(""1jA96n0qbauznSt6-hkr51AslpxJqfrWgkafVtMV8_xU"",""Round 6!M32:R36"")}"),20.0)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1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IFERROR(__xludf.DUMMYFUNCTION("""COMPUTED_VALUE"""),2.0)</f>
        <v>2</v>
      </c>
      <c r="I75">
        <f>IFERROR(__xludf.DUMMYFUNCTION("""COMPUTED_VALUE"""),1.0)</f>
        <v>1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1">
        <v>10.0</v>
      </c>
      <c r="B76">
        <f>IFERROR(__xludf.DUMMYFUNCTION("""COMPUTED_VALUE"""),2.0)</f>
        <v>2</v>
      </c>
      <c r="C76">
        <f>IFERROR(__xludf.DUMMYFUNCTION("""COMPUTED_VALUE"""),1.0)</f>
        <v>1</v>
      </c>
      <c r="D76">
        <f>IFERROR(__xludf.DUMMYFUNCTION("""COMPUTED_VALUE"""),1.0)</f>
        <v>1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IFERROR(__xludf.DUMMYFUNCTION("""COMPUTED_VALUE"""),5.0)</f>
        <v>5</v>
      </c>
      <c r="I76">
        <f>IFERROR(__xludf.DUMMYFUNCTION("""COMPUTED_VALUE"""),2.0)</f>
        <v>2</v>
      </c>
      <c r="J76">
        <f>IFERROR(__xludf.DUMMYFUNCTION("""COMPUTED_VALUE"""),2.0)</f>
        <v>2</v>
      </c>
      <c r="K76">
        <f>IFERROR(__xludf.DUMMYFUNCTION("""COMPUTED_VALUE"""),1.0)</f>
        <v>1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1">
        <v>-5.0</v>
      </c>
      <c r="B77">
        <f>IFERROR(__xludf.DUMMYFUNCTION("""COMPUTED_VALUE"""),0.0)</f>
        <v>0</v>
      </c>
      <c r="C77">
        <f>IFERROR(__xludf.DUMMYFUNCTION("""COMPUTED_VALUE"""),0.0)</f>
        <v>0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IFERROR(__xludf.DUMMYFUNCTION("""COMPUTED_VALUE"""),1.0)</f>
        <v>1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1" t="s">
        <v>3</v>
      </c>
      <c r="B78">
        <f>IFERROR(__xludf.DUMMYFUNCTION("""COMPUTED_VALUE"""),20.0)</f>
        <v>20</v>
      </c>
      <c r="C78">
        <f>IFERROR(__xludf.DUMMYFUNCTION("""COMPUTED_VALUE"""),10.0)</f>
        <v>10</v>
      </c>
      <c r="D78">
        <f>IFERROR(__xludf.DUMMYFUNCTION("""COMPUTED_VALUE"""),10.0)</f>
        <v>10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IFERROR(__xludf.DUMMYFUNCTION("""COMPUTED_VALUE"""),75.0)</f>
        <v>75</v>
      </c>
      <c r="I78">
        <f>IFERROR(__xludf.DUMMYFUNCTION("""COMPUTED_VALUE"""),35.0)</f>
        <v>35</v>
      </c>
      <c r="J78">
        <f>IFERROR(__xludf.DUMMYFUNCTION("""COMPUTED_VALUE"""),20.0)</f>
        <v>20</v>
      </c>
      <c r="K78">
        <f>IFERROR(__xludf.DUMMYFUNCTION("""COMPUTED_VALUE"""),10.0)</f>
        <v>10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2" t="str">
        <f>IFERROR(__xludf.DUMMYFUNCTION("IMPORTRANGE(""1jA96n0qbauznSt6-hkr51AslpxJqfrWgkafVtMV8_xU"",""Round 6!W1"")"),"Question: 22")</f>
        <v>Question: 22</v>
      </c>
      <c r="B79" s="3" t="s">
        <v>22</v>
      </c>
    </row>
    <row r="80">
      <c r="A80" s="2"/>
    </row>
    <row r="81">
      <c r="A81" s="1" t="s">
        <v>23</v>
      </c>
      <c r="B81" t="str">
        <f>IFERROR(__xludf.DUMMYFUNCTION("{IMPORTRANGE(""1xw1EOjVhrK1PNJfOYiUsuJNrlpV53SmfJxYsFFolQ3s"",""Round 6!C1:H3""),IMPORTRANGE(""1xw1EOjVhrK1PNJfOYiUsuJNrlpV53SmfJxYsFFolQ3s"",""Round 6!M1:R3"")}"),"Scripps Ranch B (JV)")</f>
        <v>Scripps Ranch B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IFERROR(__xludf.DUMMYFUNCTION("""COMPUTED_VALUE"""),"Del Norte (JV)")</f>
        <v>Del Norte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2" t="str">
        <f>IFERROR(__xludf.DUMMYFUNCTION("CONCAT(""A BP: "",IMPORTRANGE(""1xw1EOjVhrK1PNJfOYiUsuJNrlpV53SmfJxYsFFolQ3s"",""Round 6!I32""))"),"A BP: 140")</f>
        <v>A BP: 140</v>
      </c>
      <c r="B82" t="str">
        <f>IFERROR(__xludf.DUMMYFUNCTION("""COMPUTED_VALUE"""),"Score: 245")</f>
        <v>Score: 245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255")</f>
        <v>Score: 255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2" t="str">
        <f>IFERROR(__xludf.DUMMYFUNCTION("CONCAT(""B BP: "",IMPORTRANGE(""1xw1EOjVhrK1PNJfOYiUsuJNrlpV53SmfJxYsFFolQ3s"",""Round 6!S32""))"),"B BP: 135")</f>
        <v>B BP: 135</v>
      </c>
      <c r="B83" t="str">
        <f>IFERROR(__xludf.DUMMYFUNCTION("""COMPUTED_VALUE"""),"Sam Wu (9)")</f>
        <v>Sam Wu (9)</v>
      </c>
      <c r="C83" t="str">
        <f>IFERROR(__xludf.DUMMYFUNCTION("""COMPUTED_VALUE"""),"Lawrence Lo (9)")</f>
        <v>Lawrence Lo (9)</v>
      </c>
      <c r="D83" t="str">
        <f>IFERROR(__xludf.DUMMYFUNCTION("""COMPUTED_VALUE"""),"Tristan Thai (9)")</f>
        <v>Tristan Thai (9)</v>
      </c>
      <c r="E83" t="str">
        <f>IFERROR(__xludf.DUMMYFUNCTION("""COMPUTED_VALUE"""),"Shabdika Gubba (9)")</f>
        <v>Shabdika Gubba (9)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IFERROR(__xludf.DUMMYFUNCTION("""COMPUTED_VALUE"""),"Kyle Nagasawa (11)")</f>
        <v>Kyle Nagasawa (11)</v>
      </c>
      <c r="I83" t="str">
        <f>IFERROR(__xludf.DUMMYFUNCTION("""COMPUTED_VALUE"""),"Kinish Sathish (9)")</f>
        <v>Kinish Sathish (9)</v>
      </c>
      <c r="J83" t="str">
        <f>IFERROR(__xludf.DUMMYFUNCTION("""COMPUTED_VALUE"""),"Player 3")</f>
        <v>Player 3</v>
      </c>
      <c r="K83" t="str">
        <f>IFERROR(__xludf.DUMMYFUNCTION("""COMPUTED_VALUE"""),"Player 4")</f>
        <v>Player 4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1" t="s">
        <v>2</v>
      </c>
      <c r="B84">
        <f>IFERROR(__xludf.DUMMYFUNCTION("{IMPORTRANGE(""1xw1EOjVhrK1PNJfOYiUsuJNrlpV53SmfJxYsFFolQ3s"",""Round 6!C32:H36""),IMPORTRANGE(""1xw1EOjVhrK1PNJfOYiUsuJNrlpV53SmfJxYsFFolQ3s"",""Round 6!M32:R36"")}"),20.0)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1">
        <v>15.0</v>
      </c>
      <c r="B85">
        <f>IFERROR(__xludf.DUMMYFUNCTION("""COMPUTED_VALUE"""),2.0)</f>
        <v>2</v>
      </c>
      <c r="C85">
        <f>IFERROR(__xludf.DUMMYFUNCTION("""COMPUTED_VALUE"""),1.0)</f>
        <v>1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IFERROR(__xludf.DUMMYFUNCTION("""COMPUTED_VALUE"""),2.0)</f>
        <v>2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1">
        <v>10.0</v>
      </c>
      <c r="B86">
        <f>IFERROR(__xludf.DUMMYFUNCTION("""COMPUTED_VALUE"""),3.0)</f>
        <v>3</v>
      </c>
      <c r="C86">
        <f>IFERROR(__xludf.DUMMYFUNCTION("""COMPUTED_VALUE"""),3.0)</f>
        <v>3</v>
      </c>
      <c r="D86">
        <f>IFERROR(__xludf.DUMMYFUNCTION("""COMPUTED_VALUE"""),0.0)</f>
        <v>0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IFERROR(__xludf.DUMMYFUNCTION("""COMPUTED_VALUE"""),3.0)</f>
        <v>3</v>
      </c>
      <c r="I86">
        <f>IFERROR(__xludf.DUMMYFUNCTION("""COMPUTED_VALUE"""),6.0)</f>
        <v>6</v>
      </c>
      <c r="J86">
        <f>IFERROR(__xludf.DUMMYFUNCTION("""COMPUTED_VALUE"""),0.0)</f>
        <v>0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1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IFERROR(__xludf.DUMMYFUNCTION("""COMPUTED_VALUE"""),0.0)</f>
        <v>0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1" t="s">
        <v>3</v>
      </c>
      <c r="B88">
        <f>IFERROR(__xludf.DUMMYFUNCTION("""COMPUTED_VALUE"""),60.0)</f>
        <v>60</v>
      </c>
      <c r="C88">
        <f>IFERROR(__xludf.DUMMYFUNCTION("""COMPUTED_VALUE"""),45.0)</f>
        <v>45</v>
      </c>
      <c r="D88">
        <f>IFERROR(__xludf.DUMMYFUNCTION("""COMPUTED_VALUE"""),0.0)</f>
        <v>0</v>
      </c>
      <c r="E88">
        <f>IFERROR(__xludf.DUMMYFUNCTION("""COMPUTED_VALUE"""),0.0)</f>
        <v>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IFERROR(__xludf.DUMMYFUNCTION("""COMPUTED_VALUE"""),30.0)</f>
        <v>30</v>
      </c>
      <c r="I88">
        <f>IFERROR(__xludf.DUMMYFUNCTION("""COMPUTED_VALUE"""),90.0)</f>
        <v>90</v>
      </c>
      <c r="J88">
        <f>IFERROR(__xludf.DUMMYFUNCTION("""COMPUTED_VALUE"""),0.0)</f>
        <v>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2" t="str">
        <f>IFERROR(__xludf.DUMMYFUNCTION("IMPORTRANGE(""1xw1EOjVhrK1PNJfOYiUsuJNrlpV53SmfJxYsFFolQ3s"",""Round 6!W1"")"),"Question: 22")</f>
        <v>Question: 22</v>
      </c>
      <c r="B89" s="3" t="s">
        <v>25</v>
      </c>
    </row>
    <row r="90">
      <c r="A90" s="2"/>
    </row>
    <row r="91">
      <c r="A91" s="1" t="s">
        <v>26</v>
      </c>
      <c r="B91" t="str">
        <f>IFERROR(__xludf.DUMMYFUNCTION("{IMPORTRANGE(""15wOrdFuJAb1a4MoX5CG4apiBD2jUJ7mBu58Uk-8Mo7s"",""Round 6!C1:H3""),IMPORTRANGE(""15wOrdFuJAb1a4MoX5CG4apiBD2jUJ7mBu58Uk-8Mo7s"",""Round 6!M1:R3"")}"),"Team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2" t="str">
        <f>IFERROR(__xludf.DUMMYFUNCTION("CONCAT(""A BP: "",IMPORTRANGE(""15wOrdFuJAb1a4MoX5CG4apiBD2jUJ7mBu58Uk-8Mo7s"",""Round 6!I32""))"),"A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2" t="str">
        <f>IFERROR(__xludf.DUMMYFUNCTION("CONCAT(""B BP: "",IMPORTRANGE(""15wOrdFuJAb1a4MoX5CG4apiBD2jUJ7mBu58Uk-8Mo7s"",""Round 6!S32""))"),"B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1" t="s">
        <v>2</v>
      </c>
      <c r="B94">
        <f>IFERROR(__xludf.DUMMYFUNCTION("{IMPORTRANGE(""15wOrdFuJAb1a4MoX5CG4apiBD2jUJ7mBu58Uk-8Mo7s"",""Round 6!C32:H36""),IMPORTRANGE(""15wOrdFuJAb1a4MoX5CG4apiBD2jUJ7mBu58Uk-8Mo7s"",""Round 6!M32:R36"")}"),20.0)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1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1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1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1" t="s">
        <v>3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2" t="str">
        <f>IFERROR(__xludf.DUMMYFUNCTION("IMPORTRANGE(""15wOrdFuJAb1a4MoX5CG4apiBD2jUJ7mBu58Uk-8Mo7s"",""Round 6!W1"")"),"Question: 1")</f>
        <v>Question: 1</v>
      </c>
      <c r="B99" s="3" t="s">
        <v>27</v>
      </c>
    </row>
    <row r="100">
      <c r="A100" s="2"/>
    </row>
    <row r="101">
      <c r="A101" s="1" t="s">
        <v>28</v>
      </c>
      <c r="B101" t="str">
        <f>IFERROR(__xludf.DUMMYFUNCTION("{IMPORTRANGE(""1GfJqS1rsy-VutTmPVnm9E2VdinIG-GnQO5b3bhaiX1s"",""Round 6!C1:H3""),IMPORTRANGE(""1GfJqS1rsy-VutTmPVnm9E2VdinIG-GnQO5b3bhaiX1s"",""Round 6!M1:R3"")}"),"Team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2" t="str">
        <f>IFERROR(__xludf.DUMMYFUNCTION("CONCAT(""A BP: "",IMPORTRANGE(""1GfJqS1rsy-VutTmPVnm9E2VdinIG-GnQO5b3bhaiX1s"",""Round 6!I32""))"),"A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2" t="str">
        <f>IFERROR(__xludf.DUMMYFUNCTION("CONCAT(""B BP: "",IMPORTRANGE(""1GfJqS1rsy-VutTmPVnm9E2VdinIG-GnQO5b3bhaiX1s"",""Round 6!S32""))"),"B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1" t="s">
        <v>2</v>
      </c>
      <c r="B104">
        <f>IFERROR(__xludf.DUMMYFUNCTION("{IMPORTRANGE(""1GfJqS1rsy-VutTmPVnm9E2VdinIG-GnQO5b3bhaiX1s"",""Round 6!C32:H36""),IMPORTRANGE(""1GfJqS1rsy-VutTmPVnm9E2VdinIG-GnQO5b3bhaiX1s"",""Round 6!M32:R36"")}"),20.0)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1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1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1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1" t="s">
        <v>3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2" t="str">
        <f>IFERROR(__xludf.DUMMYFUNCTION("IMPORTRANGE(""1GfJqS1rsy-VutTmPVnm9E2VdinIG-GnQO5b3bhaiX1s"",""Round 6!W1"")"),"Question: 1")</f>
        <v>Question: 1</v>
      </c>
      <c r="B109" s="3" t="s">
        <v>29</v>
      </c>
    </row>
    <row r="110">
      <c r="A110" s="2"/>
    </row>
    <row r="111">
      <c r="A111" s="1" t="s">
        <v>45</v>
      </c>
      <c r="B111" t="str">
        <f>IFERROR(__xludf.DUMMYFUNCTION("{IMPORTRANGE(""17CLUEFflDBSa8dyH5vsXfHme4RV8IhzD-mxe9_c9I5k"",""Round 6!C1:H3""),IMPORTRANGE(""17CLUEFflDBSa8dyH5vsXfHme4RV8IhzD-mxe9_c9I5k"",""Round 6!M1:R3"")}"),"Canyon Crest A (V)")</f>
        <v>Canyon Crest A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IFERROR(__xludf.DUMMYFUNCTION("""COMPUTED_VALUE"""),"Westview A (V)")</f>
        <v>Westview A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2" t="str">
        <f>IFERROR(__xludf.DUMMYFUNCTION("CONCAT(""A BP: "",IMPORTRANGE(""17CLUEFflDBSa8dyH5vsXfHme4RV8IhzD-mxe9_c9I5k"",""Round 6!I32""))"),"A BP: 180")</f>
        <v>A BP: 180</v>
      </c>
      <c r="B112" t="str">
        <f>IFERROR(__xludf.DUMMYFUNCTION("""COMPUTED_VALUE"""),"Score: 320")</f>
        <v>Score: 320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315")</f>
        <v>Score: 315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2" t="str">
        <f>IFERROR(__xludf.DUMMYFUNCTION("CONCAT(""B BP: "",IMPORTRANGE(""17CLUEFflDBSa8dyH5vsXfHme4RV8IhzD-mxe9_c9I5k"",""Round 6!S32""))"),"B BP: 210")</f>
        <v>B BP: 210</v>
      </c>
      <c r="B113" t="str">
        <f>IFERROR(__xludf.DUMMYFUNCTION("""COMPUTED_VALUE"""),"Wesley Zhang (12)")</f>
        <v>Wesley Zhang (12)</v>
      </c>
      <c r="C113" t="str">
        <f>IFERROR(__xludf.DUMMYFUNCTION("""COMPUTED_VALUE"""),"Leo Gu (10)")</f>
        <v>Leo Gu (10)</v>
      </c>
      <c r="D113" t="str">
        <f>IFERROR(__xludf.DUMMYFUNCTION("""COMPUTED_VALUE"""),"")</f>
        <v/>
      </c>
      <c r="E113" t="str">
        <f>IFERROR(__xludf.DUMMYFUNCTION("""COMPUTED_VALUE"""),"")</f>
        <v/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IFERROR(__xludf.DUMMYFUNCTION("""COMPUTED_VALUE"""),"Shahar Schwartz (12)")</f>
        <v>Shahar Schwartz (12)</v>
      </c>
      <c r="I113" t="str">
        <f>IFERROR(__xludf.DUMMYFUNCTION("""COMPUTED_VALUE"""),"Junu Song (12)")</f>
        <v>Junu Song (12)</v>
      </c>
      <c r="J113" t="str">
        <f>IFERROR(__xludf.DUMMYFUNCTION("""COMPUTED_VALUE"""),"Daniel Jung (12)")</f>
        <v>Daniel Jung (12)</v>
      </c>
      <c r="K113" t="str">
        <f>IFERROR(__xludf.DUMMYFUNCTION("""COMPUTED_VALUE"""),"Gary Lin (11)")</f>
        <v>Gary Lin (11)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1" t="s">
        <v>2</v>
      </c>
      <c r="B114">
        <f>IFERROR(__xludf.DUMMYFUNCTION("{IMPORTRANGE(""17CLUEFflDBSa8dyH5vsXfHme4RV8IhzD-mxe9_c9I5k"",""Round 6!C32:H36""),IMPORTRANGE(""17CLUEFflDBSa8dyH5vsXfHme4RV8IhzD-mxe9_c9I5k"",""Round 6!M32:R36"")}"),20.0)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1">
        <v>15.0</v>
      </c>
      <c r="B115">
        <f>IFERROR(__xludf.DUMMYFUNCTION("""COMPUTED_VALUE"""),6.0)</f>
        <v>6</v>
      </c>
      <c r="C115">
        <f>IFERROR(__xludf.DUMMYFUNCTION("""COMPUTED_VALUE"""),0.0)</f>
        <v>0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IFERROR(__xludf.DUMMYFUNCTION("""COMPUTED_VALUE"""),4.0)</f>
        <v>4</v>
      </c>
      <c r="I115">
        <f>IFERROR(__xludf.DUMMYFUNCTION("""COMPUTED_VALUE"""),0.0)</f>
        <v>0</v>
      </c>
      <c r="J115">
        <f>IFERROR(__xludf.DUMMYFUNCTION("""COMPUTED_VALUE"""),2.0)</f>
        <v>2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1">
        <v>10.0</v>
      </c>
      <c r="B116">
        <f>IFERROR(__xludf.DUMMYFUNCTION("""COMPUTED_VALUE"""),4.0)</f>
        <v>4</v>
      </c>
      <c r="C116">
        <f>IFERROR(__xludf.DUMMYFUNCTION("""COMPUTED_VALUE"""),1.0)</f>
        <v>1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IFERROR(__xludf.DUMMYFUNCTION("""COMPUTED_VALUE"""),2.0)</f>
        <v>2</v>
      </c>
      <c r="I116">
        <f>IFERROR(__xludf.DUMMYFUNCTION("""COMPUTED_VALUE"""),1.0)</f>
        <v>1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1">
        <v>-5.0</v>
      </c>
      <c r="B117">
        <f>IFERROR(__xludf.DUMMYFUNCTION("""COMPUTED_VALUE"""),0.0)</f>
        <v>0</v>
      </c>
      <c r="C117">
        <f>IFERROR(__xludf.DUMMYFUNCTION("""COMPUTED_VALUE"""),0.0)</f>
        <v>0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IFERROR(__xludf.DUMMYFUNCTION("""COMPUTED_VALUE"""),2.0)</f>
        <v>2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IFERROR(__xludf.DUMMYFUNCTION("""COMPUTED_VALUE"""),1.0)</f>
        <v>1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1" t="s">
        <v>3</v>
      </c>
      <c r="B118">
        <f>IFERROR(__xludf.DUMMYFUNCTION("""COMPUTED_VALUE"""),130.0)</f>
        <v>130</v>
      </c>
      <c r="C118">
        <f>IFERROR(__xludf.DUMMYFUNCTION("""COMPUTED_VALUE"""),10.0)</f>
        <v>10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IFERROR(__xludf.DUMMYFUNCTION("""COMPUTED_VALUE"""),70.0)</f>
        <v>70</v>
      </c>
      <c r="I118">
        <f>IFERROR(__xludf.DUMMYFUNCTION("""COMPUTED_VALUE"""),10.0)</f>
        <v>10</v>
      </c>
      <c r="J118">
        <f>IFERROR(__xludf.DUMMYFUNCTION("""COMPUTED_VALUE"""),30.0)</f>
        <v>30</v>
      </c>
      <c r="K118">
        <f>IFERROR(__xludf.DUMMYFUNCTION("""COMPUTED_VALUE"""),-5.0)</f>
        <v>-5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2" t="str">
        <f>IFERROR(__xludf.DUMMYFUNCTION("IMPORTRANGE(""17CLUEFflDBSa8dyH5vsXfHme4RV8IhzD-mxe9_c9I5k"",""Round 6!W1"")"),"Question: 21")</f>
        <v>Question: 21</v>
      </c>
      <c r="B119" s="3" t="s">
        <v>31</v>
      </c>
    </row>
    <row r="120">
      <c r="A120" s="2"/>
    </row>
    <row r="121">
      <c r="A121" s="1" t="s">
        <v>46</v>
      </c>
      <c r="B121" t="str">
        <f>IFERROR(__xludf.DUMMYFUNCTION("{IMPORTRANGE(""1Knt8XDGFY_MP2OzeadT1pDENTLOdk9Ab_Rd9IdW0kzc"",""Round 6!C1:H3""),IMPORTRANGE(""1Knt8XDGFY_MP2OzeadT1pDENTLOdk9Ab_Rd9IdW0kzc"",""Round 6!M1:R3"")}"),"Scripps Ranch A (V)")</f>
        <v>Scripps Ranch A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IFERROR(__xludf.DUMMYFUNCTION("""COMPUTED_VALUE"""),"La Jolla (V)")</f>
        <v>La Jolla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2" t="str">
        <f>IFERROR(__xludf.DUMMYFUNCTION("CONCAT(""A BP: "",IMPORTRANGE(""1Knt8XDGFY_MP2OzeadT1pDENTLOdk9Ab_Rd9IdW0kzc"",""Round 6!I32""))"),"A BP: 180")</f>
        <v>A BP: 180</v>
      </c>
      <c r="B122" t="str">
        <f>IFERROR(__xludf.DUMMYFUNCTION("""COMPUTED_VALUE"""),"Score: 335")</f>
        <v>Score: 335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20")</f>
        <v>Score: 20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2" t="str">
        <f>IFERROR(__xludf.DUMMYFUNCTION("CONCAT(""B BP: "",IMPORTRANGE(""1Knt8XDGFY_MP2OzeadT1pDENTLOdk9Ab_Rd9IdW0kzc"",""Round 6!S32""))"),"B BP: 20")</f>
        <v>B BP: 20</v>
      </c>
      <c r="B123" t="str">
        <f>IFERROR(__xludf.DUMMYFUNCTION("""COMPUTED_VALUE"""),"Jack Hoover (12)")</f>
        <v>Jack Hoover (12)</v>
      </c>
      <c r="C123" t="str">
        <f>IFERROR(__xludf.DUMMYFUNCTION("""COMPUTED_VALUE"""),"Jeremy Ngo (12)")</f>
        <v>Jeremy Ngo (12)</v>
      </c>
      <c r="D123" t="str">
        <f>IFERROR(__xludf.DUMMYFUNCTION("""COMPUTED_VALUE"""),"Albert Gu (12)")</f>
        <v>Albert Gu (12)</v>
      </c>
      <c r="E123" t="str">
        <f>IFERROR(__xludf.DUMMYFUNCTION("""COMPUTED_VALUE"""),"Player 4")</f>
        <v>Player 4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IFERROR(__xludf.DUMMYFUNCTION("""COMPUTED_VALUE"""),"Caleb Cruz (11)")</f>
        <v>Caleb Cruz (11)</v>
      </c>
      <c r="I123" t="str">
        <f>IFERROR(__xludf.DUMMYFUNCTION("""COMPUTED_VALUE"""),"Kevin Park (11)")</f>
        <v>Kevin Park (11)</v>
      </c>
      <c r="J123" t="str">
        <f>IFERROR(__xludf.DUMMYFUNCTION("""COMPUTED_VALUE"""),"Richard Chao (11)")</f>
        <v>Richard Chao (11)</v>
      </c>
      <c r="K123" t="str">
        <f>IFERROR(__xludf.DUMMYFUNCTION("""COMPUTED_VALUE"""),"David Smith (11)")</f>
        <v>David Smith (11)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1" t="s">
        <v>2</v>
      </c>
      <c r="B124">
        <f>IFERROR(__xludf.DUMMYFUNCTION("{IMPORTRANGE(""1Knt8XDGFY_MP2OzeadT1pDENTLOdk9Ab_Rd9IdW0kzc"",""Round 6!C32:H36""),IMPORTRANGE(""1Knt8XDGFY_MP2OzeadT1pDENTLOdk9Ab_Rd9IdW0kzc"",""Round 6!M32:R36"")}"),20.0)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1">
        <v>15.0</v>
      </c>
      <c r="B125">
        <f>IFERROR(__xludf.DUMMYFUNCTION("""COMPUTED_VALUE"""),0.0)</f>
        <v>0</v>
      </c>
      <c r="C125">
        <f>IFERROR(__xludf.DUMMYFUNCTION("""COMPUTED_VALUE"""),1.0)</f>
        <v>1</v>
      </c>
      <c r="D125">
        <f>IFERROR(__xludf.DUMMYFUNCTION("""COMPUTED_VALUE"""),2.0)</f>
        <v>2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IFERROR(__xludf.DUMMYFUNCTION("""COMPUTED_VALUE"""),1.0)</f>
        <v>1</v>
      </c>
      <c r="I125">
        <f>IFERROR(__xludf.DUMMYFUNCTION("""COMPUTED_VALUE"""),0.0)</f>
        <v>0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1">
        <v>10.0</v>
      </c>
      <c r="B126">
        <f>IFERROR(__xludf.DUMMYFUNCTION("""COMPUTED_VALUE"""),2.0)</f>
        <v>2</v>
      </c>
      <c r="C126">
        <f>IFERROR(__xludf.DUMMYFUNCTION("""COMPUTED_VALUE"""),4.0)</f>
        <v>4</v>
      </c>
      <c r="D126">
        <f>IFERROR(__xludf.DUMMYFUNCTION("""COMPUTED_VALUE"""),5.0)</f>
        <v>5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IFERROR(__xludf.DUMMYFUNCTION("""COMPUTED_VALUE"""),0.0)</f>
        <v>0</v>
      </c>
      <c r="I126">
        <f>IFERROR(__xludf.DUMMYFUNCTION("""COMPUTED_VALUE"""),0.0)</f>
        <v>0</v>
      </c>
      <c r="J126">
        <f>IFERROR(__xludf.DUMMYFUNCTION("""COMPUTED_VALUE"""),0.0)</f>
        <v>0</v>
      </c>
      <c r="K126">
        <f>IFERROR(__xludf.DUMMYFUNCTION("""COMPUTED_VALUE"""),1.0)</f>
        <v>1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1">
        <v>-5.0</v>
      </c>
      <c r="B127">
        <f>IFERROR(__xludf.DUMMYFUNCTION("""COMPUTED_VALUE"""),0.0)</f>
        <v>0</v>
      </c>
      <c r="C127">
        <f>IFERROR(__xludf.DUMMYFUNCTION("""COMPUTED_VALUE"""),0.0)</f>
        <v>0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IFERROR(__xludf.DUMMYFUNCTION("""COMPUTED_VALUE"""),0.0)</f>
        <v>0</v>
      </c>
      <c r="I127">
        <f>IFERROR(__xludf.DUMMYFUNCTION("""COMPUTED_VALUE"""),2.0)</f>
        <v>2</v>
      </c>
      <c r="J127">
        <f>IFERROR(__xludf.DUMMYFUNCTION("""COMPUTED_VALUE"""),3.0)</f>
        <v>3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1" t="s">
        <v>3</v>
      </c>
      <c r="B128">
        <f>IFERROR(__xludf.DUMMYFUNCTION("""COMPUTED_VALUE"""),20.0)</f>
        <v>20</v>
      </c>
      <c r="C128">
        <f>IFERROR(__xludf.DUMMYFUNCTION("""COMPUTED_VALUE"""),55.0)</f>
        <v>55</v>
      </c>
      <c r="D128">
        <f>IFERROR(__xludf.DUMMYFUNCTION("""COMPUTED_VALUE"""),80.0)</f>
        <v>80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IFERROR(__xludf.DUMMYFUNCTION("""COMPUTED_VALUE"""),15.0)</f>
        <v>15</v>
      </c>
      <c r="I128">
        <f>IFERROR(__xludf.DUMMYFUNCTION("""COMPUTED_VALUE"""),-10.0)</f>
        <v>-10</v>
      </c>
      <c r="J128">
        <f>IFERROR(__xludf.DUMMYFUNCTION("""COMPUTED_VALUE"""),-15.0)</f>
        <v>-15</v>
      </c>
      <c r="K128">
        <f>IFERROR(__xludf.DUMMYFUNCTION("""COMPUTED_VALUE"""),10.0)</f>
        <v>10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2" t="str">
        <f>IFERROR(__xludf.DUMMYFUNCTION("IMPORTRANGE(""1Knt8XDGFY_MP2OzeadT1pDENTLOdk9Ab_Rd9IdW0kzc"",""Round 6!W1"")"),"Question: 21")</f>
        <v>Question: 21</v>
      </c>
      <c r="B129" s="3" t="s">
        <v>33</v>
      </c>
    </row>
    <row r="130">
      <c r="A130" s="2"/>
    </row>
    <row r="131">
      <c r="A131" s="1" t="s">
        <v>47</v>
      </c>
      <c r="B131" t="str">
        <f>IFERROR(__xludf.DUMMYFUNCTION("{IMPORTRANGE(""16i4gsLDaJasgGgtJt27HweoboYNaal3qpX3MtxIR2f0"",""Round 6!C1:H3""),IMPORTRANGE(""16i4gsLDaJasgGgtJt27HweoboYNaal3qpX3MtxIR2f0"",""Round 6!M1:R3"")}"),"Canyon Crest B (V)")</f>
        <v>Canyon Crest B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IFERROR(__xludf.DUMMYFUNCTION("""COMPUTED_VALUE"""),"Arcadia (V)")</f>
        <v>Arcadia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2" t="str">
        <f>IFERROR(__xludf.DUMMYFUNCTION("CONCAT(""A BP: "",IMPORTRANGE(""16i4gsLDaJasgGgtJt27HweoboYNaal3qpX3MtxIR2f0"",""Round 6!I32""))"),"A BP: 110")</f>
        <v>A BP: 110</v>
      </c>
      <c r="B132" t="str">
        <f>IFERROR(__xludf.DUMMYFUNCTION("""COMPUTED_VALUE"""),"Score: 185")</f>
        <v>Score: 185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415")</f>
        <v>Score: 415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2" t="str">
        <f>IFERROR(__xludf.DUMMYFUNCTION("CONCAT(""B BP: "",IMPORTRANGE(""16i4gsLDaJasgGgtJt27HweoboYNaal3qpX3MtxIR2f0"",""Round 6!S32""))"),"B BP: 260")</f>
        <v>B BP: 260</v>
      </c>
      <c r="B133" t="str">
        <f>IFERROR(__xludf.DUMMYFUNCTION("""COMPUTED_VALUE"""),"Shreyank Kadadi (12)")</f>
        <v>Shreyank Kadadi (12)</v>
      </c>
      <c r="C133" t="str">
        <f>IFERROR(__xludf.DUMMYFUNCTION("""COMPUTED_VALUE"""),"Jonathan Hsieh (12)")</f>
        <v>Jonathan Hsieh (12)</v>
      </c>
      <c r="D133" t="str">
        <f>IFERROR(__xludf.DUMMYFUNCTION("""COMPUTED_VALUE"""),"Kevin Luo (10)")</f>
        <v>Kevin Luo (10)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IFERROR(__xludf.DUMMYFUNCTION("""COMPUTED_VALUE"""),"Amogh Kulkarni (10)")</f>
        <v>Amogh Kulkarni (10)</v>
      </c>
      <c r="I133" t="str">
        <f>IFERROR(__xludf.DUMMYFUNCTION("""COMPUTED_VALUE"""),"Ryan Sun (10)")</f>
        <v>Ryan Sun (10)</v>
      </c>
      <c r="J133" t="str">
        <f>IFERROR(__xludf.DUMMYFUNCTION("""COMPUTED_VALUE"""),"Michael Kwok (10)")</f>
        <v>Michael Kwok (10)</v>
      </c>
      <c r="K133" t="str">
        <f>IFERROR(__xludf.DUMMYFUNCTION("""COMPUTED_VALUE"""),"Sanjith Menon (10)")</f>
        <v>Sanjith Menon (10)</v>
      </c>
      <c r="L133" t="str">
        <f>IFERROR(__xludf.DUMMYFUNCTION("""COMPUTED_VALUE"""),"Spencer Cheng (12)")</f>
        <v>Spencer Cheng (12)</v>
      </c>
      <c r="M133" t="str">
        <f>IFERROR(__xludf.DUMMYFUNCTION("""COMPUTED_VALUE"""),"Player 6")</f>
        <v>Player 6</v>
      </c>
    </row>
    <row r="134">
      <c r="A134" s="1" t="s">
        <v>2</v>
      </c>
      <c r="B134">
        <f>IFERROR(__xludf.DUMMYFUNCTION("{IMPORTRANGE(""16i4gsLDaJasgGgtJt27HweoboYNaal3qpX3MtxIR2f0"",""Round 6!C32:H36""),IMPORTRANGE(""16i4gsLDaJasgGgtJt27HweoboYNaal3qpX3MtxIR2f0"",""Round 6!M32:R36"")}"),20.0)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IFERROR(__xludf.DUMMYFUNCTION("""COMPUTED_VALUE"""),10.0)</f>
        <v>10</v>
      </c>
      <c r="L134">
        <f>IFERROR(__xludf.DUMMYFUNCTION("""COMPUTED_VALUE"""),10.0)</f>
        <v>10</v>
      </c>
      <c r="M134" t="str">
        <f>IFERROR(__xludf.DUMMYFUNCTION("""COMPUTED_VALUE"""),"")</f>
        <v/>
      </c>
    </row>
    <row r="135">
      <c r="A135" s="1">
        <v>15.0</v>
      </c>
      <c r="B135">
        <f>IFERROR(__xludf.DUMMYFUNCTION("""COMPUTED_VALUE"""),1.0)</f>
        <v>1</v>
      </c>
      <c r="C135">
        <f>IFERROR(__xludf.DUMMYFUNCTION("""COMPUTED_VALUE"""),3.0)</f>
        <v>3</v>
      </c>
      <c r="D135">
        <f>IFERROR(__xludf.DUMMYFUNCTION("""COMPUTED_VALUE"""),0.0)</f>
        <v>0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IFERROR(__xludf.DUMMYFUNCTION("""COMPUTED_VALUE"""),5.0)</f>
        <v>5</v>
      </c>
      <c r="I135">
        <f>IFERROR(__xludf.DUMMYFUNCTION("""COMPUTED_VALUE"""),2.0)</f>
        <v>2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1">
        <v>10.0</v>
      </c>
      <c r="B136">
        <f>IFERROR(__xludf.DUMMYFUNCTION("""COMPUTED_VALUE"""),2.0)</f>
        <v>2</v>
      </c>
      <c r="C136">
        <f>IFERROR(__xludf.DUMMYFUNCTION("""COMPUTED_VALUE"""),1.0)</f>
        <v>1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IFERROR(__xludf.DUMMYFUNCTION("""COMPUTED_VALUE"""),4.0)</f>
        <v>4</v>
      </c>
      <c r="I136">
        <f>IFERROR(__xludf.DUMMYFUNCTION("""COMPUTED_VALUE"""),0.0)</f>
        <v>0</v>
      </c>
      <c r="J136">
        <f>IFERROR(__xludf.DUMMYFUNCTION("""COMPUTED_VALUE"""),0.0)</f>
        <v>0</v>
      </c>
      <c r="K136">
        <f>IFERROR(__xludf.DUMMYFUNCTION("""COMPUTED_VALUE"""),0.0)</f>
        <v>0</v>
      </c>
      <c r="L136">
        <f>IFERROR(__xludf.DUMMYFUNCTION("""COMPUTED_VALUE"""),1.0)</f>
        <v>1</v>
      </c>
      <c r="M136">
        <f>IFERROR(__xludf.DUMMYFUNCTION("""COMPUTED_VALUE"""),0.0)</f>
        <v>0</v>
      </c>
    </row>
    <row r="137">
      <c r="A137" s="1">
        <v>-5.0</v>
      </c>
      <c r="B137">
        <f>IFERROR(__xludf.DUMMYFUNCTION("""COMPUTED_VALUE"""),1.0)</f>
        <v>1</v>
      </c>
      <c r="C137">
        <f>IFERROR(__xludf.DUMMYFUNCTION("""COMPUTED_VALUE"""),0.0)</f>
        <v>0</v>
      </c>
      <c r="D137">
        <f>IFERROR(__xludf.DUMMYFUNCTION("""COMPUTED_VALUE"""),2.0)</f>
        <v>2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IFERROR(__xludf.DUMMYFUNCTION("""COMPUTED_VALUE"""),0.0)</f>
        <v>0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1" t="s">
        <v>3</v>
      </c>
      <c r="B138">
        <f>IFERROR(__xludf.DUMMYFUNCTION("""COMPUTED_VALUE"""),30.0)</f>
        <v>30</v>
      </c>
      <c r="C138">
        <f>IFERROR(__xludf.DUMMYFUNCTION("""COMPUTED_VALUE"""),55.0)</f>
        <v>55</v>
      </c>
      <c r="D138">
        <f>IFERROR(__xludf.DUMMYFUNCTION("""COMPUTED_VALUE"""),-10.0)</f>
        <v>-10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IFERROR(__xludf.DUMMYFUNCTION("""COMPUTED_VALUE"""),115.0)</f>
        <v>115</v>
      </c>
      <c r="I138">
        <f>IFERROR(__xludf.DUMMYFUNCTION("""COMPUTED_VALUE"""),30.0)</f>
        <v>30</v>
      </c>
      <c r="J138">
        <f>IFERROR(__xludf.DUMMYFUNCTION("""COMPUTED_VALUE"""),0.0)</f>
        <v>0</v>
      </c>
      <c r="K138">
        <f>IFERROR(__xludf.DUMMYFUNCTION("""COMPUTED_VALUE"""),0.0)</f>
        <v>0</v>
      </c>
      <c r="L138">
        <f>IFERROR(__xludf.DUMMYFUNCTION("""COMPUTED_VALUE"""),10.0)</f>
        <v>10</v>
      </c>
      <c r="M138">
        <f>IFERROR(__xludf.DUMMYFUNCTION("""COMPUTED_VALUE"""),0.0)</f>
        <v>0</v>
      </c>
    </row>
    <row r="139">
      <c r="A139" s="2" t="str">
        <f>IFERROR(__xludf.DUMMYFUNCTION("IMPORTRANGE(""16i4gsLDaJasgGgtJt27HweoboYNaal3qpX3MtxIR2f0"",""Round 6!W1"")"),"Question: 21")</f>
        <v>Question: 21</v>
      </c>
      <c r="B139" s="3" t="s">
        <v>35</v>
      </c>
    </row>
    <row r="140">
      <c r="A140" s="2"/>
    </row>
    <row r="141">
      <c r="A141" s="1" t="s">
        <v>48</v>
      </c>
      <c r="B141" t="str">
        <f>IFERROR(__xludf.DUMMYFUNCTION("{IMPORTRANGE(""1KRyI2c190uhOTF270Hsdzh1rgG565QIaE9TymteaGNY"",""Round 6!C1:H3""),IMPORTRANGE(""1KRyI2c190uhOTF270Hsdzh1rgG565QIaE9TymteaGNY"",""Round 6!M1:R3"")}"),"Canyon Crest C (V)")</f>
        <v>Canyon Crest C (V)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IFERROR(__xludf.DUMMYFUNCTION("""COMPUTED_VALUE"""),"Santa Monica B (V)")</f>
        <v>Santa Monica B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2" t="str">
        <f>IFERROR(__xludf.DUMMYFUNCTION("CONCAT(""A BP: "",IMPORTRANGE(""1KRyI2c190uhOTF270Hsdzh1rgG565QIaE9TymteaGNY"",""Round 6!I32""))"),"A BP: 110")</f>
        <v>A BP: 110</v>
      </c>
      <c r="B142" t="str">
        <f>IFERROR(__xludf.DUMMYFUNCTION("""COMPUTED_VALUE"""),"Score: 190")</f>
        <v>Score: 190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55")</f>
        <v>Score: 55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2" t="str">
        <f>IFERROR(__xludf.DUMMYFUNCTION("CONCAT(""B BP: "",IMPORTRANGE(""1KRyI2c190uhOTF270Hsdzh1rgG565QIaE9TymteaGNY"",""Round 6!S32""))"),"B BP: 20")</f>
        <v>B BP: 20</v>
      </c>
      <c r="B143" t="str">
        <f>IFERROR(__xludf.DUMMYFUNCTION("""COMPUTED_VALUE"""),"Paul Mola (11)")</f>
        <v>Paul Mola (11)</v>
      </c>
      <c r="C143" t="str">
        <f>IFERROR(__xludf.DUMMYFUNCTION("""COMPUTED_VALUE"""),"James Wright (11)")</f>
        <v>James Wright (11)</v>
      </c>
      <c r="D143" t="str">
        <f>IFERROR(__xludf.DUMMYFUNCTION("""COMPUTED_VALUE"""),"Cade McAllister (10)")</f>
        <v>Cade McAllister (10)</v>
      </c>
      <c r="E143" t="str">
        <f>IFERROR(__xludf.DUMMYFUNCTION("""COMPUTED_VALUE"""),"Nithin Chilakapati (10)")</f>
        <v>Nithin Chilakapati (10)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IFERROR(__xludf.DUMMYFUNCTION("""COMPUTED_VALUE"""),"Kethan Raman (10)")</f>
        <v>Kethan Raman (10)</v>
      </c>
      <c r="I143" t="str">
        <f>IFERROR(__xludf.DUMMYFUNCTION("""COMPUTED_VALUE"""),"Ethan Hopkins (10)")</f>
        <v>Ethan Hopkins (10)</v>
      </c>
      <c r="J143" t="str">
        <f>IFERROR(__xludf.DUMMYFUNCTION("""COMPUTED_VALUE"""),"Jacob Cohen (10)")</f>
        <v>Jacob Cohen (10)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1" t="s">
        <v>2</v>
      </c>
      <c r="B144">
        <f>IFERROR(__xludf.DUMMYFUNCTION("{IMPORTRANGE(""1KRyI2c190uhOTF270Hsdzh1rgG565QIaE9TymteaGNY"",""Round 6!C32:H36""),IMPORTRANGE(""1KRyI2c190uhOTF270Hsdzh1rgG565QIaE9TymteaGNY"",""Round 6!M32:R36"")}"),20.0)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1">
        <v>15.0</v>
      </c>
      <c r="B145">
        <f>IFERROR(__xludf.DUMMYFUNCTION("""COMPUTED_VALUE"""),1.0)</f>
        <v>1</v>
      </c>
      <c r="C145">
        <f>IFERROR(__xludf.DUMMYFUNCTION("""COMPUTED_VALUE"""),0.0)</f>
        <v>0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IFERROR(__xludf.DUMMYFUNCTION("""COMPUTED_VALUE"""),1.0)</f>
        <v>1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1">
        <v>10.0</v>
      </c>
      <c r="B146">
        <f>IFERROR(__xludf.DUMMYFUNCTION("""COMPUTED_VALUE"""),4.0)</f>
        <v>4</v>
      </c>
      <c r="C146">
        <f>IFERROR(__xludf.DUMMYFUNCTION("""COMPUTED_VALUE"""),2.0)</f>
        <v>2</v>
      </c>
      <c r="D146">
        <f>IFERROR(__xludf.DUMMYFUNCTION("""COMPUTED_VALUE"""),0.0)</f>
        <v>0</v>
      </c>
      <c r="E146">
        <f>IFERROR(__xludf.DUMMYFUNCTION("""COMPUTED_VALUE"""),2.0)</f>
        <v>2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IFERROR(__xludf.DUMMYFUNCTION("""COMPUTED_VALUE"""),1.0)</f>
        <v>1</v>
      </c>
      <c r="I146">
        <f>IFERROR(__xludf.DUMMYFUNCTION("""COMPUTED_VALUE"""),0.0)</f>
        <v>0</v>
      </c>
      <c r="J146">
        <f>IFERROR(__xludf.DUMMYFUNCTION("""COMPUTED_VALUE"""),2.0)</f>
        <v>2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1">
        <v>-5.0</v>
      </c>
      <c r="B147">
        <f>IFERROR(__xludf.DUMMYFUNCTION("""COMPUTED_VALUE"""),2.0)</f>
        <v>2</v>
      </c>
      <c r="C147">
        <f>IFERROR(__xludf.DUMMYFUNCTION("""COMPUTED_VALUE"""),0.0)</f>
        <v>0</v>
      </c>
      <c r="D147">
        <f>IFERROR(__xludf.DUMMYFUNCTION("""COMPUTED_VALUE"""),1.0)</f>
        <v>1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IFERROR(__xludf.DUMMYFUNCTION("""COMPUTED_VALUE"""),1.0)</f>
        <v>1</v>
      </c>
      <c r="I147">
        <f>IFERROR(__xludf.DUMMYFUNCTION("""COMPUTED_VALUE"""),1.0)</f>
        <v>1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1" t="s">
        <v>3</v>
      </c>
      <c r="B148">
        <f>IFERROR(__xludf.DUMMYFUNCTION("""COMPUTED_VALUE"""),45.0)</f>
        <v>45</v>
      </c>
      <c r="C148">
        <f>IFERROR(__xludf.DUMMYFUNCTION("""COMPUTED_VALUE"""),20.0)</f>
        <v>20</v>
      </c>
      <c r="D148">
        <f>IFERROR(__xludf.DUMMYFUNCTION("""COMPUTED_VALUE"""),-5.0)</f>
        <v>-5</v>
      </c>
      <c r="E148">
        <f>IFERROR(__xludf.DUMMYFUNCTION("""COMPUTED_VALUE"""),20.0)</f>
        <v>20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IFERROR(__xludf.DUMMYFUNCTION("""COMPUTED_VALUE"""),20.0)</f>
        <v>20</v>
      </c>
      <c r="I148">
        <f>IFERROR(__xludf.DUMMYFUNCTION("""COMPUTED_VALUE"""),-5.0)</f>
        <v>-5</v>
      </c>
      <c r="J148">
        <f>IFERROR(__xludf.DUMMYFUNCTION("""COMPUTED_VALUE"""),20.0)</f>
        <v>20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2" t="str">
        <f>IFERROR(__xludf.DUMMYFUNCTION("IMPORTRANGE(""1KRyI2c190uhOTF270Hsdzh1rgG565QIaE9TymteaGNY"",""Round 6!W1"")"),"Question: 19")</f>
        <v>Question: 19</v>
      </c>
      <c r="B149" s="3" t="s">
        <v>37</v>
      </c>
    </row>
    <row r="150">
      <c r="A150" s="2"/>
    </row>
    <row r="151">
      <c r="A151" s="1" t="s">
        <v>49</v>
      </c>
      <c r="B151" t="str">
        <f>IFERROR(__xludf.DUMMYFUNCTION("{IMPORTRANGE(""1zr0uYCpJ5izByVOUCsr6JXezthGEdLXnwOrjIKGx5XI"",""Round 6!C1:H3""),IMPORTRANGE(""1zr0uYCpJ5izByVOUCsr6JXezthGEdLXnwOrjIKGx5XI"",""Round 6!M1:R3"")}"),"Santa Monica A (V)")</f>
        <v>Santa Monica A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IFERROR(__xludf.DUMMYFUNCTION("""COMPUTED_VALUE"""),"Westview B (V)")</f>
        <v>Westview B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2" t="str">
        <f>IFERROR(__xludf.DUMMYFUNCTION("CONCAT(""A BP: "",IMPORTRANGE(""1zr0uYCpJ5izByVOUCsr6JXezthGEdLXnwOrjIKGx5XI"",""Round 6!I32""))"),"A BP: 140")</f>
        <v>A BP: 140</v>
      </c>
      <c r="B152" t="str">
        <f>IFERROR(__xludf.DUMMYFUNCTION("""COMPUTED_VALUE"""),"Score: 280")</f>
        <v>Score: 280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200")</f>
        <v>Score: 200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2" t="str">
        <f>IFERROR(__xludf.DUMMYFUNCTION("CONCAT(""B BP: "",IMPORTRANGE(""1zr0uYCpJ5izByVOUCsr6JXezthGEdLXnwOrjIKGx5XI"",""Round 6!S32""))"),"B BP: 120")</f>
        <v>B BP: 120</v>
      </c>
      <c r="B153" t="str">
        <f>IFERROR(__xludf.DUMMYFUNCTION("""COMPUTED_VALUE"""),"Josh Xu (11)")</f>
        <v>Josh Xu (11)</v>
      </c>
      <c r="C153" t="str">
        <f>IFERROR(__xludf.DUMMYFUNCTION("""COMPUTED_VALUE"""),"Player 2")</f>
        <v>Player 2</v>
      </c>
      <c r="D153" t="str">
        <f>IFERROR(__xludf.DUMMYFUNCTION("""COMPUTED_VALUE"""),"Player 3")</f>
        <v>Player 3</v>
      </c>
      <c r="E153" t="str">
        <f>IFERROR(__xludf.DUMMYFUNCTION("""COMPUTED_VALUE"""),"Player 4")</f>
        <v>Player 4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IFERROR(__xludf.DUMMYFUNCTION("""COMPUTED_VALUE"""),"Nicholas Dai (11)")</f>
        <v>Nicholas Dai (11)</v>
      </c>
      <c r="I153" t="str">
        <f>IFERROR(__xludf.DUMMYFUNCTION("""COMPUTED_VALUE"""),"Andrew Jia (11)")</f>
        <v>Andrew Jia (11)</v>
      </c>
      <c r="J153" t="str">
        <f>IFERROR(__xludf.DUMMYFUNCTION("""COMPUTED_VALUE"""),"Richard Lin (9)")</f>
        <v>Richard Lin (9)</v>
      </c>
      <c r="K153" t="str">
        <f>IFERROR(__xludf.DUMMYFUNCTION("""COMPUTED_VALUE"""),"Rohan Venkateswaran (12)")</f>
        <v>Rohan Venkateswaran (12)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1" t="s">
        <v>2</v>
      </c>
      <c r="B154">
        <f>IFERROR(__xludf.DUMMYFUNCTION("{IMPORTRANGE(""1zr0uYCpJ5izByVOUCsr6JXezthGEdLXnwOrjIKGx5XI"",""Round 6!C32:H36""),IMPORTRANGE(""1zr0uYCpJ5izByVOUCsr6JXezthGEdLXnwOrjIKGx5XI"",""Round 6!M32:R36"")}"),20.0)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IFERROR(__xludf.DUMMYFUNCTION("""COMPUTED_VALUE"""),15.0)</f>
        <v>15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1">
        <v>15.0</v>
      </c>
      <c r="B155">
        <f>IFERROR(__xludf.DUMMYFUNCTION("""COMPUTED_VALUE"""),4.0)</f>
        <v>4</v>
      </c>
      <c r="C155">
        <f>IFERROR(__xludf.DUMMYFUNCTION("""COMPUTED_VALUE"""),0.0)</f>
        <v>0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IFERROR(__xludf.DUMMYFUNCTION("""COMPUTED_VALUE"""),1.0)</f>
        <v>1</v>
      </c>
      <c r="I155">
        <f>IFERROR(__xludf.DUMMYFUNCTION("""COMPUTED_VALUE"""),1.0)</f>
        <v>1</v>
      </c>
      <c r="J155">
        <f>IFERROR(__xludf.DUMMYFUNCTION("""COMPUTED_VALUE"""),0.0)</f>
        <v>0</v>
      </c>
      <c r="K155">
        <f>IFERROR(__xludf.DUMMYFUNCTION("""COMPUTED_VALUE"""),3.0)</f>
        <v>3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1">
        <v>10.0</v>
      </c>
      <c r="B156">
        <f>IFERROR(__xludf.DUMMYFUNCTION("""COMPUTED_VALUE"""),8.0)</f>
        <v>8</v>
      </c>
      <c r="C156">
        <f>IFERROR(__xludf.DUMMYFUNCTION("""COMPUTED_VALUE"""),0.0)</f>
        <v>0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IFERROR(__xludf.DUMMYFUNCTION("""COMPUTED_VALUE"""),0.0)</f>
        <v>0</v>
      </c>
      <c r="I156">
        <f>IFERROR(__xludf.DUMMYFUNCTION("""COMPUTED_VALUE"""),0.0)</f>
        <v>0</v>
      </c>
      <c r="J156">
        <f>IFERROR(__xludf.DUMMYFUNCTION("""COMPUTED_VALUE"""),0.0)</f>
        <v>0</v>
      </c>
      <c r="K156">
        <f>IFERROR(__xludf.DUMMYFUNCTION("""COMPUTED_VALUE"""),2.0)</f>
        <v>2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1">
        <v>-5.0</v>
      </c>
      <c r="B157">
        <f>IFERROR(__xludf.DUMMYFUNCTION("""COMPUTED_VALUE"""),0.0)</f>
        <v>0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IFERROR(__xludf.DUMMYFUNCTION("""COMPUTED_VALUE"""),2.0)</f>
        <v>2</v>
      </c>
      <c r="J157">
        <f>IFERROR(__xludf.DUMMYFUNCTION("""COMPUTED_VALUE"""),0.0)</f>
        <v>0</v>
      </c>
      <c r="K157">
        <f>IFERROR(__xludf.DUMMYFUNCTION("""COMPUTED_VALUE"""),1.0)</f>
        <v>1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1" t="s">
        <v>3</v>
      </c>
      <c r="B158">
        <f>IFERROR(__xludf.DUMMYFUNCTION("""COMPUTED_VALUE"""),140.0)</f>
        <v>140</v>
      </c>
      <c r="C158">
        <f>IFERROR(__xludf.DUMMYFUNCTION("""COMPUTED_VALUE"""),0.0)</f>
        <v>0</v>
      </c>
      <c r="D158">
        <f>IFERROR(__xludf.DUMMYFUNCTION("""COMPUTED_VALUE"""),0.0)</f>
        <v>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IFERROR(__xludf.DUMMYFUNCTION("""COMPUTED_VALUE"""),15.0)</f>
        <v>15</v>
      </c>
      <c r="I158">
        <f>IFERROR(__xludf.DUMMYFUNCTION("""COMPUTED_VALUE"""),5.0)</f>
        <v>5</v>
      </c>
      <c r="J158">
        <f>IFERROR(__xludf.DUMMYFUNCTION("""COMPUTED_VALUE"""),0.0)</f>
        <v>0</v>
      </c>
      <c r="K158">
        <f>IFERROR(__xludf.DUMMYFUNCTION("""COMPUTED_VALUE"""),60.0)</f>
        <v>60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2" t="str">
        <f>IFERROR(__xludf.DUMMYFUNCTION("IMPORTRANGE(""1zr0uYCpJ5izByVOUCsr6JXezthGEdLXnwOrjIKGx5XI"",""Round 6!W1"")"),"Question: 21")</f>
        <v>Question: 21</v>
      </c>
      <c r="B159" s="3" t="s">
        <v>39</v>
      </c>
    </row>
    <row r="160">
      <c r="A160" s="2"/>
    </row>
    <row r="161">
      <c r="A161" s="1" t="s">
        <v>50</v>
      </c>
      <c r="B161" t="str">
        <f>IFERROR(__xludf.DUMMYFUNCTION("{IMPORTRANGE(""1TVrjNI5RE1VozIr906BhaTKMFP0VPx8aUGpyt_loukE"",""Round 6!C1:H3""),IMPORTRANGE(""1TVrjNI5RE1VozIr906BhaTKMFP0VPx8aUGpyt_loukE"",""Round 6!M1:R3"")}"),"Troy A (V)")</f>
        <v>Troy A (V)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IFERROR(__xludf.DUMMYFUNCTION("""COMPUTED_VALUE"""),"Cathedral Catholic (V)")</f>
        <v>Cathedral Catholic (V)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2" t="str">
        <f>IFERROR(__xludf.DUMMYFUNCTION("CONCAT(""A BP: "",IMPORTRANGE(""1TVrjNI5RE1VozIr906BhaTKMFP0VPx8aUGpyt_loukE"",""Round 6!I32""))"),"A BP: 100")</f>
        <v>A BP: 100</v>
      </c>
      <c r="B162" t="str">
        <f>IFERROR(__xludf.DUMMYFUNCTION("""COMPUTED_VALUE"""),"Score: 170")</f>
        <v>Score: 170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125")</f>
        <v>Score: 125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2" t="str">
        <f>IFERROR(__xludf.DUMMYFUNCTION("CONCAT(""B BP: "",IMPORTRANGE(""1TVrjNI5RE1VozIr906BhaTKMFP0VPx8aUGpyt_loukE"",""Round 6!S32""))"),"B BP: 60")</f>
        <v>B BP: 60</v>
      </c>
      <c r="B163" t="str">
        <f>IFERROR(__xludf.DUMMYFUNCTION("""COMPUTED_VALUE"""),"Luke Park (11)")</f>
        <v>Luke Park (11)</v>
      </c>
      <c r="C163" t="str">
        <f>IFERROR(__xludf.DUMMYFUNCTION("""COMPUTED_VALUE"""),"Tyler Kim (11)")</f>
        <v>Tyler Kim (11)</v>
      </c>
      <c r="D163" t="str">
        <f>IFERROR(__xludf.DUMMYFUNCTION("""COMPUTED_VALUE"""),"Henry Tang (10)")</f>
        <v>Henry Tang (10)</v>
      </c>
      <c r="E163" t="str">
        <f>IFERROR(__xludf.DUMMYFUNCTION("""COMPUTED_VALUE"""),"Daniel Shin (10)")</f>
        <v>Daniel Shin (10)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IFERROR(__xludf.DUMMYFUNCTION("""COMPUTED_VALUE"""),"Ryan Shakiba (10)")</f>
        <v>Ryan Shakiba (10)</v>
      </c>
      <c r="I163" t="str">
        <f>IFERROR(__xludf.DUMMYFUNCTION("""COMPUTED_VALUE"""),"Jacob Titcomb (11)")</f>
        <v>Jacob Titcomb (11)</v>
      </c>
      <c r="J163" t="str">
        <f>IFERROR(__xludf.DUMMYFUNCTION("""COMPUTED_VALUE"""),"Sinead Archdeacon (10)")</f>
        <v>Sinead Archdeacon (10)</v>
      </c>
      <c r="K163" t="str">
        <f>IFERROR(__xludf.DUMMYFUNCTION("""COMPUTED_VALUE"""),"Mikayla Nang (11)")</f>
        <v>Mikayla Nang (11)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1" t="s">
        <v>2</v>
      </c>
      <c r="B164">
        <f>IFERROR(__xludf.DUMMYFUNCTION("{IMPORTRANGE(""1TVrjNI5RE1VozIr906BhaTKMFP0VPx8aUGpyt_loukE"",""Round 6!C32:H36""),IMPORTRANGE(""1TVrjNI5RE1VozIr906BhaTKMFP0VPx8aUGpyt_loukE"",""Round 6!M32:R36"")}"),20.0)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1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1">
        <v>10.0</v>
      </c>
      <c r="B166">
        <f>IFERROR(__xludf.DUMMYFUNCTION("""COMPUTED_VALUE"""),2.0)</f>
        <v>2</v>
      </c>
      <c r="C166">
        <f>IFERROR(__xludf.DUMMYFUNCTION("""COMPUTED_VALUE"""),2.0)</f>
        <v>2</v>
      </c>
      <c r="D166">
        <f>IFERROR(__xludf.DUMMYFUNCTION("""COMPUTED_VALUE"""),4.0)</f>
        <v>4</v>
      </c>
      <c r="E166">
        <f>IFERROR(__xludf.DUMMYFUNCTION("""COMPUTED_VALUE"""),1.0)</f>
        <v>1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IFERROR(__xludf.DUMMYFUNCTION("""COMPUTED_VALUE"""),1.0)</f>
        <v>1</v>
      </c>
      <c r="I166">
        <f>IFERROR(__xludf.DUMMYFUNCTION("""COMPUTED_VALUE"""),2.0)</f>
        <v>2</v>
      </c>
      <c r="J166">
        <f>IFERROR(__xludf.DUMMYFUNCTION("""COMPUTED_VALUE"""),3.0)</f>
        <v>3</v>
      </c>
      <c r="K166">
        <f>IFERROR(__xludf.DUMMYFUNCTION("""COMPUTED_VALUE"""),1.0)</f>
        <v>1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1">
        <v>-5.0</v>
      </c>
      <c r="B167">
        <f>IFERROR(__xludf.DUMMYFUNCTION("""COMPUTED_VALUE"""),2.0)</f>
        <v>2</v>
      </c>
      <c r="C167">
        <f>IFERROR(__xludf.DUMMYFUNCTION("""COMPUTED_VALUE"""),1.0)</f>
        <v>1</v>
      </c>
      <c r="D167">
        <f>IFERROR(__xludf.DUMMYFUNCTION("""COMPUTED_VALUE"""),1.0)</f>
        <v>1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IFERROR(__xludf.DUMMYFUNCTION("""COMPUTED_VALUE"""),1.0)</f>
        <v>1</v>
      </c>
      <c r="I167">
        <f>IFERROR(__xludf.DUMMYFUNCTION("""COMPUTED_VALUE"""),0.0)</f>
        <v>0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1" t="s">
        <v>3</v>
      </c>
      <c r="B168">
        <f>IFERROR(__xludf.DUMMYFUNCTION("""COMPUTED_VALUE"""),10.0)</f>
        <v>10</v>
      </c>
      <c r="C168">
        <f>IFERROR(__xludf.DUMMYFUNCTION("""COMPUTED_VALUE"""),15.0)</f>
        <v>15</v>
      </c>
      <c r="D168">
        <f>IFERROR(__xludf.DUMMYFUNCTION("""COMPUTED_VALUE"""),35.0)</f>
        <v>35</v>
      </c>
      <c r="E168">
        <f>IFERROR(__xludf.DUMMYFUNCTION("""COMPUTED_VALUE"""),10.0)</f>
        <v>10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IFERROR(__xludf.DUMMYFUNCTION("""COMPUTED_VALUE"""),5.0)</f>
        <v>5</v>
      </c>
      <c r="I168">
        <f>IFERROR(__xludf.DUMMYFUNCTION("""COMPUTED_VALUE"""),20.0)</f>
        <v>20</v>
      </c>
      <c r="J168">
        <f>IFERROR(__xludf.DUMMYFUNCTION("""COMPUTED_VALUE"""),30.0)</f>
        <v>30</v>
      </c>
      <c r="K168">
        <f>IFERROR(__xludf.DUMMYFUNCTION("""COMPUTED_VALUE"""),10.0)</f>
        <v>10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2" t="str">
        <f>IFERROR(__xludf.DUMMYFUNCTION("IMPORTRANGE(""1TVrjNI5RE1VozIr906BhaTKMFP0VPx8aUGpyt_loukE"",""Round 6!W1"")"),"Question: 21")</f>
        <v>Question: 21</v>
      </c>
      <c r="B169" s="3" t="s">
        <v>41</v>
      </c>
    </row>
    <row r="170">
      <c r="A170" s="2"/>
    </row>
    <row r="171">
      <c r="A171" s="1" t="s">
        <v>42</v>
      </c>
      <c r="B171" t="str">
        <f>IFERROR(__xludf.DUMMYFUNCTION("{IMPORTRANGE(""1xRz0po-ejgp-QRvMkY44z3u2CePgTccasdyrrVALbmE"",""Round 6!C1:H3""),IMPORTRANGE(""1xRz0po-ejgp-QRvMkY44z3u2CePgTccasdyrrVALbmE"",""Round 6!M1:R3"")}"),"Team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2" t="str">
        <f>IFERROR(__xludf.DUMMYFUNCTION("CONCAT(""A BP: "",IMPORTRANGE(""1xRz0po-ejgp-QRvMkY44z3u2CePgTccasdyrrVALbmE"",""Round 6!I32""))"),"A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2" t="str">
        <f>IFERROR(__xludf.DUMMYFUNCTION("CONCAT(""B BP: "",IMPORTRANGE(""1xRz0po-ejgp-QRvMkY44z3u2CePgTccasdyrrVALbmE"",""Round 6!S32""))"),"B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1" t="s">
        <v>2</v>
      </c>
      <c r="B174">
        <f>IFERROR(__xludf.DUMMYFUNCTION("{IMPORTRANGE(""1xRz0po-ejgp-QRvMkY44z3u2CePgTccasdyrrVALbmE"",""Round 6!C32:H36""),IMPORTRANGE(""1xRz0po-ejgp-QRvMkY44z3u2CePgTccasdyrrVALbmE"",""Round 6!M32:R36"")}"),20.0)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1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1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1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1" t="s">
        <v>3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2" t="str">
        <f>IFERROR(__xludf.DUMMYFUNCTION("IMPORTRANGE(""1xRz0po-ejgp-QRvMkY44z3u2CePgTccasdyrrVALbmE"",""Round 6!W1"")"),"Question: 1")</f>
        <v>Question: 1</v>
      </c>
      <c r="B179" s="3" t="s">
        <v>43</v>
      </c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 t="s">
        <v>0</v>
      </c>
      <c r="B1" t="str">
        <f>IFERROR(__xludf.DUMMYFUNCTION("{IMPORTRANGE(""1JXwZ4AjXctyKvWy9qFKCX518NRYJYhSX9Jii0HPBCUs"",""Round 7!C1:H3""),IMPORTRANGE(""1JXwZ4AjXctyKvWy9qFKCX518NRYJYhSX9Jii0HPBCUs"",""Round 7!M1:R3"")}"),"Team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2" t="str">
        <f>IFERROR(__xludf.DUMMYFUNCTION("CONCAT(""A BP: "",IMPORTRANGE(""1JXwZ4AjXctyKvWy9qFKCX518NRYJYhSX9Jii0HPBCUs"",""Round 7!I32""))"),"A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2" t="str">
        <f>IFERROR(__xludf.DUMMYFUNCTION("CONCAT(""B BP: "",IMPORTRANGE(""1JXwZ4AjXctyKvWy9qFKCX518NRYJYhSX9Jii0HPBCUs"",""Round 7!S32""))"),"B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1" t="s">
        <v>2</v>
      </c>
      <c r="B4">
        <f>IFERROR(__xludf.DUMMYFUNCTION("{IMPORTRANGE(""1JXwZ4AjXctyKvWy9qFKCX518NRYJYhSX9Jii0HPBCUs"",""Round 7!C32:H36""),IMPORTRANGE(""1JXwZ4AjXctyKvWy9qFKCX518NRYJYhSX9Jii0HPBCUs"",""Round 7!M32:R36"")}"),20.0)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1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1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1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1" t="s">
        <v>3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2" t="str">
        <f>IFERROR(__xludf.DUMMYFUNCTION("IMPORTRANGE(""1JXwZ4AjXctyKvWy9qFKCX518NRYJYhSX9Jii0HPBCUs"",""Round 7!W1"")"),"Question: 1")</f>
        <v>Question: 1</v>
      </c>
      <c r="B9" s="3" t="s">
        <v>4</v>
      </c>
    </row>
    <row r="10">
      <c r="A10" s="1"/>
    </row>
    <row r="11">
      <c r="A11" s="1" t="s">
        <v>5</v>
      </c>
      <c r="B11" t="str">
        <f>IFERROR(__xludf.DUMMYFUNCTION("{IMPORTRANGE(""1GBDUn_ZojNLX5OJCVBEhvJbdm0c55Z7lPcE4L6WH89o"",""Round 7!C1:H3""),IMPORTRANGE(""1GBDUn_ZojNLX5OJCVBEhvJbdm0c55Z7lPcE4L6WH89o"",""Round 7!M1:R3"")}"),"Team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2" t="str">
        <f>IFERROR(__xludf.DUMMYFUNCTION("CONCAT(""A BP: "",IMPORTRANGE(""1GBDUn_ZojNLX5OJCVBEhvJbdm0c55Z7lPcE4L6WH89o"",""Round 7!I32""))"),"A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2" t="str">
        <f>IFERROR(__xludf.DUMMYFUNCTION("CONCAT(""B BP: "",IMPORTRANGE(""1GBDUn_ZojNLX5OJCVBEhvJbdm0c55Z7lPcE4L6WH89o"",""Round 7!S32""))"),"B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1" t="s">
        <v>2</v>
      </c>
      <c r="B14">
        <f>IFERROR(__xludf.DUMMYFUNCTION("{IMPORTRANGE(""1GBDUn_ZojNLX5OJCVBEhvJbdm0c55Z7lPcE4L6WH89o"",""Round 7!C32:H36""),IMPORTRANGE(""1GBDUn_ZojNLX5OJCVBEhvJbdm0c55Z7lPcE4L6WH89o"",""Round 7!M32:R36"")}"),20.0)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1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1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1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1" t="s">
        <v>3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2" t="str">
        <f>IFERROR(__xludf.DUMMYFUNCTION("IMPORTRANGE(""1GBDUn_ZojNLX5OJCVBEhvJbdm0c55Z7lPcE4L6WH89o"",""Round 7!W1"")"),"Question: 1")</f>
        <v>Question: 1</v>
      </c>
      <c r="B19" s="3" t="s">
        <v>6</v>
      </c>
    </row>
    <row r="20">
      <c r="A20" s="2"/>
    </row>
    <row r="21">
      <c r="A21" s="1" t="s">
        <v>7</v>
      </c>
      <c r="B21" t="str">
        <f>IFERROR(__xludf.DUMMYFUNCTION("{IMPORTRANGE(""19Dum1qlL_dEwf1AEniLf02Eg9XaNXi1GMkI5M4_Ei6w"",""Round 7!C1:H3""),IMPORTRANGE(""19Dum1qlL_dEwf1AEniLf02Eg9XaNXi1GMkI5M4_Ei6w"",""Round 7!M1:R3"")}"),"Team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2" t="str">
        <f>IFERROR(__xludf.DUMMYFUNCTION("CONCAT(""A BP: "",IMPORTRANGE(""19Dum1qlL_dEwf1AEniLf02Eg9XaNXi1GMkI5M4_Ei6w"",""Round 7!I32""))"),"A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2" t="str">
        <f>IFERROR(__xludf.DUMMYFUNCTION("CONCAT(""B BP: "",IMPORTRANGE(""19Dum1qlL_dEwf1AEniLf02Eg9XaNXi1GMkI5M4_Ei6w"",""Round 7!S32""))"),"B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1" t="s">
        <v>2</v>
      </c>
      <c r="B24">
        <f>IFERROR(__xludf.DUMMYFUNCTION("{IMPORTRANGE(""19Dum1qlL_dEwf1AEniLf02Eg9XaNXi1GMkI5M4_Ei6w"",""Round 7!C32:H36""),IMPORTRANGE(""19Dum1qlL_dEwf1AEniLf02Eg9XaNXi1GMkI5M4_Ei6w"",""Round 7!M32:R36"")}"),20.0)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1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1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1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1" t="s">
        <v>3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2" t="str">
        <f>IFERROR(__xludf.DUMMYFUNCTION("IMPORTRANGE(""19Dum1qlL_dEwf1AEniLf02Eg9XaNXi1GMkI5M4_Ei6w"",""Round 7!W1"")"),"Question: 1")</f>
        <v>Question: 1</v>
      </c>
      <c r="B29" s="3" t="s">
        <v>8</v>
      </c>
    </row>
    <row r="30">
      <c r="A30" s="2"/>
    </row>
    <row r="31">
      <c r="A31" s="1" t="s">
        <v>44</v>
      </c>
      <c r="B31" t="str">
        <f>IFERROR(__xludf.DUMMYFUNCTION("{IMPORTRANGE(""18KjuM_F6goZYnozVb7folIb5Hw_mfKQrNdVWKGx6j4s"",""Round 7!C1:H3""),IMPORTRANGE(""18KjuM_F6goZYnozVb7folIb5Hw_mfKQrNdVWKGx6j4s"",""Round 7!M1:R3"")}"),"Canyon Crest D (JV)")</f>
        <v>Canyon Crest D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IFERROR(__xludf.DUMMYFUNCTION("""COMPUTED_VALUE"""),"Rancho Bernardo (JV)")</f>
        <v>Rancho Bernardo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2" t="str">
        <f>IFERROR(__xludf.DUMMYFUNCTION("CONCAT(""A BP: "",IMPORTRANGE(""18KjuM_F6goZYnozVb7folIb5Hw_mfKQrNdVWKGx6j4s"",""Round 7!I32""))"),"A BP: 120")</f>
        <v>A BP: 120</v>
      </c>
      <c r="B32" t="str">
        <f>IFERROR(__xludf.DUMMYFUNCTION("""COMPUTED_VALUE"""),"Score: 175")</f>
        <v>Score: 175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205")</f>
        <v>Score: 205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2" t="str">
        <f>IFERROR(__xludf.DUMMYFUNCTION("CONCAT(""B BP: "",IMPORTRANGE(""18KjuM_F6goZYnozVb7folIb5Hw_mfKQrNdVWKGx6j4s"",""Round 7!S32""))"),"B BP: 110")</f>
        <v>B BP: 110</v>
      </c>
      <c r="B33" t="str">
        <f>IFERROR(__xludf.DUMMYFUNCTION("""COMPUTED_VALUE"""),"Tompson Hsu (12)")</f>
        <v>Tompson Hsu (12)</v>
      </c>
      <c r="C33" t="str">
        <f>IFERROR(__xludf.DUMMYFUNCTION("""COMPUTED_VALUE"""),"Demitrius Hong (12)")</f>
        <v>Demitrius Hong (12)</v>
      </c>
      <c r="D33" t="str">
        <f>IFERROR(__xludf.DUMMYFUNCTION("""COMPUTED_VALUE"""),"Kyle Lu (12)")</f>
        <v>Kyle Lu (12)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IFERROR(__xludf.DUMMYFUNCTION("""COMPUTED_VALUE"""),"Sandy Tran (12)")</f>
        <v>Sandy Tran (12)</v>
      </c>
      <c r="I33" t="str">
        <f>IFERROR(__xludf.DUMMYFUNCTION("""COMPUTED_VALUE"""),"Patrick Joyce (11)")</f>
        <v>Patrick Joyce (11)</v>
      </c>
      <c r="J33" t="str">
        <f>IFERROR(__xludf.DUMMYFUNCTION("""COMPUTED_VALUE"""),"Katheryn Garrett (11)")</f>
        <v>Katheryn Garrett (11)</v>
      </c>
      <c r="K33" t="str">
        <f>IFERROR(__xludf.DUMMYFUNCTION("""COMPUTED_VALUE"""),"YungYi Sun (12)")</f>
        <v>YungYi Sun (12)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1" t="s">
        <v>2</v>
      </c>
      <c r="B34">
        <f>IFERROR(__xludf.DUMMYFUNCTION("{IMPORTRANGE(""18KjuM_F6goZYnozVb7folIb5Hw_mfKQrNdVWKGx6j4s"",""Round 7!C32:H36""),IMPORTRANGE(""18KjuM_F6goZYnozVb7folIb5Hw_mfKQrNdVWKGx6j4s"",""Round 7!M32:R36"")}"),20.0)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1">
        <v>15.0</v>
      </c>
      <c r="B35">
        <f>IFERROR(__xludf.DUMMYFUNCTION("""COMPUTED_VALUE"""),1.0)</f>
        <v>1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IFERROR(__xludf.DUMMYFUNCTION("""COMPUTED_VALUE"""),1.0)</f>
        <v>1</v>
      </c>
      <c r="I35">
        <f>IFERROR(__xludf.DUMMYFUNCTION("""COMPUTED_VALUE"""),0.0)</f>
        <v>0</v>
      </c>
      <c r="J35">
        <f>IFERROR(__xludf.DUMMYFUNCTION("""COMPUTED_VALUE"""),0.0)</f>
        <v>0</v>
      </c>
      <c r="K35">
        <f>IFERROR(__xludf.DUMMYFUNCTION("""COMPUTED_VALUE"""),1.0)</f>
        <v>1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1">
        <v>10.0</v>
      </c>
      <c r="B36">
        <f>IFERROR(__xludf.DUMMYFUNCTION("""COMPUTED_VALUE"""),3.0)</f>
        <v>3</v>
      </c>
      <c r="C36">
        <f>IFERROR(__xludf.DUMMYFUNCTION("""COMPUTED_VALUE"""),1.0)</f>
        <v>1</v>
      </c>
      <c r="D36">
        <f>IFERROR(__xludf.DUMMYFUNCTION("""COMPUTED_VALUE"""),2.0)</f>
        <v>2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IFERROR(__xludf.DUMMYFUNCTION("""COMPUTED_VALUE"""),4.0)</f>
        <v>4</v>
      </c>
      <c r="I36">
        <f>IFERROR(__xludf.DUMMYFUNCTION("""COMPUTED_VALUE"""),1.0)</f>
        <v>1</v>
      </c>
      <c r="J36">
        <f>IFERROR(__xludf.DUMMYFUNCTION("""COMPUTED_VALUE"""),0.0)</f>
        <v>0</v>
      </c>
      <c r="K36">
        <f>IFERROR(__xludf.DUMMYFUNCTION("""COMPUTED_VALUE"""),2.0)</f>
        <v>2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1">
        <v>-5.0</v>
      </c>
      <c r="B37">
        <f>IFERROR(__xludf.DUMMYFUNCTION("""COMPUTED_VALUE"""),1.0)</f>
        <v>1</v>
      </c>
      <c r="C37">
        <f>IFERROR(__xludf.DUMMYFUNCTION("""COMPUTED_VALUE"""),3.0)</f>
        <v>3</v>
      </c>
      <c r="D37">
        <f>IFERROR(__xludf.DUMMYFUNCTION("""COMPUTED_VALUE"""),0.0)</f>
        <v>0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IFERROR(__xludf.DUMMYFUNCTION("""COMPUTED_VALUE"""),1.0)</f>
        <v>1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1" t="s">
        <v>3</v>
      </c>
      <c r="B38">
        <f>IFERROR(__xludf.DUMMYFUNCTION("""COMPUTED_VALUE"""),40.0)</f>
        <v>40</v>
      </c>
      <c r="C38">
        <f>IFERROR(__xludf.DUMMYFUNCTION("""COMPUTED_VALUE"""),-5.0)</f>
        <v>-5</v>
      </c>
      <c r="D38">
        <f>IFERROR(__xludf.DUMMYFUNCTION("""COMPUTED_VALUE"""),20.0)</f>
        <v>20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IFERROR(__xludf.DUMMYFUNCTION("""COMPUTED_VALUE"""),50.0)</f>
        <v>50</v>
      </c>
      <c r="I38">
        <f>IFERROR(__xludf.DUMMYFUNCTION("""COMPUTED_VALUE"""),10.0)</f>
        <v>10</v>
      </c>
      <c r="J38">
        <f>IFERROR(__xludf.DUMMYFUNCTION("""COMPUTED_VALUE"""),0.0)</f>
        <v>0</v>
      </c>
      <c r="K38">
        <f>IFERROR(__xludf.DUMMYFUNCTION("""COMPUTED_VALUE"""),35.0)</f>
        <v>35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2" t="str">
        <f>IFERROR(__xludf.DUMMYFUNCTION("IMPORTRANGE(""18KjuM_F6goZYnozVb7folIb5Hw_mfKQrNdVWKGx6j4s"",""Round 7!W1"")"),"Question: 21")</f>
        <v>Question: 21</v>
      </c>
      <c r="B39" s="3" t="s">
        <v>10</v>
      </c>
    </row>
    <row r="40">
      <c r="A40" s="2"/>
    </row>
    <row r="41">
      <c r="A41" s="1" t="s">
        <v>12</v>
      </c>
      <c r="B41" t="str">
        <f>IFERROR(__xludf.DUMMYFUNCTION("{IMPORTRANGE(""1_YEY20HiFjspjicPICCMlL_lQXsksdB6d3m5vzHwuOI"",""Round 7!C1:H3""),IMPORTRANGE(""1_YEY20HiFjspjicPICCMlL_lQXsksdB6d3m5vzHwuOI"",""Round 7!M1:R3"")}"),"Westview C (JV)")</f>
        <v>Westview C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IFERROR(__xludf.DUMMYFUNCTION("""COMPUTED_VALUE"""),"Oak Valley A (JV)")</f>
        <v>Oak Valley A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2" t="str">
        <f>IFERROR(__xludf.DUMMYFUNCTION("CONCAT(""A BP: "",IMPORTRANGE(""1_YEY20HiFjspjicPICCMlL_lQXsksdB6d3m5vzHwuOI"",""Round 7!I32""))"),"A BP: 90")</f>
        <v>A BP: 90</v>
      </c>
      <c r="B42" t="str">
        <f>IFERROR(__xludf.DUMMYFUNCTION("""COMPUTED_VALUE"""),"Score: 150")</f>
        <v>Score: 150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280")</f>
        <v>Score: 280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2" t="str">
        <f>IFERROR(__xludf.DUMMYFUNCTION("CONCAT(""B BP: "",IMPORTRANGE(""1_YEY20HiFjspjicPICCMlL_lQXsksdB6d3m5vzHwuOI"",""Round 7!S32""))"),"B BP: 180")</f>
        <v>B BP: 180</v>
      </c>
      <c r="B43" t="str">
        <f>IFERROR(__xludf.DUMMYFUNCTION("""COMPUTED_VALUE"""),"Rohan Kumar (11)")</f>
        <v>Rohan Kumar (11)</v>
      </c>
      <c r="C43" t="str">
        <f>IFERROR(__xludf.DUMMYFUNCTION("""COMPUTED_VALUE"""),"Aiken Wang (9)")</f>
        <v>Aiken Wang (9)</v>
      </c>
      <c r="D43" t="str">
        <f>IFERROR(__xludf.DUMMYFUNCTION("""COMPUTED_VALUE"""),"Radhika Sreelal (10)")</f>
        <v>Radhika Sreelal (10)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IFERROR(__xludf.DUMMYFUNCTION("""COMPUTED_VALUE"""),"Conner Feng (8)")</f>
        <v>Conner Feng (8)</v>
      </c>
      <c r="I43" t="str">
        <f>IFERROR(__xludf.DUMMYFUNCTION("""COMPUTED_VALUE"""),"Raunak Mondal (7)")</f>
        <v>Raunak Mondal (7)</v>
      </c>
      <c r="J43" t="str">
        <f>IFERROR(__xludf.DUMMYFUNCTION("""COMPUTED_VALUE"""),"Jadon Pandian (7)")</f>
        <v>Jadon Pandian (7)</v>
      </c>
      <c r="K43" t="str">
        <f>IFERROR(__xludf.DUMMYFUNCTION("""COMPUTED_VALUE"""),"Jonas Brown (7)")</f>
        <v>Jonas Brown (7)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1" t="s">
        <v>2</v>
      </c>
      <c r="B44">
        <f>IFERROR(__xludf.DUMMYFUNCTION("{IMPORTRANGE(""1_YEY20HiFjspjicPICCMlL_lQXsksdB6d3m5vzHwuOI"",""Round 7!C32:H36""),IMPORTRANGE(""1_YEY20HiFjspjicPICCMlL_lQXsksdB6d3m5vzHwuOI"",""Round 7!M32:R36"")}"),20.0)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1">
        <v>15.0</v>
      </c>
      <c r="B45">
        <f>IFERROR(__xludf.DUMMYFUNCTION("""COMPUTED_VALUE"""),0.0)</f>
        <v>0</v>
      </c>
      <c r="C45">
        <f>IFERROR(__xludf.DUMMYFUNCTION("""COMPUTED_VALUE"""),0.0)</f>
        <v>0</v>
      </c>
      <c r="D45">
        <f>IFERROR(__xludf.DUMMYFUNCTION("""COMPUTED_VALUE"""),1.0)</f>
        <v>1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IFERROR(__xludf.DUMMYFUNCTION("""COMPUTED_VALUE"""),2.0)</f>
        <v>2</v>
      </c>
      <c r="I45">
        <f>IFERROR(__xludf.DUMMYFUNCTION("""COMPUTED_VALUE"""),0.0)</f>
        <v>0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1">
        <v>10.0</v>
      </c>
      <c r="B46">
        <f>IFERROR(__xludf.DUMMYFUNCTION("""COMPUTED_VALUE"""),3.0)</f>
        <v>3</v>
      </c>
      <c r="C46">
        <f>IFERROR(__xludf.DUMMYFUNCTION("""COMPUTED_VALUE"""),2.0)</f>
        <v>2</v>
      </c>
      <c r="D46">
        <f>IFERROR(__xludf.DUMMYFUNCTION("""COMPUTED_VALUE"""),1.0)</f>
        <v>1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IFERROR(__xludf.DUMMYFUNCTION("""COMPUTED_VALUE"""),7.0)</f>
        <v>7</v>
      </c>
      <c r="I46">
        <f>IFERROR(__xludf.DUMMYFUNCTION("""COMPUTED_VALUE"""),0.0)</f>
        <v>0</v>
      </c>
      <c r="J46">
        <f>IFERROR(__xludf.DUMMYFUNCTION("""COMPUTED_VALUE"""),0.0)</f>
        <v>0</v>
      </c>
      <c r="K46">
        <f>IFERROR(__xludf.DUMMYFUNCTION("""COMPUTED_VALUE"""),1.0)</f>
        <v>1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1">
        <v>-5.0</v>
      </c>
      <c r="B47">
        <f>IFERROR(__xludf.DUMMYFUNCTION("""COMPUTED_VALUE"""),1.0)</f>
        <v>1</v>
      </c>
      <c r="C47">
        <f>IFERROR(__xludf.DUMMYFUNCTION("""COMPUTED_VALUE"""),0.0)</f>
        <v>0</v>
      </c>
      <c r="D47">
        <f>IFERROR(__xludf.DUMMYFUNCTION("""COMPUTED_VALUE"""),2.0)</f>
        <v>2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IFERROR(__xludf.DUMMYFUNCTION("""COMPUTED_VALUE"""),1.0)</f>
        <v>1</v>
      </c>
      <c r="I47">
        <f>IFERROR(__xludf.DUMMYFUNCTION("""COMPUTED_VALUE"""),1.0)</f>
        <v>1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1" t="s">
        <v>3</v>
      </c>
      <c r="B48">
        <f>IFERROR(__xludf.DUMMYFUNCTION("""COMPUTED_VALUE"""),25.0)</f>
        <v>25</v>
      </c>
      <c r="C48">
        <f>IFERROR(__xludf.DUMMYFUNCTION("""COMPUTED_VALUE"""),20.0)</f>
        <v>20</v>
      </c>
      <c r="D48">
        <f>IFERROR(__xludf.DUMMYFUNCTION("""COMPUTED_VALUE"""),15.0)</f>
        <v>15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IFERROR(__xludf.DUMMYFUNCTION("""COMPUTED_VALUE"""),95.0)</f>
        <v>95</v>
      </c>
      <c r="I48">
        <f>IFERROR(__xludf.DUMMYFUNCTION("""COMPUTED_VALUE"""),-5.0)</f>
        <v>-5</v>
      </c>
      <c r="J48">
        <f>IFERROR(__xludf.DUMMYFUNCTION("""COMPUTED_VALUE"""),0.0)</f>
        <v>0</v>
      </c>
      <c r="K48">
        <f>IFERROR(__xludf.DUMMYFUNCTION("""COMPUTED_VALUE"""),10.0)</f>
        <v>10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2" t="str">
        <f>IFERROR(__xludf.DUMMYFUNCTION("IMPORTRANGE(""1_YEY20HiFjspjicPICCMlL_lQXsksdB6d3m5vzHwuOI"",""Round 7!W1"")"),"Question: 21")</f>
        <v>Question: 21</v>
      </c>
      <c r="B49" s="3" t="s">
        <v>13</v>
      </c>
    </row>
    <row r="50">
      <c r="A50" s="2"/>
    </row>
    <row r="51">
      <c r="A51" s="1" t="s">
        <v>15</v>
      </c>
      <c r="B51" t="str">
        <f>IFERROR(__xludf.DUMMYFUNCTION("{IMPORTRANGE(""1SYS5Ef48991ZUgqcGqj51eX2YgqKCzfrEZ_pUY01Lwo"",""Round 7!C1:H3""),IMPORTRANGE(""1SYS5Ef48991ZUgqcGqj51eX2YgqKCzfrEZ_pUY01Lwo"",""Round 7!M1:R3"")}"),"Oak Valley C (JV)")</f>
        <v>Oak Valley C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IFERROR(__xludf.DUMMYFUNCTION("""COMPUTED_VALUE"""),"Black Mountain A (JV)")</f>
        <v>Black Mountain A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2" t="str">
        <f>IFERROR(__xludf.DUMMYFUNCTION("CONCAT(""A BP: "",IMPORTRANGE(""1SYS5Ef48991ZUgqcGqj51eX2YgqKCzfrEZ_pUY01Lwo"",""Round 7!I32""))"),"A BP: 50")</f>
        <v>A BP: 50</v>
      </c>
      <c r="B52" t="str">
        <f>IFERROR(__xludf.DUMMYFUNCTION("""COMPUTED_VALUE"""),"Score: 90")</f>
        <v>Score: 90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210")</f>
        <v>Score: 210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2" t="str">
        <f>IFERROR(__xludf.DUMMYFUNCTION("CONCAT(""B BP: "",IMPORTRANGE(""1SYS5Ef48991ZUgqcGqj51eX2YgqKCzfrEZ_pUY01Lwo"",""Round 7!S32""))"),"B BP: 130")</f>
        <v>B BP: 130</v>
      </c>
      <c r="B53" t="str">
        <f>IFERROR(__xludf.DUMMYFUNCTION("""COMPUTED_VALUE"""),"Chinmay Ramamurthy (7)")</f>
        <v>Chinmay Ramamurthy (7)</v>
      </c>
      <c r="C53" t="str">
        <f>IFERROR(__xludf.DUMMYFUNCTION("""COMPUTED_VALUE"""),"Tay Kim (7)")</f>
        <v>Tay Kim (7)</v>
      </c>
      <c r="D53" t="str">
        <f>IFERROR(__xludf.DUMMYFUNCTION("""COMPUTED_VALUE"""),"Saanvi Agarwal (6)")</f>
        <v>Saanvi Agarwal (6)</v>
      </c>
      <c r="E53" t="str">
        <f>IFERROR(__xludf.DUMMYFUNCTION("""COMPUTED_VALUE"""),"Sarah Feng (6)")</f>
        <v>Sarah Feng (6)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IFERROR(__xludf.DUMMYFUNCTION("""COMPUTED_VALUE"""),"Adarsh Venkateswaran (8)")</f>
        <v>Adarsh Venkateswaran (8)</v>
      </c>
      <c r="I53" t="str">
        <f>IFERROR(__xludf.DUMMYFUNCTION("""COMPUTED_VALUE"""),"Anvit Watwani (7)")</f>
        <v>Anvit Watwani (7)</v>
      </c>
      <c r="J53" t="str">
        <f>IFERROR(__xludf.DUMMYFUNCTION("""COMPUTED_VALUE"""),"Tanvi Bhide (7)")</f>
        <v>Tanvi Bhide (7)</v>
      </c>
      <c r="K53" t="str">
        <f>IFERROR(__xludf.DUMMYFUNCTION("""COMPUTED_VALUE"""),"Edwin Chang (8)")</f>
        <v>Edwin Chang (8)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1" t="s">
        <v>2</v>
      </c>
      <c r="B54">
        <f>IFERROR(__xludf.DUMMYFUNCTION("{IMPORTRANGE(""1SYS5Ef48991ZUgqcGqj51eX2YgqKCzfrEZ_pUY01Lwo"",""Round 7!C32:H36""),IMPORTRANGE(""1SYS5Ef48991ZUgqcGqj51eX2YgqKCzfrEZ_pUY01Lwo"",""Round 7!M32:R36"")}"),20.0)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1">
        <v>15.0</v>
      </c>
      <c r="B55">
        <f>IFERROR(__xludf.DUMMYFUNCTION("""COMPUTED_VALUE"""),0.0)</f>
        <v>0</v>
      </c>
      <c r="C55">
        <f>IFERROR(__xludf.DUMMYFUNCTION("""COMPUTED_VALUE"""),0.0)</f>
        <v>0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IFERROR(__xludf.DUMMYFUNCTION("""COMPUTED_VALUE"""),0.0)</f>
        <v>0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1">
        <v>10.0</v>
      </c>
      <c r="B56">
        <f>IFERROR(__xludf.DUMMYFUNCTION("""COMPUTED_VALUE"""),3.0)</f>
        <v>3</v>
      </c>
      <c r="C56">
        <f>IFERROR(__xludf.DUMMYFUNCTION("""COMPUTED_VALUE"""),1.0)</f>
        <v>1</v>
      </c>
      <c r="D56">
        <f>IFERROR(__xludf.DUMMYFUNCTION("""COMPUTED_VALUE"""),0.0)</f>
        <v>0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IFERROR(__xludf.DUMMYFUNCTION("""COMPUTED_VALUE"""),3.0)</f>
        <v>3</v>
      </c>
      <c r="I56">
        <f>IFERROR(__xludf.DUMMYFUNCTION("""COMPUTED_VALUE"""),6.0)</f>
        <v>6</v>
      </c>
      <c r="J56">
        <f>IFERROR(__xludf.DUMMYFUNCTION("""COMPUTED_VALUE"""),0.0)</f>
        <v>0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1">
        <v>-5.0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IFERROR(__xludf.DUMMYFUNCTION("""COMPUTED_VALUE"""),1.0)</f>
        <v>1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IFERROR(__xludf.DUMMYFUNCTION("""COMPUTED_VALUE"""),1.0)</f>
        <v>1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1" t="s">
        <v>3</v>
      </c>
      <c r="B58">
        <f>IFERROR(__xludf.DUMMYFUNCTION("""COMPUTED_VALUE"""),30.0)</f>
        <v>30</v>
      </c>
      <c r="C58">
        <f>IFERROR(__xludf.DUMMYFUNCTION("""COMPUTED_VALUE"""),10.0)</f>
        <v>10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IFERROR(__xludf.DUMMYFUNCTION("""COMPUTED_VALUE"""),25.0)</f>
        <v>25</v>
      </c>
      <c r="I58">
        <f>IFERROR(__xludf.DUMMYFUNCTION("""COMPUTED_VALUE"""),60.0)</f>
        <v>60</v>
      </c>
      <c r="J58">
        <f>IFERROR(__xludf.DUMMYFUNCTION("""COMPUTED_VALUE"""),0.0)</f>
        <v>0</v>
      </c>
      <c r="K58">
        <f>IFERROR(__xludf.DUMMYFUNCTION("""COMPUTED_VALUE"""),-5.0)</f>
        <v>-5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2" t="str">
        <f>IFERROR(__xludf.DUMMYFUNCTION("IMPORTRANGE(""1SYS5Ef48991ZUgqcGqj51eX2YgqKCzfrEZ_pUY01Lwo"",""Round 7!W1"")"),"Question: 20")</f>
        <v>Question: 20</v>
      </c>
      <c r="B59" s="3" t="s">
        <v>16</v>
      </c>
    </row>
    <row r="60">
      <c r="A60" s="2"/>
    </row>
    <row r="61">
      <c r="A61" s="1" t="s">
        <v>17</v>
      </c>
      <c r="B61" t="str">
        <f>IFERROR(__xludf.DUMMYFUNCTION("{IMPORTRANGE(""1UJlRLlhI2Hg_SAQqQOg0JGdwHhiagF7EVAtCX8UOYFc"",""Round 7!C1:H3""),IMPORTRANGE(""1UJlRLlhI2Hg_SAQqQOg0JGdwHhiagF7EVAtCX8UOYFc"",""Round 7!M1:R3"")}"),"La Serna A (JV)")</f>
        <v>La Serna A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IFERROR(__xludf.DUMMYFUNCTION("""COMPUTED_VALUE"""),"Del Norte (JV)")</f>
        <v>Del Norte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2" t="str">
        <f>IFERROR(__xludf.DUMMYFUNCTION("CONCAT(""A BP: "",IMPORTRANGE(""1UJlRLlhI2Hg_SAQqQOg0JGdwHhiagF7EVAtCX8UOYFc"",""Round 7!I32""))"),"A BP: 150")</f>
        <v>A BP: 150</v>
      </c>
      <c r="B62" t="str">
        <f>IFERROR(__xludf.DUMMYFUNCTION("""COMPUTED_VALUE"""),"Score: 255")</f>
        <v>Score: 255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190")</f>
        <v>Score: 190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2" t="str">
        <f>IFERROR(__xludf.DUMMYFUNCTION("CONCAT(""B BP: "",IMPORTRANGE(""1UJlRLlhI2Hg_SAQqQOg0JGdwHhiagF7EVAtCX8UOYFc"",""Round 7!S32""))"),"B BP: 120")</f>
        <v>B BP: 120</v>
      </c>
      <c r="B63" t="str">
        <f>IFERROR(__xludf.DUMMYFUNCTION("""COMPUTED_VALUE"""),"Cole Aedo (12)")</f>
        <v>Cole Aedo (12)</v>
      </c>
      <c r="C63" t="str">
        <f>IFERROR(__xludf.DUMMYFUNCTION("""COMPUTED_VALUE"""),"Jay Gamez (12)")</f>
        <v>Jay Gamez (12)</v>
      </c>
      <c r="D63" t="str">
        <f>IFERROR(__xludf.DUMMYFUNCTION("""COMPUTED_VALUE"""),"Ian Brennan (12)")</f>
        <v>Ian Brennan (12)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IFERROR(__xludf.DUMMYFUNCTION("""COMPUTED_VALUE"""),"Kyle Nagasawa (11)")</f>
        <v>Kyle Nagasawa (11)</v>
      </c>
      <c r="I63" t="str">
        <f>IFERROR(__xludf.DUMMYFUNCTION("""COMPUTED_VALUE"""),"Kinish Sathish (9)")</f>
        <v>Kinish Sathish (9)</v>
      </c>
      <c r="J63" t="str">
        <f>IFERROR(__xludf.DUMMYFUNCTION("""COMPUTED_VALUE"""),"Player 3")</f>
        <v>Player 3</v>
      </c>
      <c r="K63" t="str">
        <f>IFERROR(__xludf.DUMMYFUNCTION("""COMPUTED_VALUE"""),"Player 4")</f>
        <v>Player 4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1" t="s">
        <v>2</v>
      </c>
      <c r="B64">
        <f>IFERROR(__xludf.DUMMYFUNCTION("{IMPORTRANGE(""1UJlRLlhI2Hg_SAQqQOg0JGdwHhiagF7EVAtCX8UOYFc"",""Round 7!C32:H36""),IMPORTRANGE(""1UJlRLlhI2Hg_SAQqQOg0JGdwHhiagF7EVAtCX8UOYFc"",""Round 7!M32:R36"")}"),20.0)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1">
        <v>15.0</v>
      </c>
      <c r="B65">
        <f>IFERROR(__xludf.DUMMYFUNCTION("""COMPUTED_VALUE"""),2.0)</f>
        <v>2</v>
      </c>
      <c r="C65">
        <f>IFERROR(__xludf.DUMMYFUNCTION("""COMPUTED_VALUE"""),1.0)</f>
        <v>1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IFERROR(__xludf.DUMMYFUNCTION("""COMPUTED_VALUE"""),2.0)</f>
        <v>2</v>
      </c>
      <c r="I65">
        <f>IFERROR(__xludf.DUMMYFUNCTION("""COMPUTED_VALUE"""),0.0)</f>
        <v>0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1">
        <v>10.0</v>
      </c>
      <c r="B66">
        <f>IFERROR(__xludf.DUMMYFUNCTION("""COMPUTED_VALUE"""),2.0)</f>
        <v>2</v>
      </c>
      <c r="C66">
        <f>IFERROR(__xludf.DUMMYFUNCTION("""COMPUTED_VALUE"""),2.0)</f>
        <v>2</v>
      </c>
      <c r="D66">
        <f>IFERROR(__xludf.DUMMYFUNCTION("""COMPUTED_VALUE"""),2.0)</f>
        <v>2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IFERROR(__xludf.DUMMYFUNCTION("""COMPUTED_VALUE"""),0.0)</f>
        <v>0</v>
      </c>
      <c r="I66">
        <f>IFERROR(__xludf.DUMMYFUNCTION("""COMPUTED_VALUE"""),5.0)</f>
        <v>5</v>
      </c>
      <c r="J66">
        <f>IFERROR(__xludf.DUMMYFUNCTION("""COMPUTED_VALUE"""),0.0)</f>
        <v>0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1">
        <v>-5.0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IFERROR(__xludf.DUMMYFUNCTION("""COMPUTED_VALUE"""),2.0)</f>
        <v>2</v>
      </c>
      <c r="I67">
        <f>IFERROR(__xludf.DUMMYFUNCTION("""COMPUTED_VALUE"""),0.0)</f>
        <v>0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1" t="s">
        <v>3</v>
      </c>
      <c r="B68">
        <f>IFERROR(__xludf.DUMMYFUNCTION("""COMPUTED_VALUE"""),50.0)</f>
        <v>50</v>
      </c>
      <c r="C68">
        <f>IFERROR(__xludf.DUMMYFUNCTION("""COMPUTED_VALUE"""),35.0)</f>
        <v>35</v>
      </c>
      <c r="D68">
        <f>IFERROR(__xludf.DUMMYFUNCTION("""COMPUTED_VALUE"""),20.0)</f>
        <v>20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IFERROR(__xludf.DUMMYFUNCTION("""COMPUTED_VALUE"""),20.0)</f>
        <v>20</v>
      </c>
      <c r="I68">
        <f>IFERROR(__xludf.DUMMYFUNCTION("""COMPUTED_VALUE"""),50.0)</f>
        <v>50</v>
      </c>
      <c r="J68">
        <f>IFERROR(__xludf.DUMMYFUNCTION("""COMPUTED_VALUE"""),0.0)</f>
        <v>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2" t="str">
        <f>IFERROR(__xludf.DUMMYFUNCTION("IMPORTRANGE(""1UJlRLlhI2Hg_SAQqQOg0JGdwHhiagF7EVAtCX8UOYFc"",""Round 7!W1"")"),"Question: 21")</f>
        <v>Question: 21</v>
      </c>
      <c r="B69" s="3" t="s">
        <v>19</v>
      </c>
    </row>
    <row r="70">
      <c r="A70" s="2"/>
    </row>
    <row r="71">
      <c r="A71" s="1" t="s">
        <v>20</v>
      </c>
      <c r="B71" t="str">
        <f>IFERROR(__xludf.DUMMYFUNCTION("{IMPORTRANGE(""1jA96n0qbauznSt6-hkr51AslpxJqfrWgkafVtMV8_xU"",""Round 7!C1:H3""),IMPORTRANGE(""1jA96n0qbauznSt6-hkr51AslpxJqfrWgkafVtMV8_xU"",""Round 7!M1:R3"")}"),"Troy B (JV)")</f>
        <v>Troy B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IFERROR(__xludf.DUMMYFUNCTION("""COMPUTED_VALUE"""),"Oak Valley B (JV)")</f>
        <v>Oak Valley B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2" t="str">
        <f>IFERROR(__xludf.DUMMYFUNCTION("CONCAT(""A BP: "",IMPORTRANGE(""1jA96n0qbauznSt6-hkr51AslpxJqfrWgkafVtMV8_xU"",""Round 7!I32""))"),"A BP: 80")</f>
        <v>A BP: 80</v>
      </c>
      <c r="B72" t="str">
        <f>IFERROR(__xludf.DUMMYFUNCTION("""COMPUTED_VALUE"""),"Score: 150")</f>
        <v>Score: 150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235")</f>
        <v>Score: 235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2" t="str">
        <f>IFERROR(__xludf.DUMMYFUNCTION("CONCAT(""B BP: "",IMPORTRANGE(""1jA96n0qbauznSt6-hkr51AslpxJqfrWgkafVtMV8_xU"",""Round 7!S32""))"),"B BP: 130")</f>
        <v>B BP: 130</v>
      </c>
      <c r="B73" t="str">
        <f>IFERROR(__xludf.DUMMYFUNCTION("""COMPUTED_VALUE"""),"Ryan Salehi (11)")</f>
        <v>Ryan Salehi (11)</v>
      </c>
      <c r="C73" t="str">
        <f>IFERROR(__xludf.DUMMYFUNCTION("""COMPUTED_VALUE"""),"Luke Waldo (11)")</f>
        <v>Luke Waldo (11)</v>
      </c>
      <c r="D73" t="str">
        <f>IFERROR(__xludf.DUMMYFUNCTION("""COMPUTED_VALUE"""),"Juan Manalo (11)")</f>
        <v>Juan Manalo (11)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IFERROR(__xludf.DUMMYFUNCTION("""COMPUTED_VALUE"""),"Rohan Gaikwad (8)")</f>
        <v>Rohan Gaikwad (8)</v>
      </c>
      <c r="I73" t="str">
        <f>IFERROR(__xludf.DUMMYFUNCTION("""COMPUTED_VALUE"""),"John Bruvold (8)")</f>
        <v>John Bruvold (8)</v>
      </c>
      <c r="J73" t="str">
        <f>IFERROR(__xludf.DUMMYFUNCTION("""COMPUTED_VALUE"""),"Amina Aslam-Mir (7)")</f>
        <v>Amina Aslam-Mir (7)</v>
      </c>
      <c r="K73" t="str">
        <f>IFERROR(__xludf.DUMMYFUNCTION("""COMPUTED_VALUE"""),"Ethan Huang (7)")</f>
        <v>Ethan Huang (7)</v>
      </c>
      <c r="L73" t="str">
        <f>IFERROR(__xludf.DUMMYFUNCTION("""COMPUTED_VALUE"""),"Aditi Bandaru (7)")</f>
        <v>Aditi Bandaru (7)</v>
      </c>
      <c r="M73" t="str">
        <f>IFERROR(__xludf.DUMMYFUNCTION("""COMPUTED_VALUE"""),"Player 6")</f>
        <v>Player 6</v>
      </c>
    </row>
    <row r="74">
      <c r="A74" s="1" t="s">
        <v>2</v>
      </c>
      <c r="B74">
        <f>IFERROR(__xludf.DUMMYFUNCTION("{IMPORTRANGE(""1jA96n0qbauznSt6-hkr51AslpxJqfrWgkafVtMV8_xU"",""Round 7!C32:H36""),IMPORTRANGE(""1jA96n0qbauznSt6-hkr51AslpxJqfrWgkafVtMV8_xU"",""Round 7!M32:R36"")}"),20.0)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IFERROR(__xludf.DUMMYFUNCTION("""COMPUTED_VALUE"""),10.0)</f>
        <v>10</v>
      </c>
      <c r="L74">
        <f>IFERROR(__xludf.DUMMYFUNCTION("""COMPUTED_VALUE"""),10.0)</f>
        <v>10</v>
      </c>
      <c r="M74" t="str">
        <f>IFERROR(__xludf.DUMMYFUNCTION("""COMPUTED_VALUE"""),"")</f>
        <v/>
      </c>
    </row>
    <row r="75">
      <c r="A75" s="1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IFERROR(__xludf.DUMMYFUNCTION("""COMPUTED_VALUE"""),2.0)</f>
        <v>2</v>
      </c>
      <c r="I75">
        <f>IFERROR(__xludf.DUMMYFUNCTION("""COMPUTED_VALUE"""),0.0)</f>
        <v>0</v>
      </c>
      <c r="J75">
        <f>IFERROR(__xludf.DUMMYFUNCTION("""COMPUTED_VALUE"""),1.0)</f>
        <v>1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1">
        <v>10.0</v>
      </c>
      <c r="B76">
        <f>IFERROR(__xludf.DUMMYFUNCTION("""COMPUTED_VALUE"""),4.0)</f>
        <v>4</v>
      </c>
      <c r="C76">
        <f>IFERROR(__xludf.DUMMYFUNCTION("""COMPUTED_VALUE"""),2.0)</f>
        <v>2</v>
      </c>
      <c r="D76">
        <f>IFERROR(__xludf.DUMMYFUNCTION("""COMPUTED_VALUE"""),2.0)</f>
        <v>2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IFERROR(__xludf.DUMMYFUNCTION("""COMPUTED_VALUE"""),6.0)</f>
        <v>6</v>
      </c>
      <c r="I76">
        <f>IFERROR(__xludf.DUMMYFUNCTION("""COMPUTED_VALUE"""),0.0)</f>
        <v>0</v>
      </c>
      <c r="J76">
        <f>IFERROR(__xludf.DUMMYFUNCTION("""COMPUTED_VALUE"""),0.0)</f>
        <v>0</v>
      </c>
      <c r="K76">
        <f>IFERROR(__xludf.DUMMYFUNCTION("""COMPUTED_VALUE"""),0.0)</f>
        <v>0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1">
        <v>-5.0</v>
      </c>
      <c r="B77">
        <f>IFERROR(__xludf.DUMMYFUNCTION("""COMPUTED_VALUE"""),0.0)</f>
        <v>0</v>
      </c>
      <c r="C77">
        <f>IFERROR(__xludf.DUMMYFUNCTION("""COMPUTED_VALUE"""),0.0)</f>
        <v>0</v>
      </c>
      <c r="D77">
        <f>IFERROR(__xludf.DUMMYFUNCTION("""COMPUTED_VALUE"""),2.0)</f>
        <v>2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1" t="s">
        <v>3</v>
      </c>
      <c r="B78">
        <f>IFERROR(__xludf.DUMMYFUNCTION("""COMPUTED_VALUE"""),40.0)</f>
        <v>40</v>
      </c>
      <c r="C78">
        <f>IFERROR(__xludf.DUMMYFUNCTION("""COMPUTED_VALUE"""),20.0)</f>
        <v>20</v>
      </c>
      <c r="D78">
        <f>IFERROR(__xludf.DUMMYFUNCTION("""COMPUTED_VALUE"""),10.0)</f>
        <v>10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IFERROR(__xludf.DUMMYFUNCTION("""COMPUTED_VALUE"""),90.0)</f>
        <v>90</v>
      </c>
      <c r="I78">
        <f>IFERROR(__xludf.DUMMYFUNCTION("""COMPUTED_VALUE"""),0.0)</f>
        <v>0</v>
      </c>
      <c r="J78">
        <f>IFERROR(__xludf.DUMMYFUNCTION("""COMPUTED_VALUE"""),15.0)</f>
        <v>15</v>
      </c>
      <c r="K78">
        <f>IFERROR(__xludf.DUMMYFUNCTION("""COMPUTED_VALUE"""),0.0)</f>
        <v>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2" t="str">
        <f>IFERROR(__xludf.DUMMYFUNCTION("IMPORTRANGE(""1jA96n0qbauznSt6-hkr51AslpxJqfrWgkafVtMV8_xU"",""Round 7!W1"")"),"Question: 21")</f>
        <v>Question: 21</v>
      </c>
      <c r="B79" s="3" t="s">
        <v>22</v>
      </c>
    </row>
    <row r="80">
      <c r="A80" s="2"/>
    </row>
    <row r="81">
      <c r="A81" s="1" t="s">
        <v>23</v>
      </c>
      <c r="B81" t="str">
        <f>IFERROR(__xludf.DUMMYFUNCTION("{IMPORTRANGE(""1xw1EOjVhrK1PNJfOYiUsuJNrlpV53SmfJxYsFFolQ3s"",""Round 7!C1:H3""),IMPORTRANGE(""1xw1EOjVhrK1PNJfOYiUsuJNrlpV53SmfJxYsFFolQ3s"",""Round 7!M1:R3"")}"),"Valley Center (JV)")</f>
        <v>Valley Center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IFERROR(__xludf.DUMMYFUNCTION("""COMPUTED_VALUE"""),"Black Mountain B (JV)")</f>
        <v>Black Mountain B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2" t="str">
        <f>IFERROR(__xludf.DUMMYFUNCTION("CONCAT(""A BP: "",IMPORTRANGE(""1xw1EOjVhrK1PNJfOYiUsuJNrlpV53SmfJxYsFFolQ3s"",""Round 7!I32""))"),"A BP: 100")</f>
        <v>A BP: 100</v>
      </c>
      <c r="B82" t="str">
        <f>IFERROR(__xludf.DUMMYFUNCTION("""COMPUTED_VALUE"""),"Score: 180")</f>
        <v>Score: 180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160")</f>
        <v>Score: 160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2" t="str">
        <f>IFERROR(__xludf.DUMMYFUNCTION("CONCAT(""B BP: "",IMPORTRANGE(""1xw1EOjVhrK1PNJfOYiUsuJNrlpV53SmfJxYsFFolQ3s"",""Round 7!S32""))"),"B BP: 80")</f>
        <v>B BP: 80</v>
      </c>
      <c r="B83" t="str">
        <f>IFERROR(__xludf.DUMMYFUNCTION("""COMPUTED_VALUE"""),"Aaron Martinez (11)")</f>
        <v>Aaron Martinez (11)</v>
      </c>
      <c r="C83" t="str">
        <f>IFERROR(__xludf.DUMMYFUNCTION("""COMPUTED_VALUE"""),"Leon Thigh (11)")</f>
        <v>Leon Thigh (11)</v>
      </c>
      <c r="D83" t="str">
        <f>IFERROR(__xludf.DUMMYFUNCTION("""COMPUTED_VALUE"""),"Mehreen Sing (12)")</f>
        <v>Mehreen Sing (12)</v>
      </c>
      <c r="E83" t="str">
        <f>IFERROR(__xludf.DUMMYFUNCTION("""COMPUTED_VALUE"""),"Ava Downey (12)")</f>
        <v>Ava Downey (12)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IFERROR(__xludf.DUMMYFUNCTION("""COMPUTED_VALUE"""),"Raina Chatterjee (7)")</f>
        <v>Raina Chatterjee (7)</v>
      </c>
      <c r="I83" t="str">
        <f>IFERROR(__xludf.DUMMYFUNCTION("""COMPUTED_VALUE"""),"Pranay Kulkarni (7)")</f>
        <v>Pranay Kulkarni (7)</v>
      </c>
      <c r="J83" t="str">
        <f>IFERROR(__xludf.DUMMYFUNCTION("""COMPUTED_VALUE"""),"Lauren Yung (8)")</f>
        <v>Lauren Yung (8)</v>
      </c>
      <c r="K83" t="str">
        <f>IFERROR(__xludf.DUMMYFUNCTION("""COMPUTED_VALUE"""),"Anay Sabhnani (7)")</f>
        <v>Anay Sabhnani (7)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1" t="s">
        <v>2</v>
      </c>
      <c r="B84">
        <f>IFERROR(__xludf.DUMMYFUNCTION("{IMPORTRANGE(""1xw1EOjVhrK1PNJfOYiUsuJNrlpV53SmfJxYsFFolQ3s"",""Round 7!C32:H36""),IMPORTRANGE(""1xw1EOjVhrK1PNJfOYiUsuJNrlpV53SmfJxYsFFolQ3s"",""Round 7!M32:R36"")}"),20.0)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1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IFERROR(__xludf.DUMMYFUNCTION("""COMPUTED_VALUE"""),0.0)</f>
        <v>0</v>
      </c>
      <c r="J85">
        <f>IFERROR(__xludf.DUMMYFUNCTION("""COMPUTED_VALUE"""),0.0)</f>
        <v>0</v>
      </c>
      <c r="K85">
        <f>IFERROR(__xludf.DUMMYFUNCTION("""COMPUTED_VALUE"""),1.0)</f>
        <v>1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1">
        <v>10.0</v>
      </c>
      <c r="B86">
        <f>IFERROR(__xludf.DUMMYFUNCTION("""COMPUTED_VALUE"""),5.0)</f>
        <v>5</v>
      </c>
      <c r="C86">
        <f>IFERROR(__xludf.DUMMYFUNCTION("""COMPUTED_VALUE"""),0.0)</f>
        <v>0</v>
      </c>
      <c r="D86">
        <f>IFERROR(__xludf.DUMMYFUNCTION("""COMPUTED_VALUE"""),2.0)</f>
        <v>2</v>
      </c>
      <c r="E86">
        <f>IFERROR(__xludf.DUMMYFUNCTION("""COMPUTED_VALUE"""),1.0)</f>
        <v>1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IFERROR(__xludf.DUMMYFUNCTION("""COMPUTED_VALUE"""),0.0)</f>
        <v>0</v>
      </c>
      <c r="I86">
        <f>IFERROR(__xludf.DUMMYFUNCTION("""COMPUTED_VALUE"""),2.0)</f>
        <v>2</v>
      </c>
      <c r="J86">
        <f>IFERROR(__xludf.DUMMYFUNCTION("""COMPUTED_VALUE"""),1.0)</f>
        <v>1</v>
      </c>
      <c r="K86">
        <f>IFERROR(__xludf.DUMMYFUNCTION("""COMPUTED_VALUE"""),4.0)</f>
        <v>4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1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IFERROR(__xludf.DUMMYFUNCTION("""COMPUTED_VALUE"""),0.0)</f>
        <v>0</v>
      </c>
      <c r="I87">
        <f>IFERROR(__xludf.DUMMYFUNCTION("""COMPUTED_VALUE"""),0.0)</f>
        <v>0</v>
      </c>
      <c r="J87">
        <f>IFERROR(__xludf.DUMMYFUNCTION("""COMPUTED_VALUE"""),1.0)</f>
        <v>1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1" t="s">
        <v>3</v>
      </c>
      <c r="B88">
        <f>IFERROR(__xludf.DUMMYFUNCTION("""COMPUTED_VALUE"""),50.0)</f>
        <v>50</v>
      </c>
      <c r="C88">
        <f>IFERROR(__xludf.DUMMYFUNCTION("""COMPUTED_VALUE"""),0.0)</f>
        <v>0</v>
      </c>
      <c r="D88">
        <f>IFERROR(__xludf.DUMMYFUNCTION("""COMPUTED_VALUE"""),20.0)</f>
        <v>20</v>
      </c>
      <c r="E88">
        <f>IFERROR(__xludf.DUMMYFUNCTION("""COMPUTED_VALUE"""),10.0)</f>
        <v>10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IFERROR(__xludf.DUMMYFUNCTION("""COMPUTED_VALUE"""),0.0)</f>
        <v>0</v>
      </c>
      <c r="I88">
        <f>IFERROR(__xludf.DUMMYFUNCTION("""COMPUTED_VALUE"""),20.0)</f>
        <v>20</v>
      </c>
      <c r="J88">
        <f>IFERROR(__xludf.DUMMYFUNCTION("""COMPUTED_VALUE"""),5.0)</f>
        <v>5</v>
      </c>
      <c r="K88">
        <f>IFERROR(__xludf.DUMMYFUNCTION("""COMPUTED_VALUE"""),55.0)</f>
        <v>55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2" t="str">
        <f>IFERROR(__xludf.DUMMYFUNCTION("IMPORTRANGE(""1xw1EOjVhrK1PNJfOYiUsuJNrlpV53SmfJxYsFFolQ3s"",""Round 7!W1"")"),"Question: 21")</f>
        <v>Question: 21</v>
      </c>
      <c r="B89" s="3" t="s">
        <v>25</v>
      </c>
    </row>
    <row r="90">
      <c r="A90" s="2"/>
    </row>
    <row r="91">
      <c r="A91" s="1" t="s">
        <v>26</v>
      </c>
      <c r="B91" t="str">
        <f>IFERROR(__xludf.DUMMYFUNCTION("{IMPORTRANGE(""15wOrdFuJAb1a4MoX5CG4apiBD2jUJ7mBu58Uk-8Mo7s"",""Round 7!C1:H3""),IMPORTRANGE(""15wOrdFuJAb1a4MoX5CG4apiBD2jUJ7mBu58Uk-8Mo7s"",""Round 7!M1:R3"")}"),"Team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2" t="str">
        <f>IFERROR(__xludf.DUMMYFUNCTION("CONCAT(""A BP: "",IMPORTRANGE(""15wOrdFuJAb1a4MoX5CG4apiBD2jUJ7mBu58Uk-8Mo7s"",""Round 7!I32""))"),"A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2" t="str">
        <f>IFERROR(__xludf.DUMMYFUNCTION("CONCAT(""B BP: "",IMPORTRANGE(""15wOrdFuJAb1a4MoX5CG4apiBD2jUJ7mBu58Uk-8Mo7s"",""Round 7!S32""))"),"B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1" t="s">
        <v>2</v>
      </c>
      <c r="B94">
        <f>IFERROR(__xludf.DUMMYFUNCTION("{IMPORTRANGE(""15wOrdFuJAb1a4MoX5CG4apiBD2jUJ7mBu58Uk-8Mo7s"",""Round 7!C32:H36""),IMPORTRANGE(""15wOrdFuJAb1a4MoX5CG4apiBD2jUJ7mBu58Uk-8Mo7s"",""Round 7!M32:R36"")}"),20.0)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1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1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1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1" t="s">
        <v>3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2" t="str">
        <f>IFERROR(__xludf.DUMMYFUNCTION("IMPORTRANGE(""15wOrdFuJAb1a4MoX5CG4apiBD2jUJ7mBu58Uk-8Mo7s"",""Round 7!W1"")"),"Question: 1")</f>
        <v>Question: 1</v>
      </c>
      <c r="B99" s="3" t="s">
        <v>27</v>
      </c>
    </row>
    <row r="100">
      <c r="A100" s="2"/>
    </row>
    <row r="101">
      <c r="A101" s="1" t="s">
        <v>28</v>
      </c>
      <c r="B101" t="str">
        <f>IFERROR(__xludf.DUMMYFUNCTION("{IMPORTRANGE(""1GfJqS1rsy-VutTmPVnm9E2VdinIG-GnQO5b3bhaiX1s"",""Round 7!C1:H3""),IMPORTRANGE(""1GfJqS1rsy-VutTmPVnm9E2VdinIG-GnQO5b3bhaiX1s"",""Round 7!M1:R3"")}"),"Team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2" t="str">
        <f>IFERROR(__xludf.DUMMYFUNCTION("CONCAT(""A BP: "",IMPORTRANGE(""1GfJqS1rsy-VutTmPVnm9E2VdinIG-GnQO5b3bhaiX1s"",""Round 7!I32""))"),"A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2" t="str">
        <f>IFERROR(__xludf.DUMMYFUNCTION("CONCAT(""B BP: "",IMPORTRANGE(""1GfJqS1rsy-VutTmPVnm9E2VdinIG-GnQO5b3bhaiX1s"",""Round 7!S32""))"),"B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1" t="s">
        <v>2</v>
      </c>
      <c r="B104">
        <f>IFERROR(__xludf.DUMMYFUNCTION("{IMPORTRANGE(""1GfJqS1rsy-VutTmPVnm9E2VdinIG-GnQO5b3bhaiX1s"",""Round 7!C32:H36""),IMPORTRANGE(""1GfJqS1rsy-VutTmPVnm9E2VdinIG-GnQO5b3bhaiX1s"",""Round 7!M32:R36"")}"),20.0)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1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1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1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1" t="s">
        <v>3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2" t="str">
        <f>IFERROR(__xludf.DUMMYFUNCTION("IMPORTRANGE(""1GfJqS1rsy-VutTmPVnm9E2VdinIG-GnQO5b3bhaiX1s"",""Round 7!W1"")"),"Question: 1")</f>
        <v>Question: 1</v>
      </c>
      <c r="B109" s="3" t="s">
        <v>29</v>
      </c>
    </row>
    <row r="110">
      <c r="A110" s="2"/>
    </row>
    <row r="111">
      <c r="A111" s="1" t="s">
        <v>45</v>
      </c>
      <c r="B111" t="str">
        <f>IFERROR(__xludf.DUMMYFUNCTION("{IMPORTRANGE(""17CLUEFflDBSa8dyH5vsXfHme4RV8IhzD-mxe9_c9I5k"",""Round 7!C1:H3""),IMPORTRANGE(""17CLUEFflDBSa8dyH5vsXfHme4RV8IhzD-mxe9_c9I5k"",""Round 7!M1:R3"")}"),"Canyon Crest B (V)")</f>
        <v>Canyon Crest B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IFERROR(__xludf.DUMMYFUNCTION("""COMPUTED_VALUE"""),"Canyon Crest A (V)")</f>
        <v>Canyon Crest A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2" t="str">
        <f>IFERROR(__xludf.DUMMYFUNCTION("CONCAT(""A BP: "",IMPORTRANGE(""17CLUEFflDBSa8dyH5vsXfHme4RV8IhzD-mxe9_c9I5k"",""Round 7!I32""))"),"A BP: 130")</f>
        <v>A BP: 130</v>
      </c>
      <c r="B112" t="str">
        <f>IFERROR(__xludf.DUMMYFUNCTION("""COMPUTED_VALUE"""),"Score: 200")</f>
        <v>Score: 200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310")</f>
        <v>Score: 310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2" t="str">
        <f>IFERROR(__xludf.DUMMYFUNCTION("CONCAT(""B BP: "",IMPORTRANGE(""17CLUEFflDBSa8dyH5vsXfHme4RV8IhzD-mxe9_c9I5k"",""Round 7!S32""))"),"B BP: 200")</f>
        <v>B BP: 200</v>
      </c>
      <c r="B113" t="str">
        <f>IFERROR(__xludf.DUMMYFUNCTION("""COMPUTED_VALUE"""),"Shreyank Kadadi (12)")</f>
        <v>Shreyank Kadadi (12)</v>
      </c>
      <c r="C113" t="str">
        <f>IFERROR(__xludf.DUMMYFUNCTION("""COMPUTED_VALUE"""),"Jonathan Hsieh (12)")</f>
        <v>Jonathan Hsieh (12)</v>
      </c>
      <c r="D113" t="str">
        <f>IFERROR(__xludf.DUMMYFUNCTION("""COMPUTED_VALUE"""),"Kevin Luo (10)")</f>
        <v>Kevin Luo (10)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IFERROR(__xludf.DUMMYFUNCTION("""COMPUTED_VALUE"""),"Wesley Zhang (12)")</f>
        <v>Wesley Zhang (12)</v>
      </c>
      <c r="I113" t="str">
        <f>IFERROR(__xludf.DUMMYFUNCTION("""COMPUTED_VALUE"""),"Leo Gu (10)")</f>
        <v>Leo Gu (10)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1" t="s">
        <v>2</v>
      </c>
      <c r="B114">
        <f>IFERROR(__xludf.DUMMYFUNCTION("{IMPORTRANGE(""17CLUEFflDBSa8dyH5vsXfHme4RV8IhzD-mxe9_c9I5k"",""Round 7!C32:H36""),IMPORTRANGE(""17CLUEFflDBSa8dyH5vsXfHme4RV8IhzD-mxe9_c9I5k"",""Round 7!M32:R36"")}"),20.0)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1">
        <v>15.0</v>
      </c>
      <c r="B115">
        <f>IFERROR(__xludf.DUMMYFUNCTION("""COMPUTED_VALUE"""),1.0)</f>
        <v>1</v>
      </c>
      <c r="C115">
        <f>IFERROR(__xludf.DUMMYFUNCTION("""COMPUTED_VALUE"""),3.0)</f>
        <v>3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IFERROR(__xludf.DUMMYFUNCTION("""COMPUTED_VALUE"""),2.0)</f>
        <v>2</v>
      </c>
      <c r="I115">
        <f>IFERROR(__xludf.DUMMYFUNCTION("""COMPUTED_VALUE"""),2.0)</f>
        <v>2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1">
        <v>10.0</v>
      </c>
      <c r="B116">
        <f>IFERROR(__xludf.DUMMYFUNCTION("""COMPUTED_VALUE"""),4.0)</f>
        <v>4</v>
      </c>
      <c r="C116">
        <f>IFERROR(__xludf.DUMMYFUNCTION("""COMPUTED_VALUE"""),0.0)</f>
        <v>0</v>
      </c>
      <c r="D116">
        <f>IFERROR(__xludf.DUMMYFUNCTION("""COMPUTED_VALUE"""),1.0)</f>
        <v>1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IFERROR(__xludf.DUMMYFUNCTION("""COMPUTED_VALUE"""),1.0)</f>
        <v>1</v>
      </c>
      <c r="I116">
        <f>IFERROR(__xludf.DUMMYFUNCTION("""COMPUTED_VALUE"""),5.0)</f>
        <v>5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1">
        <v>-5.0</v>
      </c>
      <c r="B117">
        <f>IFERROR(__xludf.DUMMYFUNCTION("""COMPUTED_VALUE"""),4.0)</f>
        <v>4</v>
      </c>
      <c r="C117">
        <f>IFERROR(__xludf.DUMMYFUNCTION("""COMPUTED_VALUE"""),2.0)</f>
        <v>2</v>
      </c>
      <c r="D117">
        <f>IFERROR(__xludf.DUMMYFUNCTION("""COMPUTED_VALUE"""),2.0)</f>
        <v>2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IFERROR(__xludf.DUMMYFUNCTION("""COMPUTED_VALUE"""),1.0)</f>
        <v>1</v>
      </c>
      <c r="I117">
        <f>IFERROR(__xludf.DUMMYFUNCTION("""COMPUTED_VALUE"""),1.0)</f>
        <v>1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1" t="s">
        <v>3</v>
      </c>
      <c r="B118">
        <f>IFERROR(__xludf.DUMMYFUNCTION("""COMPUTED_VALUE"""),35.0)</f>
        <v>35</v>
      </c>
      <c r="C118">
        <f>IFERROR(__xludf.DUMMYFUNCTION("""COMPUTED_VALUE"""),35.0)</f>
        <v>35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IFERROR(__xludf.DUMMYFUNCTION("""COMPUTED_VALUE"""),35.0)</f>
        <v>35</v>
      </c>
      <c r="I118">
        <f>IFERROR(__xludf.DUMMYFUNCTION("""COMPUTED_VALUE"""),75.0)</f>
        <v>75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2" t="str">
        <f>IFERROR(__xludf.DUMMYFUNCTION("IMPORTRANGE(""17CLUEFflDBSa8dyH5vsXfHme4RV8IhzD-mxe9_c9I5k"",""Round 7!W1"")"),"Question: 21")</f>
        <v>Question: 21</v>
      </c>
      <c r="B119" s="3" t="s">
        <v>31</v>
      </c>
    </row>
    <row r="120">
      <c r="A120" s="2"/>
    </row>
    <row r="121">
      <c r="A121" s="1" t="s">
        <v>46</v>
      </c>
      <c r="B121" t="str">
        <f>IFERROR(__xludf.DUMMYFUNCTION("{IMPORTRANGE(""1Knt8XDGFY_MP2OzeadT1pDENTLOdk9Ab_Rd9IdW0kzc"",""Round 7!C1:H3""),IMPORTRANGE(""1Knt8XDGFY_MP2OzeadT1pDENTLOdk9Ab_Rd9IdW0kzc"",""Round 7!M1:R3"")}"),"Canyon Crest C (V)")</f>
        <v>Canyon Crest C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IFERROR(__xludf.DUMMYFUNCTION("""COMPUTED_VALUE"""),"La Jolla (V)")</f>
        <v>La Jolla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2" t="str">
        <f>IFERROR(__xludf.DUMMYFUNCTION("CONCAT(""A BP: "",IMPORTRANGE(""1Knt8XDGFY_MP2OzeadT1pDENTLOdk9Ab_Rd9IdW0kzc"",""Round 7!I32""))"),"A BP: 70")</f>
        <v>A BP: 70</v>
      </c>
      <c r="B122" t="str">
        <f>IFERROR(__xludf.DUMMYFUNCTION("""COMPUTED_VALUE"""),"Score: 125")</f>
        <v>Score: 125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280")</f>
        <v>Score: 280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2" t="str">
        <f>IFERROR(__xludf.DUMMYFUNCTION("CONCAT(""B BP: "",IMPORTRANGE(""1Knt8XDGFY_MP2OzeadT1pDENTLOdk9Ab_Rd9IdW0kzc"",""Round 7!S32""))"),"B BP: 170")</f>
        <v>B BP: 170</v>
      </c>
      <c r="B123" t="str">
        <f>IFERROR(__xludf.DUMMYFUNCTION("""COMPUTED_VALUE"""),"Paul Mola (11)")</f>
        <v>Paul Mola (11)</v>
      </c>
      <c r="C123" t="str">
        <f>IFERROR(__xludf.DUMMYFUNCTION("""COMPUTED_VALUE"""),"James Wright (11)")</f>
        <v>James Wright (11)</v>
      </c>
      <c r="D123" t="str">
        <f>IFERROR(__xludf.DUMMYFUNCTION("""COMPUTED_VALUE"""),"Cade McAllister (10)")</f>
        <v>Cade McAllister (10)</v>
      </c>
      <c r="E123" t="str">
        <f>IFERROR(__xludf.DUMMYFUNCTION("""COMPUTED_VALUE"""),"Nithin Chilakapati (10)")</f>
        <v>Nithin Chilakapati (10)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IFERROR(__xludf.DUMMYFUNCTION("""COMPUTED_VALUE"""),"Caleb Cruz (11)")</f>
        <v>Caleb Cruz (11)</v>
      </c>
      <c r="I123" t="str">
        <f>IFERROR(__xludf.DUMMYFUNCTION("""COMPUTED_VALUE"""),"Kevin Park (11)")</f>
        <v>Kevin Park (11)</v>
      </c>
      <c r="J123" t="str">
        <f>IFERROR(__xludf.DUMMYFUNCTION("""COMPUTED_VALUE"""),"Richard Chao (11)")</f>
        <v>Richard Chao (11)</v>
      </c>
      <c r="K123" t="str">
        <f>IFERROR(__xludf.DUMMYFUNCTION("""COMPUTED_VALUE"""),"David Smith (11)")</f>
        <v>David Smith (11)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1" t="s">
        <v>2</v>
      </c>
      <c r="B124">
        <f>IFERROR(__xludf.DUMMYFUNCTION("{IMPORTRANGE(""1Knt8XDGFY_MP2OzeadT1pDENTLOdk9Ab_Rd9IdW0kzc"",""Round 7!C32:H36""),IMPORTRANGE(""1Knt8XDGFY_MP2OzeadT1pDENTLOdk9Ab_Rd9IdW0kzc"",""Round 7!M32:R36"")}"),20.0)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1">
        <v>15.0</v>
      </c>
      <c r="B125">
        <f>IFERROR(__xludf.DUMMYFUNCTION("""COMPUTED_VALUE"""),1.0)</f>
        <v>1</v>
      </c>
      <c r="C125">
        <f>IFERROR(__xludf.DUMMYFUNCTION("""COMPUTED_VALUE"""),1.0)</f>
        <v>1</v>
      </c>
      <c r="D125">
        <f>IFERROR(__xludf.DUMMYFUNCTION("""COMPUTED_VALUE"""),1.0)</f>
        <v>1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IFERROR(__xludf.DUMMYFUNCTION("""COMPUTED_VALUE"""),1.0)</f>
        <v>1</v>
      </c>
      <c r="I125">
        <f>IFERROR(__xludf.DUMMYFUNCTION("""COMPUTED_VALUE"""),2.0)</f>
        <v>2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1">
        <v>10.0</v>
      </c>
      <c r="B126">
        <f>IFERROR(__xludf.DUMMYFUNCTION("""COMPUTED_VALUE"""),0.0)</f>
        <v>0</v>
      </c>
      <c r="C126">
        <f>IFERROR(__xludf.DUMMYFUNCTION("""COMPUTED_VALUE"""),0.0)</f>
        <v>0</v>
      </c>
      <c r="D126">
        <f>IFERROR(__xludf.DUMMYFUNCTION("""COMPUTED_VALUE"""),1.0)</f>
        <v>1</v>
      </c>
      <c r="E126">
        <f>IFERROR(__xludf.DUMMYFUNCTION("""COMPUTED_VALUE"""),2.0)</f>
        <v>2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IFERROR(__xludf.DUMMYFUNCTION("""COMPUTED_VALUE"""),1.0)</f>
        <v>1</v>
      </c>
      <c r="I126">
        <f>IFERROR(__xludf.DUMMYFUNCTION("""COMPUTED_VALUE"""),4.0)</f>
        <v>4</v>
      </c>
      <c r="J126">
        <f>IFERROR(__xludf.DUMMYFUNCTION("""COMPUTED_VALUE"""),3.0)</f>
        <v>3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1">
        <v>-5.0</v>
      </c>
      <c r="B127">
        <f>IFERROR(__xludf.DUMMYFUNCTION("""COMPUTED_VALUE"""),2.0)</f>
        <v>2</v>
      </c>
      <c r="C127">
        <f>IFERROR(__xludf.DUMMYFUNCTION("""COMPUTED_VALUE"""),0.0)</f>
        <v>0</v>
      </c>
      <c r="D127">
        <f>IFERROR(__xludf.DUMMYFUNCTION("""COMPUTED_VALUE"""),2.0)</f>
        <v>2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IFERROR(__xludf.DUMMYFUNCTION("""COMPUTED_VALUE"""),1.0)</f>
        <v>1</v>
      </c>
      <c r="I127">
        <f>IFERROR(__xludf.DUMMYFUNCTION("""COMPUTED_VALUE"""),1.0)</f>
        <v>1</v>
      </c>
      <c r="J127">
        <f>IFERROR(__xludf.DUMMYFUNCTION("""COMPUTED_VALUE"""),1.0)</f>
        <v>1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1" t="s">
        <v>3</v>
      </c>
      <c r="B128">
        <f>IFERROR(__xludf.DUMMYFUNCTION("""COMPUTED_VALUE"""),5.0)</f>
        <v>5</v>
      </c>
      <c r="C128">
        <f>IFERROR(__xludf.DUMMYFUNCTION("""COMPUTED_VALUE"""),15.0)</f>
        <v>15</v>
      </c>
      <c r="D128">
        <f>IFERROR(__xludf.DUMMYFUNCTION("""COMPUTED_VALUE"""),15.0)</f>
        <v>15</v>
      </c>
      <c r="E128">
        <f>IFERROR(__xludf.DUMMYFUNCTION("""COMPUTED_VALUE"""),20.0)</f>
        <v>20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IFERROR(__xludf.DUMMYFUNCTION("""COMPUTED_VALUE"""),20.0)</f>
        <v>20</v>
      </c>
      <c r="I128">
        <f>IFERROR(__xludf.DUMMYFUNCTION("""COMPUTED_VALUE"""),65.0)</f>
        <v>65</v>
      </c>
      <c r="J128">
        <f>IFERROR(__xludf.DUMMYFUNCTION("""COMPUTED_VALUE"""),25.0)</f>
        <v>25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2" t="str">
        <f>IFERROR(__xludf.DUMMYFUNCTION("IMPORTRANGE(""1Knt8XDGFY_MP2OzeadT1pDENTLOdk9Ab_Rd9IdW0kzc"",""Round 7!W1"")"),"Question: 21")</f>
        <v>Question: 21</v>
      </c>
      <c r="B129" s="3" t="s">
        <v>33</v>
      </c>
    </row>
    <row r="130">
      <c r="A130" s="2"/>
    </row>
    <row r="131">
      <c r="A131" s="1" t="s">
        <v>47</v>
      </c>
      <c r="B131" t="str">
        <f>IFERROR(__xludf.DUMMYFUNCTION("{IMPORTRANGE(""16i4gsLDaJasgGgtJt27HweoboYNaal3qpX3MtxIR2f0"",""Round 7!C1:H3""),IMPORTRANGE(""16i4gsLDaJasgGgtJt27HweoboYNaal3qpX3MtxIR2f0"",""Round 7!M1:R3"")}"),"Santa Monica A (V)")</f>
        <v>Santa Monica A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IFERROR(__xludf.DUMMYFUNCTION("""COMPUTED_VALUE"""),"Westview A (V)")</f>
        <v>Westview A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2" t="str">
        <f>IFERROR(__xludf.DUMMYFUNCTION("CONCAT(""A BP: "",IMPORTRANGE(""16i4gsLDaJasgGgtJt27HweoboYNaal3qpX3MtxIR2f0"",""Round 7!I32""))"),"A BP: 60")</f>
        <v>A BP: 60</v>
      </c>
      <c r="B132" t="str">
        <f>IFERROR(__xludf.DUMMYFUNCTION("""COMPUTED_VALUE"""),"Score: 110")</f>
        <v>Score: 110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515")</f>
        <v>Score: 515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2" t="str">
        <f>IFERROR(__xludf.DUMMYFUNCTION("CONCAT(""B BP: "",IMPORTRANGE(""16i4gsLDaJasgGgtJt27HweoboYNaal3qpX3MtxIR2f0"",""Round 7!S32""))"),"B BP: 320")</f>
        <v>B BP: 320</v>
      </c>
      <c r="B133" t="str">
        <f>IFERROR(__xludf.DUMMYFUNCTION("""COMPUTED_VALUE"""),"Josh Xu (11)")</f>
        <v>Josh Xu (11)</v>
      </c>
      <c r="C133" t="str">
        <f>IFERROR(__xludf.DUMMYFUNCTION("""COMPUTED_VALUE"""),"Player 2")</f>
        <v>Player 2</v>
      </c>
      <c r="D133" t="str">
        <f>IFERROR(__xludf.DUMMYFUNCTION("""COMPUTED_VALUE"""),"Player 3")</f>
        <v>Player 3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IFERROR(__xludf.DUMMYFUNCTION("""COMPUTED_VALUE"""),"Shahar Schwartz (12)")</f>
        <v>Shahar Schwartz (12)</v>
      </c>
      <c r="I133" t="str">
        <f>IFERROR(__xludf.DUMMYFUNCTION("""COMPUTED_VALUE"""),"Junu Song (12)")</f>
        <v>Junu Song (12)</v>
      </c>
      <c r="J133" t="str">
        <f>IFERROR(__xludf.DUMMYFUNCTION("""COMPUTED_VALUE"""),"Daniel Jung (12)")</f>
        <v>Daniel Jung (12)</v>
      </c>
      <c r="K133" t="str">
        <f>IFERROR(__xludf.DUMMYFUNCTION("""COMPUTED_VALUE"""),"Gary Lin (11)")</f>
        <v>Gary Lin (11)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1" t="s">
        <v>2</v>
      </c>
      <c r="B134">
        <f>IFERROR(__xludf.DUMMYFUNCTION("{IMPORTRANGE(""16i4gsLDaJasgGgtJt27HweoboYNaal3qpX3MtxIR2f0"",""Round 7!C32:H36""),IMPORTRANGE(""16i4gsLDaJasgGgtJt27HweoboYNaal3qpX3MtxIR2f0"",""Round 7!M32:R36"")}"),20.0)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1">
        <v>15.0</v>
      </c>
      <c r="B135">
        <f>IFERROR(__xludf.DUMMYFUNCTION("""COMPUTED_VALUE"""),2.0)</f>
        <v>2</v>
      </c>
      <c r="C135">
        <f>IFERROR(__xludf.DUMMYFUNCTION("""COMPUTED_VALUE"""),0.0)</f>
        <v>0</v>
      </c>
      <c r="D135">
        <f>IFERROR(__xludf.DUMMYFUNCTION("""COMPUTED_VALUE"""),0.0)</f>
        <v>0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IFERROR(__xludf.DUMMYFUNCTION("""COMPUTED_VALUE"""),6.0)</f>
        <v>6</v>
      </c>
      <c r="I135">
        <f>IFERROR(__xludf.DUMMYFUNCTION("""COMPUTED_VALUE"""),1.0)</f>
        <v>1</v>
      </c>
      <c r="J135">
        <f>IFERROR(__xludf.DUMMYFUNCTION("""COMPUTED_VALUE"""),1.0)</f>
        <v>1</v>
      </c>
      <c r="K135">
        <f>IFERROR(__xludf.DUMMYFUNCTION("""COMPUTED_VALUE"""),1.0)</f>
        <v>1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1">
        <v>10.0</v>
      </c>
      <c r="B136">
        <f>IFERROR(__xludf.DUMMYFUNCTION("""COMPUTED_VALUE"""),2.0)</f>
        <v>2</v>
      </c>
      <c r="C136">
        <f>IFERROR(__xludf.DUMMYFUNCTION("""COMPUTED_VALUE"""),0.0)</f>
        <v>0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IFERROR(__xludf.DUMMYFUNCTION("""COMPUTED_VALUE"""),5.0)</f>
        <v>5</v>
      </c>
      <c r="I136">
        <f>IFERROR(__xludf.DUMMYFUNCTION("""COMPUTED_VALUE"""),1.0)</f>
        <v>1</v>
      </c>
      <c r="J136">
        <f>IFERROR(__xludf.DUMMYFUNCTION("""COMPUTED_VALUE"""),0.0)</f>
        <v>0</v>
      </c>
      <c r="K136">
        <f>IFERROR(__xludf.DUMMYFUNCTION("""COMPUTED_VALUE"""),1.0)</f>
        <v>1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1">
        <v>-5.0</v>
      </c>
      <c r="B137">
        <f>IFERROR(__xludf.DUMMYFUNCTION("""COMPUTED_VALUE"""),0.0)</f>
        <v>0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IFERROR(__xludf.DUMMYFUNCTION("""COMPUTED_VALUE"""),0.0)</f>
        <v>0</v>
      </c>
      <c r="I137">
        <f>IFERROR(__xludf.DUMMYFUNCTION("""COMPUTED_VALUE"""),2.0)</f>
        <v>2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1" t="s">
        <v>3</v>
      </c>
      <c r="B138">
        <f>IFERROR(__xludf.DUMMYFUNCTION("""COMPUTED_VALUE"""),50.0)</f>
        <v>50</v>
      </c>
      <c r="C138">
        <f>IFERROR(__xludf.DUMMYFUNCTION("""COMPUTED_VALUE"""),0.0)</f>
        <v>0</v>
      </c>
      <c r="D138">
        <f>IFERROR(__xludf.DUMMYFUNCTION("""COMPUTED_VALUE"""),0.0)</f>
        <v>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IFERROR(__xludf.DUMMYFUNCTION("""COMPUTED_VALUE"""),140.0)</f>
        <v>140</v>
      </c>
      <c r="I138">
        <f>IFERROR(__xludf.DUMMYFUNCTION("""COMPUTED_VALUE"""),15.0)</f>
        <v>15</v>
      </c>
      <c r="J138">
        <f>IFERROR(__xludf.DUMMYFUNCTION("""COMPUTED_VALUE"""),15.0)</f>
        <v>15</v>
      </c>
      <c r="K138">
        <f>IFERROR(__xludf.DUMMYFUNCTION("""COMPUTED_VALUE"""),25.0)</f>
        <v>25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2" t="str">
        <f>IFERROR(__xludf.DUMMYFUNCTION("IMPORTRANGE(""16i4gsLDaJasgGgtJt27HweoboYNaal3qpX3MtxIR2f0"",""Round 7!W1"")"),"Question: 21")</f>
        <v>Question: 21</v>
      </c>
      <c r="B139" s="3" t="s">
        <v>35</v>
      </c>
    </row>
    <row r="140">
      <c r="A140" s="2"/>
    </row>
    <row r="141">
      <c r="A141" s="1" t="s">
        <v>48</v>
      </c>
      <c r="B141" t="str">
        <f>IFERROR(__xludf.DUMMYFUNCTION("{IMPORTRANGE(""1KRyI2c190uhOTF270Hsdzh1rgG565QIaE9TymteaGNY"",""Round 7!C1:H3""),IMPORTRANGE(""1KRyI2c190uhOTF270Hsdzh1rgG565QIaE9TymteaGNY"",""Round 7!M1:R3"")}"),"Scripps Ranch A (V)")</f>
        <v>Scripps Ranch A (V)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IFERROR(__xludf.DUMMYFUNCTION("""COMPUTED_VALUE"""),"Troy A (V)")</f>
        <v>Troy A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2" t="str">
        <f>IFERROR(__xludf.DUMMYFUNCTION("CONCAT(""A BP: "",IMPORTRANGE(""1KRyI2c190uhOTF270Hsdzh1rgG565QIaE9TymteaGNY"",""Round 7!I32""))"),"A BP: 110")</f>
        <v>A BP: 110</v>
      </c>
      <c r="B142" t="str">
        <f>IFERROR(__xludf.DUMMYFUNCTION("""COMPUTED_VALUE"""),"Score: 190")</f>
        <v>Score: 190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210")</f>
        <v>Score: 210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2" t="str">
        <f>IFERROR(__xludf.DUMMYFUNCTION("CONCAT(""B BP: "",IMPORTRANGE(""1KRyI2c190uhOTF270Hsdzh1rgG565QIaE9TymteaGNY"",""Round 7!S32""))"),"B BP: 110")</f>
        <v>B BP: 110</v>
      </c>
      <c r="B143" t="str">
        <f>IFERROR(__xludf.DUMMYFUNCTION("""COMPUTED_VALUE"""),"Albert Gu (12)")</f>
        <v>Albert Gu (12)</v>
      </c>
      <c r="C143" t="str">
        <f>IFERROR(__xludf.DUMMYFUNCTION("""COMPUTED_VALUE"""),"Jeremy Ngo (12)")</f>
        <v>Jeremy Ngo (12)</v>
      </c>
      <c r="D143" t="str">
        <f>IFERROR(__xludf.DUMMYFUNCTION("""COMPUTED_VALUE"""),"Jack Hoover (12)")</f>
        <v>Jack Hoover (12)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IFERROR(__xludf.DUMMYFUNCTION("""COMPUTED_VALUE"""),"Luke Park (11)")</f>
        <v>Luke Park (11)</v>
      </c>
      <c r="I143" t="str">
        <f>IFERROR(__xludf.DUMMYFUNCTION("""COMPUTED_VALUE"""),"Tyler Kim (11)")</f>
        <v>Tyler Kim (11)</v>
      </c>
      <c r="J143" t="str">
        <f>IFERROR(__xludf.DUMMYFUNCTION("""COMPUTED_VALUE"""),"Henry Tang (10)")</f>
        <v>Henry Tang (10)</v>
      </c>
      <c r="K143" t="str">
        <f>IFERROR(__xludf.DUMMYFUNCTION("""COMPUTED_VALUE"""),"Daniel Shin (10)")</f>
        <v>Daniel Shin (10)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1" t="s">
        <v>2</v>
      </c>
      <c r="B144">
        <f>IFERROR(__xludf.DUMMYFUNCTION("{IMPORTRANGE(""1KRyI2c190uhOTF270Hsdzh1rgG565QIaE9TymteaGNY"",""Round 7!C32:H36""),IMPORTRANGE(""1KRyI2c190uhOTF270Hsdzh1rgG565QIaE9TymteaGNY"",""Round 7!M32:R36"")}"),20.0)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1">
        <v>15.0</v>
      </c>
      <c r="B145">
        <f>IFERROR(__xludf.DUMMYFUNCTION("""COMPUTED_VALUE"""),0.0)</f>
        <v>0</v>
      </c>
      <c r="C145">
        <f>IFERROR(__xludf.DUMMYFUNCTION("""COMPUTED_VALUE"""),0.0)</f>
        <v>0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IFERROR(__xludf.DUMMYFUNCTION("""COMPUTED_VALUE"""),1.0)</f>
        <v>1</v>
      </c>
      <c r="J145">
        <f>IFERROR(__xludf.DUMMYFUNCTION("""COMPUTED_VALUE"""),1.0)</f>
        <v>1</v>
      </c>
      <c r="K145">
        <f>IFERROR(__xludf.DUMMYFUNCTION("""COMPUTED_VALUE"""),1.0)</f>
        <v>1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1">
        <v>10.0</v>
      </c>
      <c r="B146">
        <f>IFERROR(__xludf.DUMMYFUNCTION("""COMPUTED_VALUE"""),6.0)</f>
        <v>6</v>
      </c>
      <c r="C146">
        <f>IFERROR(__xludf.DUMMYFUNCTION("""COMPUTED_VALUE"""),2.0)</f>
        <v>2</v>
      </c>
      <c r="D146">
        <f>IFERROR(__xludf.DUMMYFUNCTION("""COMPUTED_VALUE"""),1.0)</f>
        <v>1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IFERROR(__xludf.DUMMYFUNCTION("""COMPUTED_VALUE"""),0.0)</f>
        <v>0</v>
      </c>
      <c r="I146">
        <f>IFERROR(__xludf.DUMMYFUNCTION("""COMPUTED_VALUE"""),3.0)</f>
        <v>3</v>
      </c>
      <c r="J146">
        <f>IFERROR(__xludf.DUMMYFUNCTION("""COMPUTED_VALUE"""),4.0)</f>
        <v>4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1">
        <v>-5.0</v>
      </c>
      <c r="B147">
        <f>IFERROR(__xludf.DUMMYFUNCTION("""COMPUTED_VALUE"""),1.0)</f>
        <v>1</v>
      </c>
      <c r="C147">
        <f>IFERROR(__xludf.DUMMYFUNCTION("""COMPUTED_VALUE"""),0.0)</f>
        <v>0</v>
      </c>
      <c r="D147">
        <f>IFERROR(__xludf.DUMMYFUNCTION("""COMPUTED_VALUE"""),1.0)</f>
        <v>1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IFERROR(__xludf.DUMMYFUNCTION("""COMPUTED_VALUE"""),2.0)</f>
        <v>2</v>
      </c>
      <c r="I147">
        <f>IFERROR(__xludf.DUMMYFUNCTION("""COMPUTED_VALUE"""),0.0)</f>
        <v>0</v>
      </c>
      <c r="J147">
        <f>IFERROR(__xludf.DUMMYFUNCTION("""COMPUTED_VALUE"""),1.0)</f>
        <v>1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1" t="s">
        <v>3</v>
      </c>
      <c r="B148">
        <f>IFERROR(__xludf.DUMMYFUNCTION("""COMPUTED_VALUE"""),55.0)</f>
        <v>55</v>
      </c>
      <c r="C148">
        <f>IFERROR(__xludf.DUMMYFUNCTION("""COMPUTED_VALUE"""),20.0)</f>
        <v>20</v>
      </c>
      <c r="D148">
        <f>IFERROR(__xludf.DUMMYFUNCTION("""COMPUTED_VALUE"""),5.0)</f>
        <v>5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IFERROR(__xludf.DUMMYFUNCTION("""COMPUTED_VALUE"""),-10.0)</f>
        <v>-10</v>
      </c>
      <c r="I148">
        <f>IFERROR(__xludf.DUMMYFUNCTION("""COMPUTED_VALUE"""),45.0)</f>
        <v>45</v>
      </c>
      <c r="J148">
        <f>IFERROR(__xludf.DUMMYFUNCTION("""COMPUTED_VALUE"""),50.0)</f>
        <v>50</v>
      </c>
      <c r="K148">
        <f>IFERROR(__xludf.DUMMYFUNCTION("""COMPUTED_VALUE"""),15.0)</f>
        <v>15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2" t="str">
        <f>IFERROR(__xludf.DUMMYFUNCTION("IMPORTRANGE(""1KRyI2c190uhOTF270Hsdzh1rgG565QIaE9TymteaGNY"",""Round 7!W1"")"),"Question: 21")</f>
        <v>Question: 21</v>
      </c>
      <c r="B149" s="3" t="s">
        <v>37</v>
      </c>
    </row>
    <row r="150">
      <c r="A150" s="2"/>
    </row>
    <row r="151">
      <c r="A151" s="1" t="s">
        <v>49</v>
      </c>
      <c r="B151" t="str">
        <f>IFERROR(__xludf.DUMMYFUNCTION("{IMPORTRANGE(""1zr0uYCpJ5izByVOUCsr6JXezthGEdLXnwOrjIKGx5XI"",""Round 7!C1:H3""),IMPORTRANGE(""1zr0uYCpJ5izByVOUCsr6JXezthGEdLXnwOrjIKGx5XI"",""Round 7!M1:R3"")}"),"Arcadia (V)")</f>
        <v>Arcadia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IFERROR(__xludf.DUMMYFUNCTION("""COMPUTED_VALUE"""),"Westview B (V)")</f>
        <v>Westview B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2" t="str">
        <f>IFERROR(__xludf.DUMMYFUNCTION("CONCAT(""A BP: "",IMPORTRANGE(""1zr0uYCpJ5izByVOUCsr6JXezthGEdLXnwOrjIKGx5XI"",""Round 7!I32""))"),"A BP: 250")</f>
        <v>A BP: 250</v>
      </c>
      <c r="B152" t="str">
        <f>IFERROR(__xludf.DUMMYFUNCTION("""COMPUTED_VALUE"""),"Score: 380")</f>
        <v>Score: 380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305")</f>
        <v>Score: 305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2" t="str">
        <f>IFERROR(__xludf.DUMMYFUNCTION("CONCAT(""B BP: "",IMPORTRANGE(""1zr0uYCpJ5izByVOUCsr6JXezthGEdLXnwOrjIKGx5XI"",""Round 7!S32""))"),"B BP: 200")</f>
        <v>B BP: 200</v>
      </c>
      <c r="B153" t="str">
        <f>IFERROR(__xludf.DUMMYFUNCTION("""COMPUTED_VALUE"""),"Amogh Kulkarni (10)")</f>
        <v>Amogh Kulkarni (10)</v>
      </c>
      <c r="C153" t="str">
        <f>IFERROR(__xludf.DUMMYFUNCTION("""COMPUTED_VALUE"""),"Spencer Cheng (12)")</f>
        <v>Spencer Cheng (12)</v>
      </c>
      <c r="D153" t="str">
        <f>IFERROR(__xludf.DUMMYFUNCTION("""COMPUTED_VALUE"""),"Ryan Sun (10)")</f>
        <v>Ryan Sun (10)</v>
      </c>
      <c r="E153" t="str">
        <f>IFERROR(__xludf.DUMMYFUNCTION("""COMPUTED_VALUE"""),"Sanjith Menon (10)")</f>
        <v>Sanjith Menon (10)</v>
      </c>
      <c r="F153" t="str">
        <f>IFERROR(__xludf.DUMMYFUNCTION("""COMPUTED_VALUE"""),"Michael Kwok (10)")</f>
        <v>Michael Kwok (10)</v>
      </c>
      <c r="G153" t="str">
        <f>IFERROR(__xludf.DUMMYFUNCTION("""COMPUTED_VALUE"""),"Player 6")</f>
        <v>Player 6</v>
      </c>
      <c r="H153" t="str">
        <f>IFERROR(__xludf.DUMMYFUNCTION("""COMPUTED_VALUE"""),"Nicholas Dai (11)")</f>
        <v>Nicholas Dai (11)</v>
      </c>
      <c r="I153" t="str">
        <f>IFERROR(__xludf.DUMMYFUNCTION("""COMPUTED_VALUE"""),"Rohan Venkateswaran (12)")</f>
        <v>Rohan Venkateswaran (12)</v>
      </c>
      <c r="J153" t="str">
        <f>IFERROR(__xludf.DUMMYFUNCTION("""COMPUTED_VALUE"""),"Andrew Jia (11)")</f>
        <v>Andrew Jia (11)</v>
      </c>
      <c r="K153" t="str">
        <f>IFERROR(__xludf.DUMMYFUNCTION("""COMPUTED_VALUE"""),"Richard Lin (9)")</f>
        <v>Richard Lin (9)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1" t="s">
        <v>2</v>
      </c>
      <c r="B154">
        <f>IFERROR(__xludf.DUMMYFUNCTION("{IMPORTRANGE(""1zr0uYCpJ5izByVOUCsr6JXezthGEdLXnwOrjIKGx5XI"",""Round 7!C32:H36""),IMPORTRANGE(""1zr0uYCpJ5izByVOUCsr6JXezthGEdLXnwOrjIKGx5XI"",""Round 7!M32:R36"")}"),20.0)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IFERROR(__xludf.DUMMYFUNCTION("""COMPUTED_VALUE"""),10.0)</f>
        <v>10</v>
      </c>
      <c r="F154">
        <f>IFERROR(__xludf.DUMMYFUNCTION("""COMPUTED_VALUE"""),10.0)</f>
        <v>10</v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1">
        <v>15.0</v>
      </c>
      <c r="B155">
        <f>IFERROR(__xludf.DUMMYFUNCTION("""COMPUTED_VALUE"""),3.0)</f>
        <v>3</v>
      </c>
      <c r="C155">
        <f>IFERROR(__xludf.DUMMYFUNCTION("""COMPUTED_VALUE"""),1.0)</f>
        <v>1</v>
      </c>
      <c r="D155">
        <f>IFERROR(__xludf.DUMMYFUNCTION("""COMPUTED_VALUE"""),2.0)</f>
        <v>2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IFERROR(__xludf.DUMMYFUNCTION("""COMPUTED_VALUE"""),2.0)</f>
        <v>2</v>
      </c>
      <c r="I155">
        <f>IFERROR(__xludf.DUMMYFUNCTION("""COMPUTED_VALUE"""),0.0)</f>
        <v>0</v>
      </c>
      <c r="J155">
        <f>IFERROR(__xludf.DUMMYFUNCTION("""COMPUTED_VALUE"""),2.0)</f>
        <v>2</v>
      </c>
      <c r="K155">
        <f>IFERROR(__xludf.DUMMYFUNCTION("""COMPUTED_VALUE"""),1.0)</f>
        <v>1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1">
        <v>10.0</v>
      </c>
      <c r="B156">
        <f>IFERROR(__xludf.DUMMYFUNCTION("""COMPUTED_VALUE"""),2.0)</f>
        <v>2</v>
      </c>
      <c r="C156">
        <f>IFERROR(__xludf.DUMMYFUNCTION("""COMPUTED_VALUE"""),2.0)</f>
        <v>2</v>
      </c>
      <c r="D156">
        <f>IFERROR(__xludf.DUMMYFUNCTION("""COMPUTED_VALUE"""),1.0)</f>
        <v>1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IFERROR(__xludf.DUMMYFUNCTION("""COMPUTED_VALUE"""),1.0)</f>
        <v>1</v>
      </c>
      <c r="I156">
        <f>IFERROR(__xludf.DUMMYFUNCTION("""COMPUTED_VALUE"""),2.0)</f>
        <v>2</v>
      </c>
      <c r="J156">
        <f>IFERROR(__xludf.DUMMYFUNCTION("""COMPUTED_VALUE"""),1.0)</f>
        <v>1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1">
        <v>-5.0</v>
      </c>
      <c r="B157">
        <f>IFERROR(__xludf.DUMMYFUNCTION("""COMPUTED_VALUE"""),2.0)</f>
        <v>2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IFERROR(__xludf.DUMMYFUNCTION("""COMPUTED_VALUE"""),1.0)</f>
        <v>1</v>
      </c>
      <c r="J157">
        <f>IFERROR(__xludf.DUMMYFUNCTION("""COMPUTED_VALUE"""),1.0)</f>
        <v>1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1" t="s">
        <v>3</v>
      </c>
      <c r="B158">
        <f>IFERROR(__xludf.DUMMYFUNCTION("""COMPUTED_VALUE"""),55.0)</f>
        <v>55</v>
      </c>
      <c r="C158">
        <f>IFERROR(__xludf.DUMMYFUNCTION("""COMPUTED_VALUE"""),35.0)</f>
        <v>35</v>
      </c>
      <c r="D158">
        <f>IFERROR(__xludf.DUMMYFUNCTION("""COMPUTED_VALUE"""),40.0)</f>
        <v>40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IFERROR(__xludf.DUMMYFUNCTION("""COMPUTED_VALUE"""),40.0)</f>
        <v>40</v>
      </c>
      <c r="I158">
        <f>IFERROR(__xludf.DUMMYFUNCTION("""COMPUTED_VALUE"""),15.0)</f>
        <v>15</v>
      </c>
      <c r="J158">
        <f>IFERROR(__xludf.DUMMYFUNCTION("""COMPUTED_VALUE"""),35.0)</f>
        <v>35</v>
      </c>
      <c r="K158">
        <f>IFERROR(__xludf.DUMMYFUNCTION("""COMPUTED_VALUE"""),15.0)</f>
        <v>15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2" t="str">
        <f>IFERROR(__xludf.DUMMYFUNCTION("IMPORTRANGE(""1zr0uYCpJ5izByVOUCsr6JXezthGEdLXnwOrjIKGx5XI"",""Round 7!W1"")"),"Question: 21")</f>
        <v>Question: 21</v>
      </c>
      <c r="B159" s="3" t="s">
        <v>39</v>
      </c>
    </row>
    <row r="160">
      <c r="A160" s="2"/>
    </row>
    <row r="161">
      <c r="A161" s="1" t="s">
        <v>50</v>
      </c>
      <c r="B161" t="str">
        <f>IFERROR(__xludf.DUMMYFUNCTION("{IMPORTRANGE(""1TVrjNI5RE1VozIr906BhaTKMFP0VPx8aUGpyt_loukE"",""Round 7!C1:H3""),IMPORTRANGE(""1TVrjNI5RE1VozIr906BhaTKMFP0VPx8aUGpyt_loukE"",""Round 7!M1:R3"")}"),"Cathedral Catholic (V)")</f>
        <v>Cathedral Catholic (V)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IFERROR(__xludf.DUMMYFUNCTION("""COMPUTED_VALUE"""),"Santa Monica B (V)")</f>
        <v>Santa Monica B (V)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2" t="str">
        <f>IFERROR(__xludf.DUMMYFUNCTION("CONCAT(""A BP: "",IMPORTRANGE(""1TVrjNI5RE1VozIr906BhaTKMFP0VPx8aUGpyt_loukE"",""Round 7!I32""))"),"A BP: 40")</f>
        <v>A BP: 40</v>
      </c>
      <c r="B162" t="str">
        <f>IFERROR(__xludf.DUMMYFUNCTION("""COMPUTED_VALUE"""),"Score: 95")</f>
        <v>Score: 95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175")</f>
        <v>Score: 175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2" t="str">
        <f>IFERROR(__xludf.DUMMYFUNCTION("CONCAT(""B BP: "",IMPORTRANGE(""1TVrjNI5RE1VozIr906BhaTKMFP0VPx8aUGpyt_loukE"",""Round 7!S32""))"),"B BP: 90")</f>
        <v>B BP: 90</v>
      </c>
      <c r="B163" t="str">
        <f>IFERROR(__xludf.DUMMYFUNCTION("""COMPUTED_VALUE"""),"Ryan Shakiba (10)")</f>
        <v>Ryan Shakiba (10)</v>
      </c>
      <c r="C163" t="str">
        <f>IFERROR(__xludf.DUMMYFUNCTION("""COMPUTED_VALUE"""),"Jacob Titcomb (11)")</f>
        <v>Jacob Titcomb (11)</v>
      </c>
      <c r="D163" t="str">
        <f>IFERROR(__xludf.DUMMYFUNCTION("""COMPUTED_VALUE"""),"Sinead Archdeacon (10)")</f>
        <v>Sinead Archdeacon (10)</v>
      </c>
      <c r="E163" t="str">
        <f>IFERROR(__xludf.DUMMYFUNCTION("""COMPUTED_VALUE"""),"Player 4")</f>
        <v>Player 4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IFERROR(__xludf.DUMMYFUNCTION("""COMPUTED_VALUE"""),"Kethan Raman (10)")</f>
        <v>Kethan Raman (10)</v>
      </c>
      <c r="I163" t="str">
        <f>IFERROR(__xludf.DUMMYFUNCTION("""COMPUTED_VALUE"""),"Ethan Hopkins (10)")</f>
        <v>Ethan Hopkins (10)</v>
      </c>
      <c r="J163" t="str">
        <f>IFERROR(__xludf.DUMMYFUNCTION("""COMPUTED_VALUE"""),"Jacob Cohen (10)")</f>
        <v>Jacob Cohen (10)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1" t="s">
        <v>2</v>
      </c>
      <c r="B164">
        <f>IFERROR(__xludf.DUMMYFUNCTION("{IMPORTRANGE(""1TVrjNI5RE1VozIr906BhaTKMFP0VPx8aUGpyt_loukE"",""Round 7!C32:H36""),IMPORTRANGE(""1TVrjNI5RE1VozIr906BhaTKMFP0VPx8aUGpyt_loukE"",""Round 7!M32:R36"")}"),20.0)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1">
        <v>15.0</v>
      </c>
      <c r="B165">
        <f>IFERROR(__xludf.DUMMYFUNCTION("""COMPUTED_VALUE"""),1.0)</f>
        <v>1</v>
      </c>
      <c r="C165">
        <f>IFERROR(__xludf.DUMMYFUNCTION("""COMPUTED_VALUE"""),0.0)</f>
        <v>0</v>
      </c>
      <c r="D165">
        <f>IFERROR(__xludf.DUMMYFUNCTION("""COMPUTED_VALUE"""),1.0)</f>
        <v>1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IFERROR(__xludf.DUMMYFUNCTION("""COMPUTED_VALUE"""),1.0)</f>
        <v>1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1">
        <v>10.0</v>
      </c>
      <c r="B166">
        <f>IFERROR(__xludf.DUMMYFUNCTION("""COMPUTED_VALUE"""),4.0)</f>
        <v>4</v>
      </c>
      <c r="C166">
        <f>IFERROR(__xludf.DUMMYFUNCTION("""COMPUTED_VALUE"""),0.0)</f>
        <v>0</v>
      </c>
      <c r="D166">
        <f>IFERROR(__xludf.DUMMYFUNCTION("""COMPUTED_VALUE"""),1.0)</f>
        <v>1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IFERROR(__xludf.DUMMYFUNCTION("""COMPUTED_VALUE"""),6.0)</f>
        <v>6</v>
      </c>
      <c r="I166">
        <f>IFERROR(__xludf.DUMMYFUNCTION("""COMPUTED_VALUE"""),2.0)</f>
        <v>2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1">
        <v>-5.0</v>
      </c>
      <c r="B167">
        <f>IFERROR(__xludf.DUMMYFUNCTION("""COMPUTED_VALUE"""),4.0)</f>
        <v>4</v>
      </c>
      <c r="C167">
        <f>IFERROR(__xludf.DUMMYFUNCTION("""COMPUTED_VALUE"""),0.0)</f>
        <v>0</v>
      </c>
      <c r="D167">
        <f>IFERROR(__xludf.DUMMYFUNCTION("""COMPUTED_VALUE"""),1.0)</f>
        <v>1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IFERROR(__xludf.DUMMYFUNCTION("""COMPUTED_VALUE"""),1.0)</f>
        <v>1</v>
      </c>
      <c r="I167">
        <f>IFERROR(__xludf.DUMMYFUNCTION("""COMPUTED_VALUE"""),0.0)</f>
        <v>0</v>
      </c>
      <c r="J167">
        <f>IFERROR(__xludf.DUMMYFUNCTION("""COMPUTED_VALUE"""),1.0)</f>
        <v>1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1" t="s">
        <v>3</v>
      </c>
      <c r="B168">
        <f>IFERROR(__xludf.DUMMYFUNCTION("""COMPUTED_VALUE"""),35.0)</f>
        <v>35</v>
      </c>
      <c r="C168">
        <f>IFERROR(__xludf.DUMMYFUNCTION("""COMPUTED_VALUE"""),0.0)</f>
        <v>0</v>
      </c>
      <c r="D168">
        <f>IFERROR(__xludf.DUMMYFUNCTION("""COMPUTED_VALUE"""),20.0)</f>
        <v>20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IFERROR(__xludf.DUMMYFUNCTION("""COMPUTED_VALUE"""),70.0)</f>
        <v>70</v>
      </c>
      <c r="I168">
        <f>IFERROR(__xludf.DUMMYFUNCTION("""COMPUTED_VALUE"""),20.0)</f>
        <v>20</v>
      </c>
      <c r="J168">
        <f>IFERROR(__xludf.DUMMYFUNCTION("""COMPUTED_VALUE"""),-5.0)</f>
        <v>-5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2" t="str">
        <f>IFERROR(__xludf.DUMMYFUNCTION("IMPORTRANGE(""1TVrjNI5RE1VozIr906BhaTKMFP0VPx8aUGpyt_loukE"",""Round 7!W1"")"),"Question: 21")</f>
        <v>Question: 21</v>
      </c>
      <c r="B169" s="3" t="s">
        <v>41</v>
      </c>
    </row>
    <row r="170">
      <c r="A170" s="2"/>
    </row>
    <row r="171">
      <c r="A171" s="1" t="s">
        <v>42</v>
      </c>
      <c r="B171" t="str">
        <f>IFERROR(__xludf.DUMMYFUNCTION("{IMPORTRANGE(""1xRz0po-ejgp-QRvMkY44z3u2CePgTccasdyrrVALbmE"",""Round 7!C1:H3""),IMPORTRANGE(""1xRz0po-ejgp-QRvMkY44z3u2CePgTccasdyrrVALbmE"",""Round 7!M1:R3"")}"),"Team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2" t="str">
        <f>IFERROR(__xludf.DUMMYFUNCTION("CONCAT(""A BP: "",IMPORTRANGE(""1xRz0po-ejgp-QRvMkY44z3u2CePgTccasdyrrVALbmE"",""Round 7!I32""))"),"A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2" t="str">
        <f>IFERROR(__xludf.DUMMYFUNCTION("CONCAT(""B BP: "",IMPORTRANGE(""1xRz0po-ejgp-QRvMkY44z3u2CePgTccasdyrrVALbmE"",""Round 7!S32""))"),"B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1" t="s">
        <v>2</v>
      </c>
      <c r="B174">
        <f>IFERROR(__xludf.DUMMYFUNCTION("{IMPORTRANGE(""1xRz0po-ejgp-QRvMkY44z3u2CePgTccasdyrrVALbmE"",""Round 7!C32:H36""),IMPORTRANGE(""1xRz0po-ejgp-QRvMkY44z3u2CePgTccasdyrrVALbmE"",""Round 7!M32:R36"")}"),20.0)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1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1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1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1" t="s">
        <v>3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2" t="str">
        <f>IFERROR(__xludf.DUMMYFUNCTION("IMPORTRANGE(""1xRz0po-ejgp-QRvMkY44z3u2CePgTccasdyrrVALbmE"",""Round 7!W1"")"),"Question: 1")</f>
        <v>Question: 1</v>
      </c>
      <c r="B179" s="3" t="s">
        <v>43</v>
      </c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 t="s">
        <v>0</v>
      </c>
      <c r="B1" t="str">
        <f>IFERROR(__xludf.DUMMYFUNCTION("{IMPORTRANGE(""1JXwZ4AjXctyKvWy9qFKCX518NRYJYhSX9Jii0HPBCUs"",""Round 8!C1:H3""),IMPORTRANGE(""1JXwZ4AjXctyKvWy9qFKCX518NRYJYhSX9Jii0HPBCUs"",""Round 8!M1:R3"")}"),"Team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2" t="str">
        <f>IFERROR(__xludf.DUMMYFUNCTION("CONCAT(""A BP: "",IMPORTRANGE(""1JXwZ4AjXctyKvWy9qFKCX518NRYJYhSX9Jii0HPBCUs"",""Round 8!I32""))"),"A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2" t="str">
        <f>IFERROR(__xludf.DUMMYFUNCTION("CONCAT(""B BP: "",IMPORTRANGE(""1JXwZ4AjXctyKvWy9qFKCX518NRYJYhSX9Jii0HPBCUs"",""Round 8!S32""))"),"B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1" t="s">
        <v>2</v>
      </c>
      <c r="B4">
        <f>IFERROR(__xludf.DUMMYFUNCTION("{IMPORTRANGE(""1JXwZ4AjXctyKvWy9qFKCX518NRYJYhSX9Jii0HPBCUs"",""Round 8!C32:H36""),IMPORTRANGE(""1JXwZ4AjXctyKvWy9qFKCX518NRYJYhSX9Jii0HPBCUs"",""Round 8!M32:R36"")}"),20.0)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1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1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1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1" t="s">
        <v>3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2" t="str">
        <f>IFERROR(__xludf.DUMMYFUNCTION("IMPORTRANGE(""1JXwZ4AjXctyKvWy9qFKCX518NRYJYhSX9Jii0HPBCUs"",""Round 8!W1"")"),"Question: 1")</f>
        <v>Question: 1</v>
      </c>
      <c r="B9" s="3" t="s">
        <v>4</v>
      </c>
    </row>
    <row r="10">
      <c r="A10" s="1"/>
    </row>
    <row r="11">
      <c r="A11" s="1" t="s">
        <v>5</v>
      </c>
      <c r="B11" t="str">
        <f>IFERROR(__xludf.DUMMYFUNCTION("{IMPORTRANGE(""1GBDUn_ZojNLX5OJCVBEhvJbdm0c55Z7lPcE4L6WH89o"",""Round 8!C1:H3""),IMPORTRANGE(""1GBDUn_ZojNLX5OJCVBEhvJbdm0c55Z7lPcE4L6WH89o"",""Round 8!M1:R3"")}"),"Team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2" t="str">
        <f>IFERROR(__xludf.DUMMYFUNCTION("CONCAT(""A BP: "",IMPORTRANGE(""1GBDUn_ZojNLX5OJCVBEhvJbdm0c55Z7lPcE4L6WH89o"",""Round 8!I32""))"),"A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2" t="str">
        <f>IFERROR(__xludf.DUMMYFUNCTION("CONCAT(""B BP: "",IMPORTRANGE(""1GBDUn_ZojNLX5OJCVBEhvJbdm0c55Z7lPcE4L6WH89o"",""Round 8!S32""))"),"B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1" t="s">
        <v>2</v>
      </c>
      <c r="B14">
        <f>IFERROR(__xludf.DUMMYFUNCTION("{IMPORTRANGE(""1GBDUn_ZojNLX5OJCVBEhvJbdm0c55Z7lPcE4L6WH89o"",""Round 8!C32:H36""),IMPORTRANGE(""1GBDUn_ZojNLX5OJCVBEhvJbdm0c55Z7lPcE4L6WH89o"",""Round 8!M32:R36"")}"),20.0)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1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1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1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1" t="s">
        <v>3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2" t="str">
        <f>IFERROR(__xludf.DUMMYFUNCTION("IMPORTRANGE(""1GBDUn_ZojNLX5OJCVBEhvJbdm0c55Z7lPcE4L6WH89o"",""Round 8!W1"")"),"Question: 1")</f>
        <v>Question: 1</v>
      </c>
      <c r="B19" s="3" t="s">
        <v>6</v>
      </c>
    </row>
    <row r="20">
      <c r="A20" s="2"/>
    </row>
    <row r="21">
      <c r="A21" s="1" t="s">
        <v>7</v>
      </c>
      <c r="B21" t="str">
        <f>IFERROR(__xludf.DUMMYFUNCTION("{IMPORTRANGE(""19Dum1qlL_dEwf1AEniLf02Eg9XaNXi1GMkI5M4_Ei6w"",""Round 8!C1:H3""),IMPORTRANGE(""19Dum1qlL_dEwf1AEniLf02Eg9XaNXi1GMkI5M4_Ei6w"",""Round 8!M1:R3"")}"),"Team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2" t="str">
        <f>IFERROR(__xludf.DUMMYFUNCTION("CONCAT(""A BP: "",IMPORTRANGE(""19Dum1qlL_dEwf1AEniLf02Eg9XaNXi1GMkI5M4_Ei6w"",""Round 8!I32""))"),"A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2" t="str">
        <f>IFERROR(__xludf.DUMMYFUNCTION("CONCAT(""B BP: "",IMPORTRANGE(""19Dum1qlL_dEwf1AEniLf02Eg9XaNXi1GMkI5M4_Ei6w"",""Round 8!S32""))"),"B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1" t="s">
        <v>2</v>
      </c>
      <c r="B24">
        <f>IFERROR(__xludf.DUMMYFUNCTION("{IMPORTRANGE(""19Dum1qlL_dEwf1AEniLf02Eg9XaNXi1GMkI5M4_Ei6w"",""Round 8!C32:H36""),IMPORTRANGE(""19Dum1qlL_dEwf1AEniLf02Eg9XaNXi1GMkI5M4_Ei6w"",""Round 8!M32:R36"")}"),20.0)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1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1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1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1" t="s">
        <v>3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2" t="str">
        <f>IFERROR(__xludf.DUMMYFUNCTION("IMPORTRANGE(""19Dum1qlL_dEwf1AEniLf02Eg9XaNXi1GMkI5M4_Ei6w"",""Round 8!W1"")"),"Question: 1")</f>
        <v>Question: 1</v>
      </c>
      <c r="B29" s="3" t="s">
        <v>8</v>
      </c>
    </row>
    <row r="30">
      <c r="A30" s="2"/>
    </row>
    <row r="31">
      <c r="A31" s="1" t="s">
        <v>44</v>
      </c>
      <c r="B31" t="str">
        <f>IFERROR(__xludf.DUMMYFUNCTION("{IMPORTRANGE(""18KjuM_F6goZYnozVb7folIb5Hw_mfKQrNdVWKGx6j4s"",""Round 8!C1:H3""),IMPORTRANGE(""18KjuM_F6goZYnozVb7folIb5Hw_mfKQrNdVWKGx6j4s"",""Round 8!M1:R3"")}"),"Oak Valley A (JV)")</f>
        <v>Oak Valley A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IFERROR(__xludf.DUMMYFUNCTION("""COMPUTED_VALUE"""),"Rancho Bernardo (JV)")</f>
        <v>Rancho Bernardo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2" t="str">
        <f>IFERROR(__xludf.DUMMYFUNCTION("CONCAT(""A BP: "",IMPORTRANGE(""18KjuM_F6goZYnozVb7folIb5Hw_mfKQrNdVWKGx6j4s"",""Round 8!I32""))"),"A BP: 210")</f>
        <v>A BP: 210</v>
      </c>
      <c r="B32" t="str">
        <f>IFERROR(__xludf.DUMMYFUNCTION("""COMPUTED_VALUE"""),"Score: 310")</f>
        <v>Score: 310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215")</f>
        <v>Score: 215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2" t="str">
        <f>IFERROR(__xludf.DUMMYFUNCTION("CONCAT(""B BP: "",IMPORTRANGE(""18KjuM_F6goZYnozVb7folIb5Hw_mfKQrNdVWKGx6j4s"",""Round 8!S32""))"),"B BP: 140")</f>
        <v>B BP: 140</v>
      </c>
      <c r="B33" t="str">
        <f>IFERROR(__xludf.DUMMYFUNCTION("""COMPUTED_VALUE"""),"Conner Feng (8)")</f>
        <v>Conner Feng (8)</v>
      </c>
      <c r="C33" t="str">
        <f>IFERROR(__xludf.DUMMYFUNCTION("""COMPUTED_VALUE"""),"Jadon Pandian (7)")</f>
        <v>Jadon Pandian (7)</v>
      </c>
      <c r="D33" t="str">
        <f>IFERROR(__xludf.DUMMYFUNCTION("""COMPUTED_VALUE"""),"Jonas Brown (7)")</f>
        <v>Jonas Brown (7)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IFERROR(__xludf.DUMMYFUNCTION("""COMPUTED_VALUE"""),"Sandy Tran (12)")</f>
        <v>Sandy Tran (12)</v>
      </c>
      <c r="I33" t="str">
        <f>IFERROR(__xludf.DUMMYFUNCTION("""COMPUTED_VALUE"""),"Katheryn Garrett (11)")</f>
        <v>Katheryn Garrett (11)</v>
      </c>
      <c r="J33" t="str">
        <f>IFERROR(__xludf.DUMMYFUNCTION("""COMPUTED_VALUE"""),"YungYi Sun (12)")</f>
        <v>YungYi Sun (12)</v>
      </c>
      <c r="K33" t="str">
        <f>IFERROR(__xludf.DUMMYFUNCTION("""COMPUTED_VALUE"""),"Patrick Joyce (11)")</f>
        <v>Patrick Joyce (11)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1" t="s">
        <v>2</v>
      </c>
      <c r="B34">
        <f>IFERROR(__xludf.DUMMYFUNCTION("{IMPORTRANGE(""18KjuM_F6goZYnozVb7folIb5Hw_mfKQrNdVWKGx6j4s"",""Round 8!C32:H36""),IMPORTRANGE(""18KjuM_F6goZYnozVb7folIb5Hw_mfKQrNdVWKGx6j4s"",""Round 8!M32:R36"")}"),20.0)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1">
        <v>15.0</v>
      </c>
      <c r="B35">
        <f>IFERROR(__xludf.DUMMYFUNCTION("""COMPUTED_VALUE"""),0.0)</f>
        <v>0</v>
      </c>
      <c r="C35">
        <f>IFERROR(__xludf.DUMMYFUNCTION("""COMPUTED_VALUE"""),1.0)</f>
        <v>1</v>
      </c>
      <c r="D35">
        <f>IFERROR(__xludf.DUMMYFUNCTION("""COMPUTED_VALUE"""),1.0)</f>
        <v>1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IFERROR(__xludf.DUMMYFUNCTION("""COMPUTED_VALUE"""),1.0)</f>
        <v>1</v>
      </c>
      <c r="I35">
        <f>IFERROR(__xludf.DUMMYFUNCTION("""COMPUTED_VALUE"""),0.0)</f>
        <v>0</v>
      </c>
      <c r="J35">
        <f>IFERROR(__xludf.DUMMYFUNCTION("""COMPUTED_VALUE"""),0.0)</f>
        <v>0</v>
      </c>
      <c r="K35">
        <f>IFERROR(__xludf.DUMMYFUNCTION("""COMPUTED_VALUE"""),1.0)</f>
        <v>1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1">
        <v>10.0</v>
      </c>
      <c r="B36">
        <f>IFERROR(__xludf.DUMMYFUNCTION("""COMPUTED_VALUE"""),6.0)</f>
        <v>6</v>
      </c>
      <c r="C36">
        <f>IFERROR(__xludf.DUMMYFUNCTION("""COMPUTED_VALUE"""),1.0)</f>
        <v>1</v>
      </c>
      <c r="D36">
        <f>IFERROR(__xludf.DUMMYFUNCTION("""COMPUTED_VALUE"""),1.0)</f>
        <v>1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IFERROR(__xludf.DUMMYFUNCTION("""COMPUTED_VALUE"""),4.0)</f>
        <v>4</v>
      </c>
      <c r="I36">
        <f>IFERROR(__xludf.DUMMYFUNCTION("""COMPUTED_VALUE"""),0.0)</f>
        <v>0</v>
      </c>
      <c r="J36">
        <f>IFERROR(__xludf.DUMMYFUNCTION("""COMPUTED_VALUE"""),1.0)</f>
        <v>1</v>
      </c>
      <c r="K36">
        <f>IFERROR(__xludf.DUMMYFUNCTION("""COMPUTED_VALUE"""),0.0)</f>
        <v>0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1">
        <v>-5.0</v>
      </c>
      <c r="B37">
        <f>IFERROR(__xludf.DUMMYFUNCTION("""COMPUTED_VALUE"""),1.0)</f>
        <v>1</v>
      </c>
      <c r="C37">
        <f>IFERROR(__xludf.DUMMYFUNCTION("""COMPUTED_VALUE"""),0.0)</f>
        <v>0</v>
      </c>
      <c r="D37">
        <f>IFERROR(__xludf.DUMMYFUNCTION("""COMPUTED_VALUE"""),1.0)</f>
        <v>1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IFERROR(__xludf.DUMMYFUNCTION("""COMPUTED_VALUE"""),1.0)</f>
        <v>1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1" t="s">
        <v>3</v>
      </c>
      <c r="B38">
        <f>IFERROR(__xludf.DUMMYFUNCTION("""COMPUTED_VALUE"""),55.0)</f>
        <v>55</v>
      </c>
      <c r="C38">
        <f>IFERROR(__xludf.DUMMYFUNCTION("""COMPUTED_VALUE"""),25.0)</f>
        <v>25</v>
      </c>
      <c r="D38">
        <f>IFERROR(__xludf.DUMMYFUNCTION("""COMPUTED_VALUE"""),20.0)</f>
        <v>20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IFERROR(__xludf.DUMMYFUNCTION("""COMPUTED_VALUE"""),50.0)</f>
        <v>50</v>
      </c>
      <c r="I38">
        <f>IFERROR(__xludf.DUMMYFUNCTION("""COMPUTED_VALUE"""),0.0)</f>
        <v>0</v>
      </c>
      <c r="J38">
        <f>IFERROR(__xludf.DUMMYFUNCTION("""COMPUTED_VALUE"""),10.0)</f>
        <v>10</v>
      </c>
      <c r="K38">
        <f>IFERROR(__xludf.DUMMYFUNCTION("""COMPUTED_VALUE"""),15.0)</f>
        <v>15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2" t="str">
        <f>IFERROR(__xludf.DUMMYFUNCTION("IMPORTRANGE(""18KjuM_F6goZYnozVb7folIb5Hw_mfKQrNdVWKGx6j4s"",""Round 8!W1"")"),"Question: 21")</f>
        <v>Question: 21</v>
      </c>
      <c r="B39" s="3" t="s">
        <v>10</v>
      </c>
    </row>
    <row r="40">
      <c r="A40" s="2"/>
    </row>
    <row r="41">
      <c r="A41" s="1" t="s">
        <v>12</v>
      </c>
      <c r="B41" t="str">
        <f>IFERROR(__xludf.DUMMYFUNCTION("{IMPORTRANGE(""1_YEY20HiFjspjicPICCMlL_lQXsksdB6d3m5vzHwuOI"",""Round 8!C1:H3""),IMPORTRANGE(""1_YEY20HiFjspjicPICCMlL_lQXsksdB6d3m5vzHwuOI"",""Round 8!M1:R3"")}"),"La Serna A (JV)")</f>
        <v>La Serna A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IFERROR(__xludf.DUMMYFUNCTION("""COMPUTED_VALUE"""),"Black Mountain A (JV)")</f>
        <v>Black Mountain A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2" t="str">
        <f>IFERROR(__xludf.DUMMYFUNCTION("CONCAT(""A BP: "",IMPORTRANGE(""1_YEY20HiFjspjicPICCMlL_lQXsksdB6d3m5vzHwuOI"",""Round 8!I32""))"),"A BP: 120")</f>
        <v>A BP: 120</v>
      </c>
      <c r="B42" t="str">
        <f>IFERROR(__xludf.DUMMYFUNCTION("""COMPUTED_VALUE"""),"Score: 200")</f>
        <v>Score: 200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235")</f>
        <v>Score: 235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2" t="str">
        <f>IFERROR(__xludf.DUMMYFUNCTION("CONCAT(""B BP: "",IMPORTRANGE(""1_YEY20HiFjspjicPICCMlL_lQXsksdB6d3m5vzHwuOI"",""Round 8!S32""))"),"B BP: 150")</f>
        <v>B BP: 150</v>
      </c>
      <c r="B43" t="str">
        <f>IFERROR(__xludf.DUMMYFUNCTION("""COMPUTED_VALUE"""),"Cole Aedo (12)")</f>
        <v>Cole Aedo (12)</v>
      </c>
      <c r="C43" t="str">
        <f>IFERROR(__xludf.DUMMYFUNCTION("""COMPUTED_VALUE"""),"Jay Gamez (12)")</f>
        <v>Jay Gamez (12)</v>
      </c>
      <c r="D43" t="str">
        <f>IFERROR(__xludf.DUMMYFUNCTION("""COMPUTED_VALUE"""),"Ian Brennan (12)")</f>
        <v>Ian Brennan (12)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IFERROR(__xludf.DUMMYFUNCTION("""COMPUTED_VALUE"""),"Adarsh Venkateswaran (8)")</f>
        <v>Adarsh Venkateswaran (8)</v>
      </c>
      <c r="I43" t="str">
        <f>IFERROR(__xludf.DUMMYFUNCTION("""COMPUTED_VALUE"""),"Anvit Watwani (7)")</f>
        <v>Anvit Watwani (7)</v>
      </c>
      <c r="J43" t="str">
        <f>IFERROR(__xludf.DUMMYFUNCTION("""COMPUTED_VALUE"""),"Tanvi Bhide (7)")</f>
        <v>Tanvi Bhide (7)</v>
      </c>
      <c r="K43" t="str">
        <f>IFERROR(__xludf.DUMMYFUNCTION("""COMPUTED_VALUE"""),"Edwin Chang (8)")</f>
        <v>Edwin Chang (8)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1" t="s">
        <v>2</v>
      </c>
      <c r="B44">
        <f>IFERROR(__xludf.DUMMYFUNCTION("{IMPORTRANGE(""1_YEY20HiFjspjicPICCMlL_lQXsksdB6d3m5vzHwuOI"",""Round 8!C32:H36""),IMPORTRANGE(""1_YEY20HiFjspjicPICCMlL_lQXsksdB6d3m5vzHwuOI"",""Round 8!M32:R36"")}"),20.0)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1">
        <v>15.0</v>
      </c>
      <c r="B45">
        <f>IFERROR(__xludf.DUMMYFUNCTION("""COMPUTED_VALUE"""),4.0)</f>
        <v>4</v>
      </c>
      <c r="C45">
        <f>IFERROR(__xludf.DUMMYFUNCTION("""COMPUTED_VALUE"""),0.0)</f>
        <v>0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IFERROR(__xludf.DUMMYFUNCTION("""COMPUTED_VALUE"""),1.0)</f>
        <v>1</v>
      </c>
      <c r="I45">
        <f>IFERROR(__xludf.DUMMYFUNCTION("""COMPUTED_VALUE"""),1.0)</f>
        <v>1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1">
        <v>10.0</v>
      </c>
      <c r="B46">
        <f>IFERROR(__xludf.DUMMYFUNCTION("""COMPUTED_VALUE"""),3.0)</f>
        <v>3</v>
      </c>
      <c r="C46">
        <f>IFERROR(__xludf.DUMMYFUNCTION("""COMPUTED_VALUE"""),0.0)</f>
        <v>0</v>
      </c>
      <c r="D46">
        <f>IFERROR(__xludf.DUMMYFUNCTION("""COMPUTED_VALUE"""),1.0)</f>
        <v>1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IFERROR(__xludf.DUMMYFUNCTION("""COMPUTED_VALUE"""),2.0)</f>
        <v>2</v>
      </c>
      <c r="I46">
        <f>IFERROR(__xludf.DUMMYFUNCTION("""COMPUTED_VALUE"""),3.0)</f>
        <v>3</v>
      </c>
      <c r="J46">
        <f>IFERROR(__xludf.DUMMYFUNCTION("""COMPUTED_VALUE"""),2.0)</f>
        <v>2</v>
      </c>
      <c r="K46">
        <f>IFERROR(__xludf.DUMMYFUNCTION("""COMPUTED_VALUE"""),0.0)</f>
        <v>0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1">
        <v>-5.0</v>
      </c>
      <c r="B47">
        <f>IFERROR(__xludf.DUMMYFUNCTION("""COMPUTED_VALUE"""),2.0)</f>
        <v>2</v>
      </c>
      <c r="C47">
        <f>IFERROR(__xludf.DUMMYFUNCTION("""COMPUTED_VALUE"""),0.0)</f>
        <v>0</v>
      </c>
      <c r="D47">
        <f>IFERROR(__xludf.DUMMYFUNCTION("""COMPUTED_VALUE"""),2.0)</f>
        <v>2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IFERROR(__xludf.DUMMYFUNCTION("""COMPUTED_VALUE"""),1.0)</f>
        <v>1</v>
      </c>
      <c r="I47">
        <f>IFERROR(__xludf.DUMMYFUNCTION("""COMPUTED_VALUE"""),0.0)</f>
        <v>0</v>
      </c>
      <c r="J47">
        <f>IFERROR(__xludf.DUMMYFUNCTION("""COMPUTED_VALUE"""),1.0)</f>
        <v>1</v>
      </c>
      <c r="K47">
        <f>IFERROR(__xludf.DUMMYFUNCTION("""COMPUTED_VALUE"""),1.0)</f>
        <v>1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1" t="s">
        <v>3</v>
      </c>
      <c r="B48">
        <f>IFERROR(__xludf.DUMMYFUNCTION("""COMPUTED_VALUE"""),80.0)</f>
        <v>80</v>
      </c>
      <c r="C48">
        <f>IFERROR(__xludf.DUMMYFUNCTION("""COMPUTED_VALUE"""),0.0)</f>
        <v>0</v>
      </c>
      <c r="D48">
        <f>IFERROR(__xludf.DUMMYFUNCTION("""COMPUTED_VALUE"""),0.0)</f>
        <v>0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IFERROR(__xludf.DUMMYFUNCTION("""COMPUTED_VALUE"""),30.0)</f>
        <v>30</v>
      </c>
      <c r="I48">
        <f>IFERROR(__xludf.DUMMYFUNCTION("""COMPUTED_VALUE"""),45.0)</f>
        <v>45</v>
      </c>
      <c r="J48">
        <f>IFERROR(__xludf.DUMMYFUNCTION("""COMPUTED_VALUE"""),15.0)</f>
        <v>15</v>
      </c>
      <c r="K48">
        <f>IFERROR(__xludf.DUMMYFUNCTION("""COMPUTED_VALUE"""),-5.0)</f>
        <v>-5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2" t="str">
        <f>IFERROR(__xludf.DUMMYFUNCTION("IMPORTRANGE(""1_YEY20HiFjspjicPICCMlL_lQXsksdB6d3m5vzHwuOI"",""Round 8!W1"")"),"Question: 21")</f>
        <v>Question: 21</v>
      </c>
      <c r="B49" s="3" t="s">
        <v>13</v>
      </c>
    </row>
    <row r="50">
      <c r="A50" s="2"/>
    </row>
    <row r="51">
      <c r="A51" s="1" t="s">
        <v>15</v>
      </c>
      <c r="B51" t="str">
        <f>IFERROR(__xludf.DUMMYFUNCTION("{IMPORTRANGE(""1SYS5Ef48991ZUgqcGqj51eX2YgqKCzfrEZ_pUY01Lwo"",""Round 8!C1:H3""),IMPORTRANGE(""1SYS5Ef48991ZUgqcGqj51eX2YgqKCzfrEZ_pUY01Lwo"",""Round 8!M1:R3"")}"),"Canyon Crest D (JV)")</f>
        <v>Canyon Crest D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IFERROR(__xludf.DUMMYFUNCTION("""COMPUTED_VALUE"""),"Westview C (JV)")</f>
        <v>Westview C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2" t="str">
        <f>IFERROR(__xludf.DUMMYFUNCTION("CONCAT(""A BP: "",IMPORTRANGE(""1SYS5Ef48991ZUgqcGqj51eX2YgqKCzfrEZ_pUY01Lwo"",""Round 8!I32""))"),"A BP: 160")</f>
        <v>A BP: 160</v>
      </c>
      <c r="B52" t="str">
        <f>IFERROR(__xludf.DUMMYFUNCTION("""COMPUTED_VALUE"""),"Score: 260")</f>
        <v>Score: 260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265")</f>
        <v>Score: 265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2" t="str">
        <f>IFERROR(__xludf.DUMMYFUNCTION("CONCAT(""B BP: "",IMPORTRANGE(""1SYS5Ef48991ZUgqcGqj51eX2YgqKCzfrEZ_pUY01Lwo"",""Round 8!S32""))"),"B BP: 190")</f>
        <v>B BP: 190</v>
      </c>
      <c r="B53" t="str">
        <f>IFERROR(__xludf.DUMMYFUNCTION("""COMPUTED_VALUE"""),"Tompson Hsu (12)")</f>
        <v>Tompson Hsu (12)</v>
      </c>
      <c r="C53" t="str">
        <f>IFERROR(__xludf.DUMMYFUNCTION("""COMPUTED_VALUE"""),"Demitrius Hong (12)")</f>
        <v>Demitrius Hong (12)</v>
      </c>
      <c r="D53" t="str">
        <f>IFERROR(__xludf.DUMMYFUNCTION("""COMPUTED_VALUE"""),"Kyle Lu (12)")</f>
        <v>Kyle Lu (12)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IFERROR(__xludf.DUMMYFUNCTION("""COMPUTED_VALUE"""),"Rohan Kumar (11)")</f>
        <v>Rohan Kumar (11)</v>
      </c>
      <c r="I53" t="str">
        <f>IFERROR(__xludf.DUMMYFUNCTION("""COMPUTED_VALUE"""),"Aiken Wang (9)")</f>
        <v>Aiken Wang (9)</v>
      </c>
      <c r="J53" t="str">
        <f>IFERROR(__xludf.DUMMYFUNCTION("""COMPUTED_VALUE"""),"Radhika Sreelal (10)")</f>
        <v>Radhika Sreelal (10)</v>
      </c>
      <c r="K53" t="str">
        <f>IFERROR(__xludf.DUMMYFUNCTION("""COMPUTED_VALUE"""),"Player 4")</f>
        <v>Player 4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1" t="s">
        <v>2</v>
      </c>
      <c r="B54">
        <f>IFERROR(__xludf.DUMMYFUNCTION("{IMPORTRANGE(""1SYS5Ef48991ZUgqcGqj51eX2YgqKCzfrEZ_pUY01Lwo"",""Round 8!C32:H36""),IMPORTRANGE(""1SYS5Ef48991ZUgqcGqj51eX2YgqKCzfrEZ_pUY01Lwo"",""Round 8!M32:R36"")}"),20.0)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1">
        <v>15.0</v>
      </c>
      <c r="B55">
        <f>IFERROR(__xludf.DUMMYFUNCTION("""COMPUTED_VALUE"""),0.0)</f>
        <v>0</v>
      </c>
      <c r="C55">
        <f>IFERROR(__xludf.DUMMYFUNCTION("""COMPUTED_VALUE"""),2.0)</f>
        <v>2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IFERROR(__xludf.DUMMYFUNCTION("""COMPUTED_VALUE"""),1.0)</f>
        <v>1</v>
      </c>
      <c r="I55">
        <f>IFERROR(__xludf.DUMMYFUNCTION("""COMPUTED_VALUE"""),1.0)</f>
        <v>1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1">
        <v>10.0</v>
      </c>
      <c r="B56">
        <f>IFERROR(__xludf.DUMMYFUNCTION("""COMPUTED_VALUE"""),3.0)</f>
        <v>3</v>
      </c>
      <c r="C56">
        <f>IFERROR(__xludf.DUMMYFUNCTION("""COMPUTED_VALUE"""),3.0)</f>
        <v>3</v>
      </c>
      <c r="D56">
        <f>IFERROR(__xludf.DUMMYFUNCTION("""COMPUTED_VALUE"""),1.0)</f>
        <v>1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IFERROR(__xludf.DUMMYFUNCTION("""COMPUTED_VALUE"""),4.0)</f>
        <v>4</v>
      </c>
      <c r="I56">
        <f>IFERROR(__xludf.DUMMYFUNCTION("""COMPUTED_VALUE"""),2.0)</f>
        <v>2</v>
      </c>
      <c r="J56">
        <f>IFERROR(__xludf.DUMMYFUNCTION("""COMPUTED_VALUE"""),0.0)</f>
        <v>0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1">
        <v>-5.0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IFERROR(__xludf.DUMMYFUNCTION("""COMPUTED_VALUE"""),3.0)</f>
        <v>3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1" t="s">
        <v>3</v>
      </c>
      <c r="B58">
        <f>IFERROR(__xludf.DUMMYFUNCTION("""COMPUTED_VALUE"""),30.0)</f>
        <v>30</v>
      </c>
      <c r="C58">
        <f>IFERROR(__xludf.DUMMYFUNCTION("""COMPUTED_VALUE"""),60.0)</f>
        <v>60</v>
      </c>
      <c r="D58">
        <f>IFERROR(__xludf.DUMMYFUNCTION("""COMPUTED_VALUE"""),10.0)</f>
        <v>10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IFERROR(__xludf.DUMMYFUNCTION("""COMPUTED_VALUE"""),40.0)</f>
        <v>40</v>
      </c>
      <c r="I58">
        <f>IFERROR(__xludf.DUMMYFUNCTION("""COMPUTED_VALUE"""),35.0)</f>
        <v>35</v>
      </c>
      <c r="J58">
        <f>IFERROR(__xludf.DUMMYFUNCTION("""COMPUTED_VALUE"""),0.0)</f>
        <v>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2" t="str">
        <f>IFERROR(__xludf.DUMMYFUNCTION("IMPORTRANGE(""1SYS5Ef48991ZUgqcGqj51eX2YgqKCzfrEZ_pUY01Lwo"",""Round 8!W1"")"),"Question: 21")</f>
        <v>Question: 21</v>
      </c>
      <c r="B59" s="3" t="s">
        <v>16</v>
      </c>
    </row>
    <row r="60">
      <c r="A60" s="2"/>
    </row>
    <row r="61">
      <c r="A61" s="1" t="s">
        <v>17</v>
      </c>
      <c r="B61" t="str">
        <f>IFERROR(__xludf.DUMMYFUNCTION("{IMPORTRANGE(""1UJlRLlhI2Hg_SAQqQOg0JGdwHhiagF7EVAtCX8UOYFc"",""Round 8!C1:H3""),IMPORTRANGE(""1UJlRLlhI2Hg_SAQqQOg0JGdwHhiagF7EVAtCX8UOYFc"",""Round 8!M1:R3"")}"),"Scripps Ranch B (JV)")</f>
        <v>Scripps Ranch B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IFERROR(__xludf.DUMMYFUNCTION("""COMPUTED_VALUE"""),"Oak Valley B (JV)")</f>
        <v>Oak Valley B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2" t="str">
        <f>IFERROR(__xludf.DUMMYFUNCTION("CONCAT(""A BP: "",IMPORTRANGE(""1UJlRLlhI2Hg_SAQqQOg0JGdwHhiagF7EVAtCX8UOYFc"",""Round 8!I32""))"),"A BP: 30")</f>
        <v>A BP: 30</v>
      </c>
      <c r="B62" t="str">
        <f>IFERROR(__xludf.DUMMYFUNCTION("""COMPUTED_VALUE"""),"Score: 80")</f>
        <v>Score: 80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290")</f>
        <v>Score: 290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2" t="str">
        <f>IFERROR(__xludf.DUMMYFUNCTION("CONCAT(""B BP: "",IMPORTRANGE(""1UJlRLlhI2Hg_SAQqQOg0JGdwHhiagF7EVAtCX8UOYFc"",""Round 8!S32""))"),"B BP: 180")</f>
        <v>B BP: 180</v>
      </c>
      <c r="B63" t="str">
        <f>IFERROR(__xludf.DUMMYFUNCTION("""COMPUTED_VALUE"""),"Tristan Thai (9)")</f>
        <v>Tristan Thai (9)</v>
      </c>
      <c r="C63" t="str">
        <f>IFERROR(__xludf.DUMMYFUNCTION("""COMPUTED_VALUE"""),"Shabdika Gubba (9)")</f>
        <v>Shabdika Gubba (9)</v>
      </c>
      <c r="D63" t="str">
        <f>IFERROR(__xludf.DUMMYFUNCTION("""COMPUTED_VALUE"""),"Sam Wu (9)")</f>
        <v>Sam Wu (9)</v>
      </c>
      <c r="E63" t="str">
        <f>IFERROR(__xludf.DUMMYFUNCTION("""COMPUTED_VALUE"""),"")</f>
        <v/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IFERROR(__xludf.DUMMYFUNCTION("""COMPUTED_VALUE"""),"Rohan Gaikwad (8)")</f>
        <v>Rohan Gaikwad (8)</v>
      </c>
      <c r="I63" t="str">
        <f>IFERROR(__xludf.DUMMYFUNCTION("""COMPUTED_VALUE"""),"John Bruvold (8)")</f>
        <v>John Bruvold (8)</v>
      </c>
      <c r="J63" t="str">
        <f>IFERROR(__xludf.DUMMYFUNCTION("""COMPUTED_VALUE"""),"Amina Aslam-Mir (7)")</f>
        <v>Amina Aslam-Mir (7)</v>
      </c>
      <c r="K63" t="str">
        <f>IFERROR(__xludf.DUMMYFUNCTION("""COMPUTED_VALUE"""),"Ethan Huang (7)")</f>
        <v>Ethan Huang (7)</v>
      </c>
      <c r="L63" t="str">
        <f>IFERROR(__xludf.DUMMYFUNCTION("""COMPUTED_VALUE"""),"Aditi Bandaru (7)")</f>
        <v>Aditi Bandaru (7)</v>
      </c>
      <c r="M63" t="str">
        <f>IFERROR(__xludf.DUMMYFUNCTION("""COMPUTED_VALUE"""),"Player 6")</f>
        <v>Player 6</v>
      </c>
    </row>
    <row r="64">
      <c r="A64" s="1" t="s">
        <v>2</v>
      </c>
      <c r="B64">
        <f>IFERROR(__xludf.DUMMYFUNCTION("{IMPORTRANGE(""1UJlRLlhI2Hg_SAQqQOg0JGdwHhiagF7EVAtCX8UOYFc"",""Round 8!C32:H36""),IMPORTRANGE(""1UJlRLlhI2Hg_SAQqQOg0JGdwHhiagF7EVAtCX8UOYFc"",""Round 8!M32:R36"")}"),20.0)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IFERROR(__xludf.DUMMYFUNCTION("""COMPUTED_VALUE"""),10.0)</f>
        <v>10</v>
      </c>
      <c r="L64">
        <f>IFERROR(__xludf.DUMMYFUNCTION("""COMPUTED_VALUE"""),10.0)</f>
        <v>10</v>
      </c>
      <c r="M64" t="str">
        <f>IFERROR(__xludf.DUMMYFUNCTION("""COMPUTED_VALUE"""),"")</f>
        <v/>
      </c>
    </row>
    <row r="65">
      <c r="A65" s="1">
        <v>15.0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IFERROR(__xludf.DUMMYFUNCTION("""COMPUTED_VALUE"""),2.0)</f>
        <v>2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IFERROR(__xludf.DUMMYFUNCTION("""COMPUTED_VALUE"""),1.0)</f>
        <v>1</v>
      </c>
      <c r="I65">
        <f>IFERROR(__xludf.DUMMYFUNCTION("""COMPUTED_VALUE"""),1.0)</f>
        <v>1</v>
      </c>
      <c r="J65">
        <f>IFERROR(__xludf.DUMMYFUNCTION("""COMPUTED_VALUE"""),1.0)</f>
        <v>1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1">
        <v>10.0</v>
      </c>
      <c r="B66">
        <f>IFERROR(__xludf.DUMMYFUNCTION("""COMPUTED_VALUE"""),1.0)</f>
        <v>1</v>
      </c>
      <c r="C66">
        <f>IFERROR(__xludf.DUMMYFUNCTION("""COMPUTED_VALUE"""),0.0)</f>
        <v>0</v>
      </c>
      <c r="D66">
        <f>IFERROR(__xludf.DUMMYFUNCTION("""COMPUTED_VALUE"""),1.0)</f>
        <v>1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IFERROR(__xludf.DUMMYFUNCTION("""COMPUTED_VALUE"""),7.0)</f>
        <v>7</v>
      </c>
      <c r="I66">
        <f>IFERROR(__xludf.DUMMYFUNCTION("""COMPUTED_VALUE"""),0.0)</f>
        <v>0</v>
      </c>
      <c r="J66">
        <f>IFERROR(__xludf.DUMMYFUNCTION("""COMPUTED_VALUE"""),1.0)</f>
        <v>1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1">
        <v>-5.0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IFERROR(__xludf.DUMMYFUNCTION("""COMPUTED_VALUE"""),2.0)</f>
        <v>2</v>
      </c>
      <c r="I67">
        <f>IFERROR(__xludf.DUMMYFUNCTION("""COMPUTED_VALUE"""),0.0)</f>
        <v>0</v>
      </c>
      <c r="J67">
        <f>IFERROR(__xludf.DUMMYFUNCTION("""COMPUTED_VALUE"""),1.0)</f>
        <v>1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1" t="s">
        <v>3</v>
      </c>
      <c r="B68">
        <f>IFERROR(__xludf.DUMMYFUNCTION("""COMPUTED_VALUE"""),10.0)</f>
        <v>10</v>
      </c>
      <c r="C68">
        <f>IFERROR(__xludf.DUMMYFUNCTION("""COMPUTED_VALUE"""),0.0)</f>
        <v>0</v>
      </c>
      <c r="D68">
        <f>IFERROR(__xludf.DUMMYFUNCTION("""COMPUTED_VALUE"""),40.0)</f>
        <v>40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IFERROR(__xludf.DUMMYFUNCTION("""COMPUTED_VALUE"""),75.0)</f>
        <v>75</v>
      </c>
      <c r="I68">
        <f>IFERROR(__xludf.DUMMYFUNCTION("""COMPUTED_VALUE"""),15.0)</f>
        <v>15</v>
      </c>
      <c r="J68">
        <f>IFERROR(__xludf.DUMMYFUNCTION("""COMPUTED_VALUE"""),20.0)</f>
        <v>20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2" t="str">
        <f>IFERROR(__xludf.DUMMYFUNCTION("IMPORTRANGE(""1UJlRLlhI2Hg_SAQqQOg0JGdwHhiagF7EVAtCX8UOYFc"",""Round 8!W1"")"),"Question: 21")</f>
        <v>Question: 21</v>
      </c>
      <c r="B69" s="3" t="s">
        <v>19</v>
      </c>
    </row>
    <row r="70">
      <c r="A70" s="2"/>
    </row>
    <row r="71">
      <c r="A71" s="1" t="s">
        <v>20</v>
      </c>
      <c r="B71" t="str">
        <f>IFERROR(__xludf.DUMMYFUNCTION("{IMPORTRANGE(""1jA96n0qbauznSt6-hkr51AslpxJqfrWgkafVtMV8_xU"",""Round 8!C1:H3""),IMPORTRANGE(""1jA96n0qbauznSt6-hkr51AslpxJqfrWgkafVtMV8_xU"",""Round 8!M1:R3"")}"),"Troy B (JV)")</f>
        <v>Troy B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IFERROR(__xludf.DUMMYFUNCTION("""COMPUTED_VALUE"""),"Del Norte (JV)")</f>
        <v>Del Norte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2" t="str">
        <f>IFERROR(__xludf.DUMMYFUNCTION("CONCAT(""A BP: "",IMPORTRANGE(""1jA96n0qbauznSt6-hkr51AslpxJqfrWgkafVtMV8_xU"",""Round 8!I32""))"),"A BP: 120")</f>
        <v>A BP: 120</v>
      </c>
      <c r="B72" t="str">
        <f>IFERROR(__xludf.DUMMYFUNCTION("""COMPUTED_VALUE"""),"Score: 210")</f>
        <v>Score: 210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255")</f>
        <v>Score: 255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2" t="str">
        <f>IFERROR(__xludf.DUMMYFUNCTION("CONCAT(""B BP: "",IMPORTRANGE(""1jA96n0qbauznSt6-hkr51AslpxJqfrWgkafVtMV8_xU"",""Round 8!S32""))"),"B BP: 170")</f>
        <v>B BP: 170</v>
      </c>
      <c r="B73" t="str">
        <f>IFERROR(__xludf.DUMMYFUNCTION("""COMPUTED_VALUE"""),"Ryan Salehi (11)")</f>
        <v>Ryan Salehi (11)</v>
      </c>
      <c r="C73" t="str">
        <f>IFERROR(__xludf.DUMMYFUNCTION("""COMPUTED_VALUE"""),"Luke Waldo (11)")</f>
        <v>Luke Waldo (11)</v>
      </c>
      <c r="D73" t="str">
        <f>IFERROR(__xludf.DUMMYFUNCTION("""COMPUTED_VALUE"""),"Juan Manalo (11)")</f>
        <v>Juan Manalo (11)</v>
      </c>
      <c r="E73" t="str">
        <f>IFERROR(__xludf.DUMMYFUNCTION("""COMPUTED_VALUE"""),"")</f>
        <v/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IFERROR(__xludf.DUMMYFUNCTION("""COMPUTED_VALUE"""),"Kyle Nagasawa (11)")</f>
        <v>Kyle Nagasawa (11)</v>
      </c>
      <c r="I73" t="str">
        <f>IFERROR(__xludf.DUMMYFUNCTION("""COMPUTED_VALUE"""),"Kinish Sathish (9)")</f>
        <v>Kinish Sathish (9)</v>
      </c>
      <c r="J73" t="str">
        <f>IFERROR(__xludf.DUMMYFUNCTION("""COMPUTED_VALUE"""),"Player 3")</f>
        <v>Player 3</v>
      </c>
      <c r="K73" t="str">
        <f>IFERROR(__xludf.DUMMYFUNCTION("""COMPUTED_VALUE"""),"Player 4")</f>
        <v>Player 4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1" t="s">
        <v>2</v>
      </c>
      <c r="B74">
        <f>IFERROR(__xludf.DUMMYFUNCTION("{IMPORTRANGE(""1jA96n0qbauznSt6-hkr51AslpxJqfrWgkafVtMV8_xU"",""Round 8!C32:H36""),IMPORTRANGE(""1jA96n0qbauznSt6-hkr51AslpxJqfrWgkafVtMV8_xU"",""Round 8!M32:R36"")}"),20.0)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1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IFERROR(__xludf.DUMMYFUNCTION("""COMPUTED_VALUE"""),3.0)</f>
        <v>3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1">
        <v>10.0</v>
      </c>
      <c r="B76">
        <f>IFERROR(__xludf.DUMMYFUNCTION("""COMPUTED_VALUE"""),2.0)</f>
        <v>2</v>
      </c>
      <c r="C76">
        <f>IFERROR(__xludf.DUMMYFUNCTION("""COMPUTED_VALUE"""),4.0)</f>
        <v>4</v>
      </c>
      <c r="D76">
        <f>IFERROR(__xludf.DUMMYFUNCTION("""COMPUTED_VALUE"""),3.0)</f>
        <v>3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IFERROR(__xludf.DUMMYFUNCTION("""COMPUTED_VALUE"""),1.0)</f>
        <v>1</v>
      </c>
      <c r="I76">
        <f>IFERROR(__xludf.DUMMYFUNCTION("""COMPUTED_VALUE"""),5.0)</f>
        <v>5</v>
      </c>
      <c r="J76">
        <f>IFERROR(__xludf.DUMMYFUNCTION("""COMPUTED_VALUE"""),0.0)</f>
        <v>0</v>
      </c>
      <c r="K76">
        <f>IFERROR(__xludf.DUMMYFUNCTION("""COMPUTED_VALUE"""),0.0)</f>
        <v>0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1">
        <v>-5.0</v>
      </c>
      <c r="B77">
        <f>IFERROR(__xludf.DUMMYFUNCTION("""COMPUTED_VALUE"""),0.0)</f>
        <v>0</v>
      </c>
      <c r="C77">
        <f>IFERROR(__xludf.DUMMYFUNCTION("""COMPUTED_VALUE"""),0.0)</f>
        <v>0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IFERROR(__xludf.DUMMYFUNCTION("""COMPUTED_VALUE"""),3.0)</f>
        <v>3</v>
      </c>
      <c r="I77">
        <f>IFERROR(__xludf.DUMMYFUNCTION("""COMPUTED_VALUE"""),1.0)</f>
        <v>1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1" t="s">
        <v>3</v>
      </c>
      <c r="B78">
        <f>IFERROR(__xludf.DUMMYFUNCTION("""COMPUTED_VALUE"""),20.0)</f>
        <v>20</v>
      </c>
      <c r="C78">
        <f>IFERROR(__xludf.DUMMYFUNCTION("""COMPUTED_VALUE"""),40.0)</f>
        <v>40</v>
      </c>
      <c r="D78">
        <f>IFERROR(__xludf.DUMMYFUNCTION("""COMPUTED_VALUE"""),30.0)</f>
        <v>30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IFERROR(__xludf.DUMMYFUNCTION("""COMPUTED_VALUE"""),-5.0)</f>
        <v>-5</v>
      </c>
      <c r="I78">
        <f>IFERROR(__xludf.DUMMYFUNCTION("""COMPUTED_VALUE"""),90.0)</f>
        <v>90</v>
      </c>
      <c r="J78">
        <f>IFERROR(__xludf.DUMMYFUNCTION("""COMPUTED_VALUE"""),0.0)</f>
        <v>0</v>
      </c>
      <c r="K78">
        <f>IFERROR(__xludf.DUMMYFUNCTION("""COMPUTED_VALUE"""),0.0)</f>
        <v>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2" t="str">
        <f>IFERROR(__xludf.DUMMYFUNCTION("IMPORTRANGE(""1jA96n0qbauznSt6-hkr51AslpxJqfrWgkafVtMV8_xU"",""Round 8!W1"")"),"Question: 21")</f>
        <v>Question: 21</v>
      </c>
      <c r="B79" s="3" t="s">
        <v>22</v>
      </c>
    </row>
    <row r="80">
      <c r="A80" s="2"/>
    </row>
    <row r="81">
      <c r="A81" s="1" t="s">
        <v>23</v>
      </c>
      <c r="B81" t="str">
        <f>IFERROR(__xludf.DUMMYFUNCTION("{IMPORTRANGE(""1xw1EOjVhrK1PNJfOYiUsuJNrlpV53SmfJxYsFFolQ3s"",""Round 8!C1:H3""),IMPORTRANGE(""1xw1EOjVhrK1PNJfOYiUsuJNrlpV53SmfJxYsFFolQ3s"",""Round 8!M1:R3"")}"),"La Serna B (JV)")</f>
        <v>La Serna B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IFERROR(__xludf.DUMMYFUNCTION("""COMPUTED_VALUE"""),"Valley Center (JV)")</f>
        <v>Valley Center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2" t="str">
        <f>IFERROR(__xludf.DUMMYFUNCTION("CONCAT(""A BP: "",IMPORTRANGE(""1xw1EOjVhrK1PNJfOYiUsuJNrlpV53SmfJxYsFFolQ3s"",""Round 8!I32""))"),"A BP: 40")</f>
        <v>A BP: 40</v>
      </c>
      <c r="B82" t="str">
        <f>IFERROR(__xludf.DUMMYFUNCTION("""COMPUTED_VALUE"""),"Score: 115")</f>
        <v>Score: 115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135")</f>
        <v>Score: 135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2" t="str">
        <f>IFERROR(__xludf.DUMMYFUNCTION("CONCAT(""B BP: "",IMPORTRANGE(""1xw1EOjVhrK1PNJfOYiUsuJNrlpV53SmfJxYsFFolQ3s"",""Round 8!S32""))"),"B BP: 90")</f>
        <v>B BP: 90</v>
      </c>
      <c r="B83" t="str">
        <f>IFERROR(__xludf.DUMMYFUNCTION("""COMPUTED_VALUE"""),"Liz Carrasco (12)")</f>
        <v>Liz Carrasco (12)</v>
      </c>
      <c r="C83" t="str">
        <f>IFERROR(__xludf.DUMMYFUNCTION("""COMPUTED_VALUE"""),"Jerred Casillas (12)")</f>
        <v>Jerred Casillas (12)</v>
      </c>
      <c r="D83" t="str">
        <f>IFERROR(__xludf.DUMMYFUNCTION("""COMPUTED_VALUE"""),"Colin Twisselmann (10)")</f>
        <v>Colin Twisselmann (10)</v>
      </c>
      <c r="E83" t="str">
        <f>IFERROR(__xludf.DUMMYFUNCTION("""COMPUTED_VALUE"""),"Player 4")</f>
        <v>Player 4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IFERROR(__xludf.DUMMYFUNCTION("""COMPUTED_VALUE"""),"Ava Downey (12)")</f>
        <v>Ava Downey (12)</v>
      </c>
      <c r="I83" t="str">
        <f>IFERROR(__xludf.DUMMYFUNCTION("""COMPUTED_VALUE"""),"Mehreen Sing (12)")</f>
        <v>Mehreen Sing (12)</v>
      </c>
      <c r="J83" t="str">
        <f>IFERROR(__xludf.DUMMYFUNCTION("""COMPUTED_VALUE"""),"Aaron Martinez (11)")</f>
        <v>Aaron Martinez (11)</v>
      </c>
      <c r="K83" t="str">
        <f>IFERROR(__xludf.DUMMYFUNCTION("""COMPUTED_VALUE"""),"Leon Thigh (11)")</f>
        <v>Leon Thigh (11)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1" t="s">
        <v>2</v>
      </c>
      <c r="B84">
        <f>IFERROR(__xludf.DUMMYFUNCTION("{IMPORTRANGE(""1xw1EOjVhrK1PNJfOYiUsuJNrlpV53SmfJxYsFFolQ3s"",""Round 8!C32:H36""),IMPORTRANGE(""1xw1EOjVhrK1PNJfOYiUsuJNrlpV53SmfJxYsFFolQ3s"",""Round 8!M32:R36"")}"),20.0)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1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IFERROR(__xludf.DUMMYFUNCTION("""COMPUTED_VALUE"""),0.0)</f>
        <v>0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1">
        <v>10.0</v>
      </c>
      <c r="B86">
        <f>IFERROR(__xludf.DUMMYFUNCTION("""COMPUTED_VALUE"""),3.0)</f>
        <v>3</v>
      </c>
      <c r="C86">
        <f>IFERROR(__xludf.DUMMYFUNCTION("""COMPUTED_VALUE"""),0.0)</f>
        <v>0</v>
      </c>
      <c r="D86">
        <f>IFERROR(__xludf.DUMMYFUNCTION("""COMPUTED_VALUE"""),5.0)</f>
        <v>5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IFERROR(__xludf.DUMMYFUNCTION("""COMPUTED_VALUE"""),0.0)</f>
        <v>0</v>
      </c>
      <c r="I86">
        <f>IFERROR(__xludf.DUMMYFUNCTION("""COMPUTED_VALUE"""),0.0)</f>
        <v>0</v>
      </c>
      <c r="J86">
        <f>IFERROR(__xludf.DUMMYFUNCTION("""COMPUTED_VALUE"""),5.0)</f>
        <v>5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1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IFERROR(__xludf.DUMMYFUNCTION("""COMPUTED_VALUE"""),1.0)</f>
        <v>1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IFERROR(__xludf.DUMMYFUNCTION("""COMPUTED_VALUE"""),1.0)</f>
        <v>1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1" t="s">
        <v>3</v>
      </c>
      <c r="B88">
        <f>IFERROR(__xludf.DUMMYFUNCTION("""COMPUTED_VALUE"""),30.0)</f>
        <v>30</v>
      </c>
      <c r="C88">
        <f>IFERROR(__xludf.DUMMYFUNCTION("""COMPUTED_VALUE"""),0.0)</f>
        <v>0</v>
      </c>
      <c r="D88">
        <f>IFERROR(__xludf.DUMMYFUNCTION("""COMPUTED_VALUE"""),45.0)</f>
        <v>45</v>
      </c>
      <c r="E88">
        <f>IFERROR(__xludf.DUMMYFUNCTION("""COMPUTED_VALUE"""),0.0)</f>
        <v>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IFERROR(__xludf.DUMMYFUNCTION("""COMPUTED_VALUE"""),-5.0)</f>
        <v>-5</v>
      </c>
      <c r="I88">
        <f>IFERROR(__xludf.DUMMYFUNCTION("""COMPUTED_VALUE"""),0.0)</f>
        <v>0</v>
      </c>
      <c r="J88">
        <f>IFERROR(__xludf.DUMMYFUNCTION("""COMPUTED_VALUE"""),50.0)</f>
        <v>50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2" t="str">
        <f>IFERROR(__xludf.DUMMYFUNCTION("IMPORTRANGE(""1xw1EOjVhrK1PNJfOYiUsuJNrlpV53SmfJxYsFFolQ3s"",""Round 8!W1"")"),"Question: 19")</f>
        <v>Question: 19</v>
      </c>
      <c r="B89" s="3" t="s">
        <v>25</v>
      </c>
    </row>
    <row r="90">
      <c r="A90" s="2"/>
    </row>
    <row r="91">
      <c r="A91" s="1" t="s">
        <v>26</v>
      </c>
      <c r="B91" t="str">
        <f>IFERROR(__xludf.DUMMYFUNCTION("{IMPORTRANGE(""15wOrdFuJAb1a4MoX5CG4apiBD2jUJ7mBu58Uk-8Mo7s"",""Round 8!C1:H3""),IMPORTRANGE(""15wOrdFuJAb1a4MoX5CG4apiBD2jUJ7mBu58Uk-8Mo7s"",""Round 8!M1:R3"")}"),"Team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2" t="str">
        <f>IFERROR(__xludf.DUMMYFUNCTION("CONCAT(""A BP: "",IMPORTRANGE(""15wOrdFuJAb1a4MoX5CG4apiBD2jUJ7mBu58Uk-8Mo7s"",""Round 8!I32""))"),"A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2" t="str">
        <f>IFERROR(__xludf.DUMMYFUNCTION("CONCAT(""B BP: "",IMPORTRANGE(""15wOrdFuJAb1a4MoX5CG4apiBD2jUJ7mBu58Uk-8Mo7s"",""Round 8!S32""))"),"B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1" t="s">
        <v>2</v>
      </c>
      <c r="B94">
        <f>IFERROR(__xludf.DUMMYFUNCTION("{IMPORTRANGE(""15wOrdFuJAb1a4MoX5CG4apiBD2jUJ7mBu58Uk-8Mo7s"",""Round 8!C32:H36""),IMPORTRANGE(""15wOrdFuJAb1a4MoX5CG4apiBD2jUJ7mBu58Uk-8Mo7s"",""Round 8!M32:R36"")}"),20.0)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1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1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1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1" t="s">
        <v>3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2" t="str">
        <f>IFERROR(__xludf.DUMMYFUNCTION("IMPORTRANGE(""15wOrdFuJAb1a4MoX5CG4apiBD2jUJ7mBu58Uk-8Mo7s"",""Round 8!W1"")"),"Question: 1")</f>
        <v>Question: 1</v>
      </c>
      <c r="B99" s="3" t="s">
        <v>27</v>
      </c>
    </row>
    <row r="100">
      <c r="A100" s="2"/>
    </row>
    <row r="101">
      <c r="A101" s="1" t="s">
        <v>28</v>
      </c>
      <c r="B101" t="str">
        <f>IFERROR(__xludf.DUMMYFUNCTION("{IMPORTRANGE(""1GfJqS1rsy-VutTmPVnm9E2VdinIG-GnQO5b3bhaiX1s"",""Round 8!C1:H3""),IMPORTRANGE(""1GfJqS1rsy-VutTmPVnm9E2VdinIG-GnQO5b3bhaiX1s"",""Round 8!M1:R3"")}"),"Team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2" t="str">
        <f>IFERROR(__xludf.DUMMYFUNCTION("CONCAT(""A BP: "",IMPORTRANGE(""1GfJqS1rsy-VutTmPVnm9E2VdinIG-GnQO5b3bhaiX1s"",""Round 8!I32""))"),"A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2" t="str">
        <f>IFERROR(__xludf.DUMMYFUNCTION("CONCAT(""B BP: "",IMPORTRANGE(""1GfJqS1rsy-VutTmPVnm9E2VdinIG-GnQO5b3bhaiX1s"",""Round 8!S32""))"),"B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1" t="s">
        <v>2</v>
      </c>
      <c r="B104">
        <f>IFERROR(__xludf.DUMMYFUNCTION("{IMPORTRANGE(""1GfJqS1rsy-VutTmPVnm9E2VdinIG-GnQO5b3bhaiX1s"",""Round 8!C32:H36""),IMPORTRANGE(""1GfJqS1rsy-VutTmPVnm9E2VdinIG-GnQO5b3bhaiX1s"",""Round 8!M32:R36"")}"),20.0)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1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1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1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1" t="s">
        <v>3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2" t="str">
        <f>IFERROR(__xludf.DUMMYFUNCTION("IMPORTRANGE(""1GfJqS1rsy-VutTmPVnm9E2VdinIG-GnQO5b3bhaiX1s"",""Round 8!W1"")"),"Question: 1")</f>
        <v>Question: 1</v>
      </c>
      <c r="B109" s="3" t="s">
        <v>29</v>
      </c>
    </row>
    <row r="110">
      <c r="A110" s="2"/>
    </row>
    <row r="111">
      <c r="A111" s="1" t="s">
        <v>45</v>
      </c>
      <c r="B111" t="str">
        <f>IFERROR(__xludf.DUMMYFUNCTION("{IMPORTRANGE(""17CLUEFflDBSa8dyH5vsXfHme4RV8IhzD-mxe9_c9I5k"",""Round 8!C1:H3""),IMPORTRANGE(""17CLUEFflDBSa8dyH5vsXfHme4RV8IhzD-mxe9_c9I5k"",""Round 8!M1:R3"")}"),"Canyon Crest B (V)")</f>
        <v>Canyon Crest B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IFERROR(__xludf.DUMMYFUNCTION("""COMPUTED_VALUE"""),"Santa Monica A (V)")</f>
        <v>Santa Monica A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2" t="str">
        <f>IFERROR(__xludf.DUMMYFUNCTION("CONCAT(""A BP: "",IMPORTRANGE(""17CLUEFflDBSa8dyH5vsXfHme4RV8IhzD-mxe9_c9I5k"",""Round 8!I32""))"),"A BP: 160")</f>
        <v>A BP: 160</v>
      </c>
      <c r="B112" t="str">
        <f>IFERROR(__xludf.DUMMYFUNCTION("""COMPUTED_VALUE"""),"Score: 265")</f>
        <v>Score: 265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295")</f>
        <v>Score: 295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2" t="str">
        <f>IFERROR(__xludf.DUMMYFUNCTION("CONCAT(""B BP: "",IMPORTRANGE(""17CLUEFflDBSa8dyH5vsXfHme4RV8IhzD-mxe9_c9I5k"",""Round 8!S32""))"),"B BP: 180")</f>
        <v>B BP: 180</v>
      </c>
      <c r="B113" t="str">
        <f>IFERROR(__xludf.DUMMYFUNCTION("""COMPUTED_VALUE"""),"Shreyank Kadadi (12)")</f>
        <v>Shreyank Kadadi (12)</v>
      </c>
      <c r="C113" t="str">
        <f>IFERROR(__xludf.DUMMYFUNCTION("""COMPUTED_VALUE"""),"Jonathan Hsieh (12)")</f>
        <v>Jonathan Hsieh (12)</v>
      </c>
      <c r="D113" t="str">
        <f>IFERROR(__xludf.DUMMYFUNCTION("""COMPUTED_VALUE"""),"Kevin Luo (10)")</f>
        <v>Kevin Luo (10)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IFERROR(__xludf.DUMMYFUNCTION("""COMPUTED_VALUE"""),"Josh Xu (11)")</f>
        <v>Josh Xu (11)</v>
      </c>
      <c r="I113" t="str">
        <f>IFERROR(__xludf.DUMMYFUNCTION("""COMPUTED_VALUE"""),"Player 2")</f>
        <v>Player 2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1" t="s">
        <v>2</v>
      </c>
      <c r="B114">
        <f>IFERROR(__xludf.DUMMYFUNCTION("{IMPORTRANGE(""17CLUEFflDBSa8dyH5vsXfHme4RV8IhzD-mxe9_c9I5k"",""Round 8!C32:H36""),IMPORTRANGE(""17CLUEFflDBSa8dyH5vsXfHme4RV8IhzD-mxe9_c9I5k"",""Round 8!M32:R36"")}"),20.0)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1">
        <v>15.0</v>
      </c>
      <c r="B115">
        <f>IFERROR(__xludf.DUMMYFUNCTION("""COMPUTED_VALUE"""),2.0)</f>
        <v>2</v>
      </c>
      <c r="C115">
        <f>IFERROR(__xludf.DUMMYFUNCTION("""COMPUTED_VALUE"""),2.0)</f>
        <v>2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IFERROR(__xludf.DUMMYFUNCTION("""COMPUTED_VALUE"""),3.0)</f>
        <v>3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1">
        <v>10.0</v>
      </c>
      <c r="B116">
        <f>IFERROR(__xludf.DUMMYFUNCTION("""COMPUTED_VALUE"""),5.0)</f>
        <v>5</v>
      </c>
      <c r="C116">
        <f>IFERROR(__xludf.DUMMYFUNCTION("""COMPUTED_VALUE"""),1.0)</f>
        <v>1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IFERROR(__xludf.DUMMYFUNCTION("""COMPUTED_VALUE"""),7.0)</f>
        <v>7</v>
      </c>
      <c r="I116">
        <f>IFERROR(__xludf.DUMMYFUNCTION("""COMPUTED_VALUE"""),0.0)</f>
        <v>0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1">
        <v>-5.0</v>
      </c>
      <c r="B117">
        <f>IFERROR(__xludf.DUMMYFUNCTION("""COMPUTED_VALUE"""),1.0)</f>
        <v>1</v>
      </c>
      <c r="C117">
        <f>IFERROR(__xludf.DUMMYFUNCTION("""COMPUTED_VALUE"""),2.0)</f>
        <v>2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IFERROR(__xludf.DUMMYFUNCTION("""COMPUTED_VALUE"""),0.0)</f>
        <v>0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1" t="s">
        <v>3</v>
      </c>
      <c r="B118">
        <f>IFERROR(__xludf.DUMMYFUNCTION("""COMPUTED_VALUE"""),75.0)</f>
        <v>75</v>
      </c>
      <c r="C118">
        <f>IFERROR(__xludf.DUMMYFUNCTION("""COMPUTED_VALUE"""),30.0)</f>
        <v>30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IFERROR(__xludf.DUMMYFUNCTION("""COMPUTED_VALUE"""),115.0)</f>
        <v>115</v>
      </c>
      <c r="I118">
        <f>IFERROR(__xludf.DUMMYFUNCTION("""COMPUTED_VALUE"""),0.0)</f>
        <v>0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2" t="str">
        <f>IFERROR(__xludf.DUMMYFUNCTION("IMPORTRANGE(""17CLUEFflDBSa8dyH5vsXfHme4RV8IhzD-mxe9_c9I5k"",""Round 8!W1"")"),"Question: 21")</f>
        <v>Question: 21</v>
      </c>
      <c r="B119" s="3" t="s">
        <v>31</v>
      </c>
    </row>
    <row r="120">
      <c r="A120" s="2"/>
    </row>
    <row r="121">
      <c r="A121" s="1" t="s">
        <v>46</v>
      </c>
      <c r="B121" t="str">
        <f>IFERROR(__xludf.DUMMYFUNCTION("{IMPORTRANGE(""1Knt8XDGFY_MP2OzeadT1pDENTLOdk9Ab_Rd9IdW0kzc"",""Round 8!C1:H3""),IMPORTRANGE(""1Knt8XDGFY_MP2OzeadT1pDENTLOdk9Ab_Rd9IdW0kzc"",""Round 8!M1:R3"")}"),"Canyon Crest C (V)")</f>
        <v>Canyon Crest C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IFERROR(__xludf.DUMMYFUNCTION("""COMPUTED_VALUE"""),"Troy A (V)")</f>
        <v>Troy A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2" t="str">
        <f>IFERROR(__xludf.DUMMYFUNCTION("CONCAT(""A BP: "",IMPORTRANGE(""1Knt8XDGFY_MP2OzeadT1pDENTLOdk9Ab_Rd9IdW0kzc"",""Round 8!I32""))"),"A BP: 120")</f>
        <v>A BP: 120</v>
      </c>
      <c r="B122" t="str">
        <f>IFERROR(__xludf.DUMMYFUNCTION("""COMPUTED_VALUE"""),"Score: 220")</f>
        <v>Score: 220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210")</f>
        <v>Score: 210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2" t="str">
        <f>IFERROR(__xludf.DUMMYFUNCTION("CONCAT(""B BP: "",IMPORTRANGE(""1Knt8XDGFY_MP2OzeadT1pDENTLOdk9Ab_Rd9IdW0kzc"",""Round 8!S32""))"),"B BP: 120")</f>
        <v>B BP: 120</v>
      </c>
      <c r="B123" t="str">
        <f>IFERROR(__xludf.DUMMYFUNCTION("""COMPUTED_VALUE"""),"Paul Mola (11)")</f>
        <v>Paul Mola (11)</v>
      </c>
      <c r="C123" t="str">
        <f>IFERROR(__xludf.DUMMYFUNCTION("""COMPUTED_VALUE"""),"James Wright (11)")</f>
        <v>James Wright (11)</v>
      </c>
      <c r="D123" t="str">
        <f>IFERROR(__xludf.DUMMYFUNCTION("""COMPUTED_VALUE"""),"Cade McAllister (10)")</f>
        <v>Cade McAllister (10)</v>
      </c>
      <c r="E123" t="str">
        <f>IFERROR(__xludf.DUMMYFUNCTION("""COMPUTED_VALUE"""),"Nithin Chilakapati (10)")</f>
        <v>Nithin Chilakapati (10)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IFERROR(__xludf.DUMMYFUNCTION("""COMPUTED_VALUE"""),"Daniel Shin (10)")</f>
        <v>Daniel Shin (10)</v>
      </c>
      <c r="I123" t="str">
        <f>IFERROR(__xludf.DUMMYFUNCTION("""COMPUTED_VALUE"""),"Tyler Kim (11)")</f>
        <v>Tyler Kim (11)</v>
      </c>
      <c r="J123" t="str">
        <f>IFERROR(__xludf.DUMMYFUNCTION("""COMPUTED_VALUE"""),"Henry Tang (10)")</f>
        <v>Henry Tang (10)</v>
      </c>
      <c r="K123" t="str">
        <f>IFERROR(__xludf.DUMMYFUNCTION("""COMPUTED_VALUE"""),"Luke Park (11)")</f>
        <v>Luke Park (11)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1" t="s">
        <v>2</v>
      </c>
      <c r="B124">
        <f>IFERROR(__xludf.DUMMYFUNCTION("{IMPORTRANGE(""1Knt8XDGFY_MP2OzeadT1pDENTLOdk9Ab_Rd9IdW0kzc"",""Round 8!C32:H36""),IMPORTRANGE(""1Knt8XDGFY_MP2OzeadT1pDENTLOdk9Ab_Rd9IdW0kzc"",""Round 8!M32:R36"")}"),20.0)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1">
        <v>15.0</v>
      </c>
      <c r="B125">
        <f>IFERROR(__xludf.DUMMYFUNCTION("""COMPUTED_VALUE"""),3.0)</f>
        <v>3</v>
      </c>
      <c r="C125">
        <f>IFERROR(__xludf.DUMMYFUNCTION("""COMPUTED_VALUE"""),1.0)</f>
        <v>1</v>
      </c>
      <c r="D125">
        <f>IFERROR(__xludf.DUMMYFUNCTION("""COMPUTED_VALUE"""),0.0)</f>
        <v>0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IFERROR(__xludf.DUMMYFUNCTION("""COMPUTED_VALUE"""),1.0)</f>
        <v>1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1">
        <v>10.0</v>
      </c>
      <c r="B126">
        <f>IFERROR(__xludf.DUMMYFUNCTION("""COMPUTED_VALUE"""),1.0)</f>
        <v>1</v>
      </c>
      <c r="C126">
        <f>IFERROR(__xludf.DUMMYFUNCTION("""COMPUTED_VALUE"""),2.0)</f>
        <v>2</v>
      </c>
      <c r="D126">
        <f>IFERROR(__xludf.DUMMYFUNCTION("""COMPUTED_VALUE"""),2.0)</f>
        <v>2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IFERROR(__xludf.DUMMYFUNCTION("""COMPUTED_VALUE"""),2.0)</f>
        <v>2</v>
      </c>
      <c r="I126">
        <f>IFERROR(__xludf.DUMMYFUNCTION("""COMPUTED_VALUE"""),1.0)</f>
        <v>1</v>
      </c>
      <c r="J126">
        <f>IFERROR(__xludf.DUMMYFUNCTION("""COMPUTED_VALUE"""),2.0)</f>
        <v>2</v>
      </c>
      <c r="K126">
        <f>IFERROR(__xludf.DUMMYFUNCTION("""COMPUTED_VALUE"""),3.0)</f>
        <v>3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1">
        <v>-5.0</v>
      </c>
      <c r="B127">
        <f>IFERROR(__xludf.DUMMYFUNCTION("""COMPUTED_VALUE"""),1.0)</f>
        <v>1</v>
      </c>
      <c r="C127">
        <f>IFERROR(__xludf.DUMMYFUNCTION("""COMPUTED_VALUE"""),1.0)</f>
        <v>1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IFERROR(__xludf.DUMMYFUNCTION("""COMPUTED_VALUE"""),0.0)</f>
        <v>0</v>
      </c>
      <c r="I127">
        <f>IFERROR(__xludf.DUMMYFUNCTION("""COMPUTED_VALUE"""),1.0)</f>
        <v>1</v>
      </c>
      <c r="J127">
        <f>IFERROR(__xludf.DUMMYFUNCTION("""COMPUTED_VALUE"""),0.0)</f>
        <v>0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1" t="s">
        <v>3</v>
      </c>
      <c r="B128">
        <f>IFERROR(__xludf.DUMMYFUNCTION("""COMPUTED_VALUE"""),50.0)</f>
        <v>50</v>
      </c>
      <c r="C128">
        <f>IFERROR(__xludf.DUMMYFUNCTION("""COMPUTED_VALUE"""),30.0)</f>
        <v>30</v>
      </c>
      <c r="D128">
        <f>IFERROR(__xludf.DUMMYFUNCTION("""COMPUTED_VALUE"""),20.0)</f>
        <v>20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IFERROR(__xludf.DUMMYFUNCTION("""COMPUTED_VALUE"""),20.0)</f>
        <v>20</v>
      </c>
      <c r="I128">
        <f>IFERROR(__xludf.DUMMYFUNCTION("""COMPUTED_VALUE"""),5.0)</f>
        <v>5</v>
      </c>
      <c r="J128">
        <f>IFERROR(__xludf.DUMMYFUNCTION("""COMPUTED_VALUE"""),35.0)</f>
        <v>35</v>
      </c>
      <c r="K128">
        <f>IFERROR(__xludf.DUMMYFUNCTION("""COMPUTED_VALUE"""),30.0)</f>
        <v>30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2" t="str">
        <f>IFERROR(__xludf.DUMMYFUNCTION("IMPORTRANGE(""1Knt8XDGFY_MP2OzeadT1pDENTLOdk9Ab_Rd9IdW0kzc"",""Round 8!W1"")"),"Question: 21")</f>
        <v>Question: 21</v>
      </c>
      <c r="B129" s="3" t="s">
        <v>33</v>
      </c>
    </row>
    <row r="130">
      <c r="A130" s="2"/>
    </row>
    <row r="131">
      <c r="A131" s="1" t="s">
        <v>47</v>
      </c>
      <c r="B131" t="str">
        <f>IFERROR(__xludf.DUMMYFUNCTION("{IMPORTRANGE(""16i4gsLDaJasgGgtJt27HweoboYNaal3qpX3MtxIR2f0"",""Round 8!C1:H3""),IMPORTRANGE(""16i4gsLDaJasgGgtJt27HweoboYNaal3qpX3MtxIR2f0"",""Round 8!M1:R3"")}"),"Westview B (V)")</f>
        <v>Westview B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IFERROR(__xludf.DUMMYFUNCTION("""COMPUTED_VALUE"""),"Westview A (V)")</f>
        <v>Westview A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2" t="str">
        <f>IFERROR(__xludf.DUMMYFUNCTION("CONCAT(""A BP: "",IMPORTRANGE(""16i4gsLDaJasgGgtJt27HweoboYNaal3qpX3MtxIR2f0"",""Round 8!I32""))"),"A BP: 180")</f>
        <v>A BP: 180</v>
      </c>
      <c r="B132" t="str">
        <f>IFERROR(__xludf.DUMMYFUNCTION("""COMPUTED_VALUE"""),"Score: 275")</f>
        <v>Score: 275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460")</f>
        <v>Score: 460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2" t="str">
        <f>IFERROR(__xludf.DUMMYFUNCTION("CONCAT(""B BP: "",IMPORTRANGE(""16i4gsLDaJasgGgtJt27HweoboYNaal3qpX3MtxIR2f0"",""Round 8!S32""))"),"B BP: 300")</f>
        <v>B BP: 300</v>
      </c>
      <c r="B133" t="str">
        <f>IFERROR(__xludf.DUMMYFUNCTION("""COMPUTED_VALUE"""),"Nicholas Dai (11)")</f>
        <v>Nicholas Dai (11)</v>
      </c>
      <c r="C133" t="str">
        <f>IFERROR(__xludf.DUMMYFUNCTION("""COMPUTED_VALUE"""),"Rohan Venkateswaran (12)")</f>
        <v>Rohan Venkateswaran (12)</v>
      </c>
      <c r="D133" t="str">
        <f>IFERROR(__xludf.DUMMYFUNCTION("""COMPUTED_VALUE"""),"Andrew Jia (11)")</f>
        <v>Andrew Jia (11)</v>
      </c>
      <c r="E133" t="str">
        <f>IFERROR(__xludf.DUMMYFUNCTION("""COMPUTED_VALUE"""),"Richard Lin (9)")</f>
        <v>Richard Lin (9)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IFERROR(__xludf.DUMMYFUNCTION("""COMPUTED_VALUE"""),"Shahar Schwartz (12)")</f>
        <v>Shahar Schwartz (12)</v>
      </c>
      <c r="I133" t="str">
        <f>IFERROR(__xludf.DUMMYFUNCTION("""COMPUTED_VALUE"""),"Junu Song (12)")</f>
        <v>Junu Song (12)</v>
      </c>
      <c r="J133" t="str">
        <f>IFERROR(__xludf.DUMMYFUNCTION("""COMPUTED_VALUE"""),"Daniel Jung (12)")</f>
        <v>Daniel Jung (12)</v>
      </c>
      <c r="K133" t="str">
        <f>IFERROR(__xludf.DUMMYFUNCTION("""COMPUTED_VALUE"""),"Gary Lin (11)")</f>
        <v>Gary Lin (11)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1" t="s">
        <v>2</v>
      </c>
      <c r="B134">
        <f>IFERROR(__xludf.DUMMYFUNCTION("{IMPORTRANGE(""16i4gsLDaJasgGgtJt27HweoboYNaal3qpX3MtxIR2f0"",""Round 8!C32:H36""),IMPORTRANGE(""16i4gsLDaJasgGgtJt27HweoboYNaal3qpX3MtxIR2f0"",""Round 8!M32:R36"")}"),20.0)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1">
        <v>15.0</v>
      </c>
      <c r="B135">
        <f>IFERROR(__xludf.DUMMYFUNCTION("""COMPUTED_VALUE"""),1.0)</f>
        <v>1</v>
      </c>
      <c r="C135">
        <f>IFERROR(__xludf.DUMMYFUNCTION("""COMPUTED_VALUE"""),2.0)</f>
        <v>2</v>
      </c>
      <c r="D135">
        <f>IFERROR(__xludf.DUMMYFUNCTION("""COMPUTED_VALUE"""),1.0)</f>
        <v>1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IFERROR(__xludf.DUMMYFUNCTION("""COMPUTED_VALUE"""),5.0)</f>
        <v>5</v>
      </c>
      <c r="I135">
        <f>IFERROR(__xludf.DUMMYFUNCTION("""COMPUTED_VALUE"""),3.0)</f>
        <v>3</v>
      </c>
      <c r="J135">
        <f>IFERROR(__xludf.DUMMYFUNCTION("""COMPUTED_VALUE"""),0.0)</f>
        <v>0</v>
      </c>
      <c r="K135">
        <f>IFERROR(__xludf.DUMMYFUNCTION("""COMPUTED_VALUE"""),1.0)</f>
        <v>1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1">
        <v>10.0</v>
      </c>
      <c r="B136">
        <f>IFERROR(__xludf.DUMMYFUNCTION("""COMPUTED_VALUE"""),2.0)</f>
        <v>2</v>
      </c>
      <c r="C136">
        <f>IFERROR(__xludf.DUMMYFUNCTION("""COMPUTED_VALUE"""),2.0)</f>
        <v>2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IFERROR(__xludf.DUMMYFUNCTION("""COMPUTED_VALUE"""),1.0)</f>
        <v>1</v>
      </c>
      <c r="I136">
        <f>IFERROR(__xludf.DUMMYFUNCTION("""COMPUTED_VALUE"""),1.0)</f>
        <v>1</v>
      </c>
      <c r="J136">
        <f>IFERROR(__xludf.DUMMYFUNCTION("""COMPUTED_VALUE"""),0.0)</f>
        <v>0</v>
      </c>
      <c r="K136">
        <f>IFERROR(__xludf.DUMMYFUNCTION("""COMPUTED_VALUE"""),1.0)</f>
        <v>1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1">
        <v>-5.0</v>
      </c>
      <c r="B137">
        <f>IFERROR(__xludf.DUMMYFUNCTION("""COMPUTED_VALUE"""),1.0)</f>
        <v>1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IFERROR(__xludf.DUMMYFUNCTION("""COMPUTED_VALUE"""),1.0)</f>
        <v>1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1" t="s">
        <v>3</v>
      </c>
      <c r="B138">
        <f>IFERROR(__xludf.DUMMYFUNCTION("""COMPUTED_VALUE"""),30.0)</f>
        <v>30</v>
      </c>
      <c r="C138">
        <f>IFERROR(__xludf.DUMMYFUNCTION("""COMPUTED_VALUE"""),50.0)</f>
        <v>50</v>
      </c>
      <c r="D138">
        <f>IFERROR(__xludf.DUMMYFUNCTION("""COMPUTED_VALUE"""),15.0)</f>
        <v>15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IFERROR(__xludf.DUMMYFUNCTION("""COMPUTED_VALUE"""),80.0)</f>
        <v>80</v>
      </c>
      <c r="I138">
        <f>IFERROR(__xludf.DUMMYFUNCTION("""COMPUTED_VALUE"""),55.0)</f>
        <v>55</v>
      </c>
      <c r="J138">
        <f>IFERROR(__xludf.DUMMYFUNCTION("""COMPUTED_VALUE"""),0.0)</f>
        <v>0</v>
      </c>
      <c r="K138">
        <f>IFERROR(__xludf.DUMMYFUNCTION("""COMPUTED_VALUE"""),25.0)</f>
        <v>25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2" t="str">
        <f>IFERROR(__xludf.DUMMYFUNCTION("IMPORTRANGE(""16i4gsLDaJasgGgtJt27HweoboYNaal3qpX3MtxIR2f0"",""Round 8!W1"")"),"Question: 21")</f>
        <v>Question: 21</v>
      </c>
      <c r="B139" s="3" t="s">
        <v>35</v>
      </c>
    </row>
    <row r="140">
      <c r="A140" s="2"/>
    </row>
    <row r="141">
      <c r="A141" s="1" t="s">
        <v>48</v>
      </c>
      <c r="B141" t="str">
        <f>IFERROR(__xludf.DUMMYFUNCTION("{IMPORTRANGE(""1KRyI2c190uhOTF270Hsdzh1rgG565QIaE9TymteaGNY"",""Round 8!C1:H3""),IMPORTRANGE(""1KRyI2c190uhOTF270Hsdzh1rgG565QIaE9TymteaGNY"",""Round 8!M1:R3"")}"),"Team A")</f>
        <v>Team A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IFERROR(__xludf.DUMMYFUNCTION("""COMPUTED_VALUE"""),"Cathedral Catholic (V)")</f>
        <v>Cathedral Catholic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2" t="str">
        <f>IFERROR(__xludf.DUMMYFUNCTION("CONCAT(""A BP: "",IMPORTRANGE(""1KRyI2c190uhOTF270Hsdzh1rgG565QIaE9TymteaGNY"",""Round 8!I32""))"),"A BP: 0")</f>
        <v>A BP: 0</v>
      </c>
      <c r="B142" t="str">
        <f>IFERROR(__xludf.DUMMYFUNCTION("""COMPUTED_VALUE"""),"Score: 0")</f>
        <v>Score: 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0")</f>
        <v>Score: 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2" t="str">
        <f>IFERROR(__xludf.DUMMYFUNCTION("CONCAT(""B BP: "",IMPORTRANGE(""1KRyI2c190uhOTF270Hsdzh1rgG565QIaE9TymteaGNY"",""Round 8!S32""))"),"B BP: 0")</f>
        <v>B BP: 0</v>
      </c>
      <c r="B143" t="str">
        <f>IFERROR(__xludf.DUMMYFUNCTION("""COMPUTED_VALUE"""),"Player 1")</f>
        <v>Player 1</v>
      </c>
      <c r="C143" t="str">
        <f>IFERROR(__xludf.DUMMYFUNCTION("""COMPUTED_VALUE"""),"Player 2")</f>
        <v>Player 2</v>
      </c>
      <c r="D143" t="str">
        <f>IFERROR(__xludf.DUMMYFUNCTION("""COMPUTED_VALUE"""),"Player 3")</f>
        <v>Player 3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IFERROR(__xludf.DUMMYFUNCTION("""COMPUTED_VALUE"""),"Sinead Archdeacon (10)")</f>
        <v>Sinead Archdeacon (10)</v>
      </c>
      <c r="I143" t="str">
        <f>IFERROR(__xludf.DUMMYFUNCTION("""COMPUTED_VALUE"""),"Jacob Titcomb (11)")</f>
        <v>Jacob Titcomb (11)</v>
      </c>
      <c r="J143" t="str">
        <f>IFERROR(__xludf.DUMMYFUNCTION("""COMPUTED_VALUE"""),"Ryan Shakiba (10)")</f>
        <v>Ryan Shakiba (10)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1" t="s">
        <v>2</v>
      </c>
      <c r="B144">
        <f>IFERROR(__xludf.DUMMYFUNCTION("{IMPORTRANGE(""1KRyI2c190uhOTF270Hsdzh1rgG565QIaE9TymteaGNY"",""Round 8!C32:H36""),IMPORTRANGE(""1KRyI2c190uhOTF270Hsdzh1rgG565QIaE9TymteaGNY"",""Round 8!M32:R36"")}"),20.0)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1">
        <v>15.0</v>
      </c>
      <c r="B145">
        <f>IFERROR(__xludf.DUMMYFUNCTION("""COMPUTED_VALUE"""),0.0)</f>
        <v>0</v>
      </c>
      <c r="C145">
        <f>IFERROR(__xludf.DUMMYFUNCTION("""COMPUTED_VALUE"""),0.0)</f>
        <v>0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1">
        <v>10.0</v>
      </c>
      <c r="B146">
        <f>IFERROR(__xludf.DUMMYFUNCTION("""COMPUTED_VALUE"""),0.0)</f>
        <v>0</v>
      </c>
      <c r="C146">
        <f>IFERROR(__xludf.DUMMYFUNCTION("""COMPUTED_VALUE"""),0.0)</f>
        <v>0</v>
      </c>
      <c r="D146">
        <f>IFERROR(__xludf.DUMMYFUNCTION("""COMPUTED_VALUE"""),0.0)</f>
        <v>0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IFERROR(__xludf.DUMMYFUNCTION("""COMPUTED_VALUE"""),0.0)</f>
        <v>0</v>
      </c>
      <c r="I146">
        <f>IFERROR(__xludf.DUMMYFUNCTION("""COMPUTED_VALUE"""),0.0)</f>
        <v>0</v>
      </c>
      <c r="J146">
        <f>IFERROR(__xludf.DUMMYFUNCTION("""COMPUTED_VALUE"""),0.0)</f>
        <v>0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1">
        <v>-5.0</v>
      </c>
      <c r="B147">
        <f>IFERROR(__xludf.DUMMYFUNCTION("""COMPUTED_VALUE"""),0.0)</f>
        <v>0</v>
      </c>
      <c r="C147">
        <f>IFERROR(__xludf.DUMMYFUNCTION("""COMPUTED_VALUE"""),0.0)</f>
        <v>0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IFERROR(__xludf.DUMMYFUNCTION("""COMPUTED_VALUE"""),0.0)</f>
        <v>0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1" t="s">
        <v>3</v>
      </c>
      <c r="B148">
        <f>IFERROR(__xludf.DUMMYFUNCTION("""COMPUTED_VALUE"""),0.0)</f>
        <v>0</v>
      </c>
      <c r="C148">
        <f>IFERROR(__xludf.DUMMYFUNCTION("""COMPUTED_VALUE"""),0.0)</f>
        <v>0</v>
      </c>
      <c r="D148">
        <f>IFERROR(__xludf.DUMMYFUNCTION("""COMPUTED_VALUE"""),0.0)</f>
        <v>0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IFERROR(__xludf.DUMMYFUNCTION("""COMPUTED_VALUE"""),0.0)</f>
        <v>0</v>
      </c>
      <c r="I148">
        <f>IFERROR(__xludf.DUMMYFUNCTION("""COMPUTED_VALUE"""),0.0)</f>
        <v>0</v>
      </c>
      <c r="J148">
        <f>IFERROR(__xludf.DUMMYFUNCTION("""COMPUTED_VALUE"""),0.0)</f>
        <v>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2" t="str">
        <f>IFERROR(__xludf.DUMMYFUNCTION("IMPORTRANGE(""1KRyI2c190uhOTF270Hsdzh1rgG565QIaE9TymteaGNY"",""Round 8!W1"")"),"Question: 1")</f>
        <v>Question: 1</v>
      </c>
      <c r="B149" s="3" t="s">
        <v>37</v>
      </c>
    </row>
    <row r="150">
      <c r="A150" s="2"/>
    </row>
    <row r="151">
      <c r="A151" s="1" t="s">
        <v>49</v>
      </c>
      <c r="B151" t="str">
        <f>IFERROR(__xludf.DUMMYFUNCTION("{IMPORTRANGE(""1zr0uYCpJ5izByVOUCsr6JXezthGEdLXnwOrjIKGx5XI"",""Round 8!C1:H3""),IMPORTRANGE(""1zr0uYCpJ5izByVOUCsr6JXezthGEdLXnwOrjIKGx5XI"",""Round 8!M1:R3"")}"),"Arcadia (V)")</f>
        <v>Arcadia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IFERROR(__xludf.DUMMYFUNCTION("""COMPUTED_VALUE"""),"Canyon Crest A (V)")</f>
        <v>Canyon Crest A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2" t="str">
        <f>IFERROR(__xludf.DUMMYFUNCTION("CONCAT(""A BP: "",IMPORTRANGE(""1zr0uYCpJ5izByVOUCsr6JXezthGEdLXnwOrjIKGx5XI"",""Round 8!I32""))"),"A BP: 260")</f>
        <v>A BP: 260</v>
      </c>
      <c r="B152" t="str">
        <f>IFERROR(__xludf.DUMMYFUNCTION("""COMPUTED_VALUE"""),"Score: 405")</f>
        <v>Score: 405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250")</f>
        <v>Score: 250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2" t="str">
        <f>IFERROR(__xludf.DUMMYFUNCTION("CONCAT(""B BP: "",IMPORTRANGE(""1zr0uYCpJ5izByVOUCsr6JXezthGEdLXnwOrjIKGx5XI"",""Round 8!S32""))"),"B BP: 160")</f>
        <v>B BP: 160</v>
      </c>
      <c r="B153" t="str">
        <f>IFERROR(__xludf.DUMMYFUNCTION("""COMPUTED_VALUE"""),"Amogh Kulkarni (10)")</f>
        <v>Amogh Kulkarni (10)</v>
      </c>
      <c r="C153" t="str">
        <f>IFERROR(__xludf.DUMMYFUNCTION("""COMPUTED_VALUE"""),"Spencer Cheng (12)")</f>
        <v>Spencer Cheng (12)</v>
      </c>
      <c r="D153" t="str">
        <f>IFERROR(__xludf.DUMMYFUNCTION("""COMPUTED_VALUE"""),"Ryan Sun (10)")</f>
        <v>Ryan Sun (10)</v>
      </c>
      <c r="E153" t="str">
        <f>IFERROR(__xludf.DUMMYFUNCTION("""COMPUTED_VALUE"""),"Michael Kwok (10)")</f>
        <v>Michael Kwok (10)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IFERROR(__xludf.DUMMYFUNCTION("""COMPUTED_VALUE"""),"Wesley Zhang (12)")</f>
        <v>Wesley Zhang (12)</v>
      </c>
      <c r="I153" t="str">
        <f>IFERROR(__xludf.DUMMYFUNCTION("""COMPUTED_VALUE"""),"Leo Gu (10)")</f>
        <v>Leo Gu (10)</v>
      </c>
      <c r="J153" t="str">
        <f>IFERROR(__xludf.DUMMYFUNCTION("""COMPUTED_VALUE"""),"Player 3")</f>
        <v>Player 3</v>
      </c>
      <c r="K153" t="str">
        <f>IFERROR(__xludf.DUMMYFUNCTION("""COMPUTED_VALUE"""),"Player 4")</f>
        <v>Player 4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1" t="s">
        <v>2</v>
      </c>
      <c r="B154">
        <f>IFERROR(__xludf.DUMMYFUNCTION("{IMPORTRANGE(""1zr0uYCpJ5izByVOUCsr6JXezthGEdLXnwOrjIKGx5XI"",""Round 8!C32:H36""),IMPORTRANGE(""1zr0uYCpJ5izByVOUCsr6JXezthGEdLXnwOrjIKGx5XI"",""Round 8!M32:R36"")}"),20.0)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1">
        <v>15.0</v>
      </c>
      <c r="B155">
        <f>IFERROR(__xludf.DUMMYFUNCTION("""COMPUTED_VALUE"""),4.0)</f>
        <v>4</v>
      </c>
      <c r="C155">
        <f>IFERROR(__xludf.DUMMYFUNCTION("""COMPUTED_VALUE"""),0.0)</f>
        <v>0</v>
      </c>
      <c r="D155">
        <f>IFERROR(__xludf.DUMMYFUNCTION("""COMPUTED_VALUE"""),5.0)</f>
        <v>5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IFERROR(__xludf.DUMMYFUNCTION("""COMPUTED_VALUE"""),4.0)</f>
        <v>4</v>
      </c>
      <c r="I155">
        <f>IFERROR(__xludf.DUMMYFUNCTION("""COMPUTED_VALUE"""),1.0)</f>
        <v>1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1">
        <v>10.0</v>
      </c>
      <c r="B156">
        <f>IFERROR(__xludf.DUMMYFUNCTION("""COMPUTED_VALUE"""),1.0)</f>
        <v>1</v>
      </c>
      <c r="C156">
        <f>IFERROR(__xludf.DUMMYFUNCTION("""COMPUTED_VALUE"""),2.0)</f>
        <v>2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IFERROR(__xludf.DUMMYFUNCTION("""COMPUTED_VALUE"""),0.0)</f>
        <v>0</v>
      </c>
      <c r="I156">
        <f>IFERROR(__xludf.DUMMYFUNCTION("""COMPUTED_VALUE"""),2.0)</f>
        <v>2</v>
      </c>
      <c r="J156">
        <f>IFERROR(__xludf.DUMMYFUNCTION("""COMPUTED_VALUE"""),0.0)</f>
        <v>0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1">
        <v>-5.0</v>
      </c>
      <c r="B157">
        <f>IFERROR(__xludf.DUMMYFUNCTION("""COMPUTED_VALUE"""),0.0)</f>
        <v>0</v>
      </c>
      <c r="C157">
        <f>IFERROR(__xludf.DUMMYFUNCTION("""COMPUTED_VALUE"""),2.0)</f>
        <v>2</v>
      </c>
      <c r="D157">
        <f>IFERROR(__xludf.DUMMYFUNCTION("""COMPUTED_VALUE"""),2.0)</f>
        <v>2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IFERROR(__xludf.DUMMYFUNCTION("""COMPUTED_VALUE"""),1.0)</f>
        <v>1</v>
      </c>
      <c r="J157">
        <f>IFERROR(__xludf.DUMMYFUNCTION("""COMPUTED_VALUE"""),0.0)</f>
        <v>0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1" t="s">
        <v>3</v>
      </c>
      <c r="B158">
        <f>IFERROR(__xludf.DUMMYFUNCTION("""COMPUTED_VALUE"""),70.0)</f>
        <v>70</v>
      </c>
      <c r="C158">
        <f>IFERROR(__xludf.DUMMYFUNCTION("""COMPUTED_VALUE"""),10.0)</f>
        <v>10</v>
      </c>
      <c r="D158">
        <f>IFERROR(__xludf.DUMMYFUNCTION("""COMPUTED_VALUE"""),65.0)</f>
        <v>65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IFERROR(__xludf.DUMMYFUNCTION("""COMPUTED_VALUE"""),60.0)</f>
        <v>60</v>
      </c>
      <c r="I158">
        <f>IFERROR(__xludf.DUMMYFUNCTION("""COMPUTED_VALUE"""),30.0)</f>
        <v>30</v>
      </c>
      <c r="J158">
        <f>IFERROR(__xludf.DUMMYFUNCTION("""COMPUTED_VALUE"""),0.0)</f>
        <v>0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2" t="str">
        <f>IFERROR(__xludf.DUMMYFUNCTION("IMPORTRANGE(""1zr0uYCpJ5izByVOUCsr6JXezthGEdLXnwOrjIKGx5XI"",""Round 8!W1"")"),"Question: 21")</f>
        <v>Question: 21</v>
      </c>
      <c r="B159" s="3" t="s">
        <v>39</v>
      </c>
    </row>
    <row r="160">
      <c r="A160" s="2"/>
    </row>
    <row r="161">
      <c r="A161" s="1" t="s">
        <v>50</v>
      </c>
      <c r="B161" t="str">
        <f>IFERROR(__xludf.DUMMYFUNCTION("{IMPORTRANGE(""1TVrjNI5RE1VozIr906BhaTKMFP0VPx8aUGpyt_loukE"",""Round 8!C1:H3""),IMPORTRANGE(""1TVrjNI5RE1VozIr906BhaTKMFP0VPx8aUGpyt_loukE"",""Round 8!M1:R3"")}"),"La Jolla (V)")</f>
        <v>La Jolla (V)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IFERROR(__xludf.DUMMYFUNCTION("""COMPUTED_VALUE"""),"Santa Monica B (V)")</f>
        <v>Santa Monica B (V)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2" t="str">
        <f>IFERROR(__xludf.DUMMYFUNCTION("CONCAT(""A BP: "",IMPORTRANGE(""1TVrjNI5RE1VozIr906BhaTKMFP0VPx8aUGpyt_loukE"",""Round 8!I32""))"),"A BP: 130")</f>
        <v>A BP: 130</v>
      </c>
      <c r="B162" t="str">
        <f>IFERROR(__xludf.DUMMYFUNCTION("""COMPUTED_VALUE"""),"Score: 205")</f>
        <v>Score: 205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140")</f>
        <v>Score: 140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2" t="str">
        <f>IFERROR(__xludf.DUMMYFUNCTION("CONCAT(""B BP: "",IMPORTRANGE(""1TVrjNI5RE1VozIr906BhaTKMFP0VPx8aUGpyt_loukE"",""Round 8!S32""))"),"B BP: 70")</f>
        <v>B BP: 70</v>
      </c>
      <c r="B163" t="str">
        <f>IFERROR(__xludf.DUMMYFUNCTION("""COMPUTED_VALUE"""),"Caleb Cruz (11)")</f>
        <v>Caleb Cruz (11)</v>
      </c>
      <c r="C163" t="str">
        <f>IFERROR(__xludf.DUMMYFUNCTION("""COMPUTED_VALUE"""),"Kevin Park (11)")</f>
        <v>Kevin Park (11)</v>
      </c>
      <c r="D163" t="str">
        <f>IFERROR(__xludf.DUMMYFUNCTION("""COMPUTED_VALUE"""),"David Smith (11)")</f>
        <v>David Smith (11)</v>
      </c>
      <c r="E163" t="str">
        <f>IFERROR(__xludf.DUMMYFUNCTION("""COMPUTED_VALUE"""),"Richard Chao (11)")</f>
        <v>Richard Chao (11)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IFERROR(__xludf.DUMMYFUNCTION("""COMPUTED_VALUE"""),"Kethan Raman (10)")</f>
        <v>Kethan Raman (10)</v>
      </c>
      <c r="I163" t="str">
        <f>IFERROR(__xludf.DUMMYFUNCTION("""COMPUTED_VALUE"""),"Ethan Hopkins (10)")</f>
        <v>Ethan Hopkins (10)</v>
      </c>
      <c r="J163" t="str">
        <f>IFERROR(__xludf.DUMMYFUNCTION("""COMPUTED_VALUE"""),"Jacob Cohen (10)")</f>
        <v>Jacob Cohen (10)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1" t="s">
        <v>2</v>
      </c>
      <c r="B164">
        <f>IFERROR(__xludf.DUMMYFUNCTION("{IMPORTRANGE(""1TVrjNI5RE1VozIr906BhaTKMFP0VPx8aUGpyt_loukE"",""Round 8!C32:H36""),IMPORTRANGE(""1TVrjNI5RE1VozIr906BhaTKMFP0VPx8aUGpyt_loukE"",""Round 8!M32:R36"")}"),20.0)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1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IFERROR(__xludf.DUMMYFUNCTION("""COMPUTED_VALUE"""),1.0)</f>
        <v>1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IFERROR(__xludf.DUMMYFUNCTION("""COMPUTED_VALUE"""),1.0)</f>
        <v>1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1">
        <v>10.0</v>
      </c>
      <c r="B166">
        <f>IFERROR(__xludf.DUMMYFUNCTION("""COMPUTED_VALUE"""),0.0)</f>
        <v>0</v>
      </c>
      <c r="C166">
        <f>IFERROR(__xludf.DUMMYFUNCTION("""COMPUTED_VALUE"""),4.0)</f>
        <v>4</v>
      </c>
      <c r="D166">
        <f>IFERROR(__xludf.DUMMYFUNCTION("""COMPUTED_VALUE"""),0.0)</f>
        <v>0</v>
      </c>
      <c r="E166">
        <f>IFERROR(__xludf.DUMMYFUNCTION("""COMPUTED_VALUE"""),4.0)</f>
        <v>4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IFERROR(__xludf.DUMMYFUNCTION("""COMPUTED_VALUE"""),6.0)</f>
        <v>6</v>
      </c>
      <c r="I166">
        <f>IFERROR(__xludf.DUMMYFUNCTION("""COMPUTED_VALUE"""),0.0)</f>
        <v>0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1">
        <v>-5.0</v>
      </c>
      <c r="B167">
        <f>IFERROR(__xludf.DUMMYFUNCTION("""COMPUTED_VALUE"""),0.0)</f>
        <v>0</v>
      </c>
      <c r="C167">
        <f>IFERROR(__xludf.DUMMYFUNCTION("""COMPUTED_VALUE"""),3.0)</f>
        <v>3</v>
      </c>
      <c r="D167">
        <f>IFERROR(__xludf.DUMMYFUNCTION("""COMPUTED_VALUE"""),0.0)</f>
        <v>0</v>
      </c>
      <c r="E167">
        <f>IFERROR(__xludf.DUMMYFUNCTION("""COMPUTED_VALUE"""),1.0)</f>
        <v>1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IFERROR(__xludf.DUMMYFUNCTION("""COMPUTED_VALUE"""),0.0)</f>
        <v>0</v>
      </c>
      <c r="I167">
        <f>IFERROR(__xludf.DUMMYFUNCTION("""COMPUTED_VALUE"""),0.0)</f>
        <v>0</v>
      </c>
      <c r="J167">
        <f>IFERROR(__xludf.DUMMYFUNCTION("""COMPUTED_VALUE"""),1.0)</f>
        <v>1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1" t="s">
        <v>3</v>
      </c>
      <c r="B168">
        <f>IFERROR(__xludf.DUMMYFUNCTION("""COMPUTED_VALUE"""),0.0)</f>
        <v>0</v>
      </c>
      <c r="C168">
        <f>IFERROR(__xludf.DUMMYFUNCTION("""COMPUTED_VALUE"""),25.0)</f>
        <v>25</v>
      </c>
      <c r="D168">
        <f>IFERROR(__xludf.DUMMYFUNCTION("""COMPUTED_VALUE"""),15.0)</f>
        <v>15</v>
      </c>
      <c r="E168">
        <f>IFERROR(__xludf.DUMMYFUNCTION("""COMPUTED_VALUE"""),35.0)</f>
        <v>35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IFERROR(__xludf.DUMMYFUNCTION("""COMPUTED_VALUE"""),60.0)</f>
        <v>60</v>
      </c>
      <c r="I168">
        <f>IFERROR(__xludf.DUMMYFUNCTION("""COMPUTED_VALUE"""),0.0)</f>
        <v>0</v>
      </c>
      <c r="J168">
        <f>IFERROR(__xludf.DUMMYFUNCTION("""COMPUTED_VALUE"""),10.0)</f>
        <v>10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2" t="str">
        <f>IFERROR(__xludf.DUMMYFUNCTION("IMPORTRANGE(""1TVrjNI5RE1VozIr906BhaTKMFP0VPx8aUGpyt_loukE"",""Round 8!W1"")"),"Question: 21")</f>
        <v>Question: 21</v>
      </c>
      <c r="B169" s="3" t="s">
        <v>41</v>
      </c>
    </row>
    <row r="170">
      <c r="A170" s="2"/>
    </row>
    <row r="171">
      <c r="A171" s="1" t="s">
        <v>42</v>
      </c>
      <c r="B171" t="str">
        <f>IFERROR(__xludf.DUMMYFUNCTION("{IMPORTRANGE(""1xRz0po-ejgp-QRvMkY44z3u2CePgTccasdyrrVALbmE"",""Round 8!C1:H3""),IMPORTRANGE(""1xRz0po-ejgp-QRvMkY44z3u2CePgTccasdyrrVALbmE"",""Round 8!M1:R3"")}"),"Team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2" t="str">
        <f>IFERROR(__xludf.DUMMYFUNCTION("CONCAT(""A BP: "",IMPORTRANGE(""1xRz0po-ejgp-QRvMkY44z3u2CePgTccasdyrrVALbmE"",""Round 8!I32""))"),"A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2" t="str">
        <f>IFERROR(__xludf.DUMMYFUNCTION("CONCAT(""B BP: "",IMPORTRANGE(""1xRz0po-ejgp-QRvMkY44z3u2CePgTccasdyrrVALbmE"",""Round 8!S32""))"),"B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1" t="s">
        <v>2</v>
      </c>
      <c r="B174">
        <f>IFERROR(__xludf.DUMMYFUNCTION("{IMPORTRANGE(""1xRz0po-ejgp-QRvMkY44z3u2CePgTccasdyrrVALbmE"",""Round 8!C32:H36""),IMPORTRANGE(""1xRz0po-ejgp-QRvMkY44z3u2CePgTccasdyrrVALbmE"",""Round 8!M32:R36"")}"),20.0)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1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1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1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1" t="s">
        <v>3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2" t="str">
        <f>IFERROR(__xludf.DUMMYFUNCTION("IMPORTRANGE(""1xRz0po-ejgp-QRvMkY44z3u2CePgTccasdyrrVALbmE"",""Round 8!W1"")"),"Question: 1")</f>
        <v>Question: 1</v>
      </c>
      <c r="B179" s="3" t="s">
        <v>43</v>
      </c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1" t="s">
        <v>0</v>
      </c>
      <c r="B1" t="str">
        <f>IFERROR(__xludf.DUMMYFUNCTION("{IMPORTRANGE(""1JXwZ4AjXctyKvWy9qFKCX518NRYJYhSX9Jii0HPBCUs"",""Round 9!C1:H3""),IMPORTRANGE(""1JXwZ4AjXctyKvWy9qFKCX518NRYJYhSX9Jii0HPBCUs"",""Round 9!M1:R3"")}"),"Team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2" t="str">
        <f>IFERROR(__xludf.DUMMYFUNCTION("CONCAT(""A BP: "",IMPORTRANGE(""1JXwZ4AjXctyKvWy9qFKCX518NRYJYhSX9Jii0HPBCUs"",""Round 9!I32""))"),"A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2" t="str">
        <f>IFERROR(__xludf.DUMMYFUNCTION("CONCAT(""B BP: "",IMPORTRANGE(""1JXwZ4AjXctyKvWy9qFKCX518NRYJYhSX9Jii0HPBCUs"",""Round 9!S32""))"),"B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1" t="s">
        <v>2</v>
      </c>
      <c r="B4">
        <f>IFERROR(__xludf.DUMMYFUNCTION("{IMPORTRANGE(""1JXwZ4AjXctyKvWy9qFKCX518NRYJYhSX9Jii0HPBCUs"",""Round 9!C32:H36""),IMPORTRANGE(""1JXwZ4AjXctyKvWy9qFKCX518NRYJYhSX9Jii0HPBCUs"",""Round 9!M32:R36"")}"),20.0)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1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1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1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1" t="s">
        <v>3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2" t="str">
        <f>IFERROR(__xludf.DUMMYFUNCTION("IMPORTRANGE(""1JXwZ4AjXctyKvWy9qFKCX518NRYJYhSX9Jii0HPBCUs"",""Round 9!W1"")"),"Question: 1")</f>
        <v>Question: 1</v>
      </c>
      <c r="B9" s="3" t="s">
        <v>4</v>
      </c>
    </row>
    <row r="10">
      <c r="A10" s="1"/>
    </row>
    <row r="11">
      <c r="A11" s="1" t="s">
        <v>5</v>
      </c>
      <c r="B11" t="str">
        <f>IFERROR(__xludf.DUMMYFUNCTION("{IMPORTRANGE(""1GBDUn_ZojNLX5OJCVBEhvJbdm0c55Z7lPcE4L6WH89o"",""Round 9!C1:H3""),IMPORTRANGE(""1GBDUn_ZojNLX5OJCVBEhvJbdm0c55Z7lPcE4L6WH89o"",""Round 9!M1:R3"")}"),"Team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2" t="str">
        <f>IFERROR(__xludf.DUMMYFUNCTION("CONCAT(""A BP: "",IMPORTRANGE(""1GBDUn_ZojNLX5OJCVBEhvJbdm0c55Z7lPcE4L6WH89o"",""Round 9!I32""))"),"A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2" t="str">
        <f>IFERROR(__xludf.DUMMYFUNCTION("CONCAT(""B BP: "",IMPORTRANGE(""1GBDUn_ZojNLX5OJCVBEhvJbdm0c55Z7lPcE4L6WH89o"",""Round 9!S32""))"),"B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1" t="s">
        <v>2</v>
      </c>
      <c r="B14">
        <f>IFERROR(__xludf.DUMMYFUNCTION("{IMPORTRANGE(""1GBDUn_ZojNLX5OJCVBEhvJbdm0c55Z7lPcE4L6WH89o"",""Round 9!C32:H36""),IMPORTRANGE(""1GBDUn_ZojNLX5OJCVBEhvJbdm0c55Z7lPcE4L6WH89o"",""Round 9!M32:R36"")}"),20.0)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1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1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1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1" t="s">
        <v>3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2" t="str">
        <f>IFERROR(__xludf.DUMMYFUNCTION("IMPORTRANGE(""1GBDUn_ZojNLX5OJCVBEhvJbdm0c55Z7lPcE4L6WH89o"",""Round 9!W1"")"),"Question: 1")</f>
        <v>Question: 1</v>
      </c>
      <c r="B19" s="3" t="s">
        <v>6</v>
      </c>
    </row>
    <row r="20">
      <c r="A20" s="2"/>
    </row>
    <row r="21">
      <c r="A21" s="1" t="s">
        <v>7</v>
      </c>
      <c r="B21" t="str">
        <f>IFERROR(__xludf.DUMMYFUNCTION("{IMPORTRANGE(""19Dum1qlL_dEwf1AEniLf02Eg9XaNXi1GMkI5M4_Ei6w"",""Round 9!C1:H3""),IMPORTRANGE(""19Dum1qlL_dEwf1AEniLf02Eg9XaNXi1GMkI5M4_Ei6w"",""Round 9!M1:R3"")}"),"Team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2" t="str">
        <f>IFERROR(__xludf.DUMMYFUNCTION("CONCAT(""A BP: "",IMPORTRANGE(""19Dum1qlL_dEwf1AEniLf02Eg9XaNXi1GMkI5M4_Ei6w"",""Round 9!I32""))"),"A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2" t="str">
        <f>IFERROR(__xludf.DUMMYFUNCTION("CONCAT(""B BP: "",IMPORTRANGE(""19Dum1qlL_dEwf1AEniLf02Eg9XaNXi1GMkI5M4_Ei6w"",""Round 9!S32""))"),"B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1" t="s">
        <v>2</v>
      </c>
      <c r="B24">
        <f>IFERROR(__xludf.DUMMYFUNCTION("{IMPORTRANGE(""19Dum1qlL_dEwf1AEniLf02Eg9XaNXi1GMkI5M4_Ei6w"",""Round 9!C32:H36""),IMPORTRANGE(""19Dum1qlL_dEwf1AEniLf02Eg9XaNXi1GMkI5M4_Ei6w"",""Round 9!M32:R36"")}"),20.0)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1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1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1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1" t="s">
        <v>3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2" t="str">
        <f>IFERROR(__xludf.DUMMYFUNCTION("IMPORTRANGE(""19Dum1qlL_dEwf1AEniLf02Eg9XaNXi1GMkI5M4_Ei6w"",""Round 9!W1"")"),"Question: 1")</f>
        <v>Question: 1</v>
      </c>
      <c r="B29" s="3" t="s">
        <v>8</v>
      </c>
    </row>
    <row r="30">
      <c r="A30" s="2"/>
    </row>
    <row r="31">
      <c r="A31" s="1" t="s">
        <v>44</v>
      </c>
      <c r="B31" t="str">
        <f>IFERROR(__xludf.DUMMYFUNCTION("{IMPORTRANGE(""18KjuM_F6goZYnozVb7folIb5Hw_mfKQrNdVWKGx6j4s"",""Round 9!C1:H3""),IMPORTRANGE(""18KjuM_F6goZYnozVb7folIb5Hw_mfKQrNdVWKGx6j4s"",""Round 9!M1:R3"")}"),"Oak Valley A (JV)")</f>
        <v>Oak Valley A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IFERROR(__xludf.DUMMYFUNCTION("""COMPUTED_VALUE"""),"La Serna A (JV)")</f>
        <v>La Serna A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2" t="str">
        <f>IFERROR(__xludf.DUMMYFUNCTION("CONCAT(""A BP: "",IMPORTRANGE(""18KjuM_F6goZYnozVb7folIb5Hw_mfKQrNdVWKGx6j4s"",""Round 9!I32""))"),"A BP: 370")</f>
        <v>A BP: 370</v>
      </c>
      <c r="B32" t="str">
        <f>IFERROR(__xludf.DUMMYFUNCTION("""COMPUTED_VALUE"""),"Score: 530")</f>
        <v>Score: 530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55")</f>
        <v>Score: 55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2" t="str">
        <f>IFERROR(__xludf.DUMMYFUNCTION("CONCAT(""B BP: "",IMPORTRANGE(""18KjuM_F6goZYnozVb7folIb5Hw_mfKQrNdVWKGx6j4s"",""Round 9!S32""))"),"B BP: 20")</f>
        <v>B BP: 20</v>
      </c>
      <c r="B33" t="str">
        <f>IFERROR(__xludf.DUMMYFUNCTION("""COMPUTED_VALUE"""),"Conner Feng (8)")</f>
        <v>Conner Feng (8)</v>
      </c>
      <c r="C33" t="str">
        <f>IFERROR(__xludf.DUMMYFUNCTION("""COMPUTED_VALUE"""),"Jadon Pandian (7)")</f>
        <v>Jadon Pandian (7)</v>
      </c>
      <c r="D33" t="str">
        <f>IFERROR(__xludf.DUMMYFUNCTION("""COMPUTED_VALUE"""),"Jonas Brown (7)")</f>
        <v>Jonas Brown (7)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IFERROR(__xludf.DUMMYFUNCTION("""COMPUTED_VALUE"""),"Jay Gamez (12)")</f>
        <v>Jay Gamez (12)</v>
      </c>
      <c r="I33" t="str">
        <f>IFERROR(__xludf.DUMMYFUNCTION("""COMPUTED_VALUE"""),"Ian Brennan (12)")</f>
        <v>Ian Brennan (12)</v>
      </c>
      <c r="J33" t="str">
        <f>IFERROR(__xludf.DUMMYFUNCTION("""COMPUTED_VALUE"""),"Cole Aedo (12)")</f>
        <v>Cole Aedo (12)</v>
      </c>
      <c r="K33" t="str">
        <f>IFERROR(__xludf.DUMMYFUNCTION("""COMPUTED_VALUE"""),"Player 4")</f>
        <v>Player 4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1" t="s">
        <v>2</v>
      </c>
      <c r="B34">
        <f>IFERROR(__xludf.DUMMYFUNCTION("{IMPORTRANGE(""18KjuM_F6goZYnozVb7folIb5Hw_mfKQrNdVWKGx6j4s"",""Round 9!C32:H36""),IMPORTRANGE(""18KjuM_F6goZYnozVb7folIb5Hw_mfKQrNdVWKGx6j4s"",""Round 9!M32:R36"")}"),20.0)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1">
        <v>15.0</v>
      </c>
      <c r="B35">
        <f>IFERROR(__xludf.DUMMYFUNCTION("""COMPUTED_VALUE"""),1.0)</f>
        <v>1</v>
      </c>
      <c r="C35">
        <f>IFERROR(__xludf.DUMMYFUNCTION("""COMPUTED_VALUE"""),1.0)</f>
        <v>1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IFERROR(__xludf.DUMMYFUNCTION("""COMPUTED_VALUE"""),0.0)</f>
        <v>0</v>
      </c>
      <c r="J35">
        <f>IFERROR(__xludf.DUMMYFUNCTION("""COMPUTED_VALUE"""),1.0)</f>
        <v>1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1">
        <v>10.0</v>
      </c>
      <c r="B36">
        <f>IFERROR(__xludf.DUMMYFUNCTION("""COMPUTED_VALUE"""),9.0)</f>
        <v>9</v>
      </c>
      <c r="C36">
        <f>IFERROR(__xludf.DUMMYFUNCTION("""COMPUTED_VALUE"""),2.0)</f>
        <v>2</v>
      </c>
      <c r="D36">
        <f>IFERROR(__xludf.DUMMYFUNCTION("""COMPUTED_VALUE"""),3.0)</f>
        <v>3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IFERROR(__xludf.DUMMYFUNCTION("""COMPUTED_VALUE"""),0.0)</f>
        <v>0</v>
      </c>
      <c r="I36">
        <f>IFERROR(__xludf.DUMMYFUNCTION("""COMPUTED_VALUE"""),1.0)</f>
        <v>1</v>
      </c>
      <c r="J36">
        <f>IFERROR(__xludf.DUMMYFUNCTION("""COMPUTED_VALUE"""),1.0)</f>
        <v>1</v>
      </c>
      <c r="K36">
        <f>IFERROR(__xludf.DUMMYFUNCTION("""COMPUTED_VALUE"""),0.0)</f>
        <v>0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1">
        <v>-5.0</v>
      </c>
      <c r="B37">
        <f>IFERROR(__xludf.DUMMYFUNCTION("""COMPUTED_VALUE"""),1.0)</f>
        <v>1</v>
      </c>
      <c r="C37">
        <f>IFERROR(__xludf.DUMMYFUNCTION("""COMPUTED_VALUE"""),0.0)</f>
        <v>0</v>
      </c>
      <c r="D37">
        <f>IFERROR(__xludf.DUMMYFUNCTION("""COMPUTED_VALUE"""),1.0)</f>
        <v>1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IFERROR(__xludf.DUMMYFUNCTION("""COMPUTED_VALUE"""),0.0)</f>
        <v>0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1" t="s">
        <v>3</v>
      </c>
      <c r="B38">
        <f>IFERROR(__xludf.DUMMYFUNCTION("""COMPUTED_VALUE"""),100.0)</f>
        <v>100</v>
      </c>
      <c r="C38">
        <f>IFERROR(__xludf.DUMMYFUNCTION("""COMPUTED_VALUE"""),35.0)</f>
        <v>35</v>
      </c>
      <c r="D38">
        <f>IFERROR(__xludf.DUMMYFUNCTION("""COMPUTED_VALUE"""),25.0)</f>
        <v>25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IFERROR(__xludf.DUMMYFUNCTION("""COMPUTED_VALUE"""),0.0)</f>
        <v>0</v>
      </c>
      <c r="I38">
        <f>IFERROR(__xludf.DUMMYFUNCTION("""COMPUTED_VALUE"""),10.0)</f>
        <v>10</v>
      </c>
      <c r="J38">
        <f>IFERROR(__xludf.DUMMYFUNCTION("""COMPUTED_VALUE"""),25.0)</f>
        <v>25</v>
      </c>
      <c r="K38">
        <f>IFERROR(__xludf.DUMMYFUNCTION("""COMPUTED_VALUE"""),0.0)</f>
        <v>0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2" t="str">
        <f>IFERROR(__xludf.DUMMYFUNCTION("IMPORTRANGE(""18KjuM_F6goZYnozVb7folIb5Hw_mfKQrNdVWKGx6j4s"",""Round 9!W1"")"),"Question: 21")</f>
        <v>Question: 21</v>
      </c>
      <c r="B39" s="3" t="s">
        <v>10</v>
      </c>
    </row>
    <row r="40">
      <c r="A40" s="2"/>
    </row>
    <row r="41">
      <c r="A41" s="1" t="s">
        <v>12</v>
      </c>
      <c r="B41" t="str">
        <f>IFERROR(__xludf.DUMMYFUNCTION("{IMPORTRANGE(""1_YEY20HiFjspjicPICCMlL_lQXsksdB6d3m5vzHwuOI"",""Round 9!C1:H3""),IMPORTRANGE(""1_YEY20HiFjspjicPICCMlL_lQXsksdB6d3m5vzHwuOI"",""Round 9!M1:R3"")}"),"Rancho Bernardo (JV)")</f>
        <v>Rancho Bernardo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IFERROR(__xludf.DUMMYFUNCTION("""COMPUTED_VALUE"""),"Black Mountain A (JV)")</f>
        <v>Black Mountain A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2" t="str">
        <f>IFERROR(__xludf.DUMMYFUNCTION("CONCAT(""A BP: "",IMPORTRANGE(""1_YEY20HiFjspjicPICCMlL_lQXsksdB6d3m5vzHwuOI"",""Round 9!I32""))"),"A BP: 140")</f>
        <v>A BP: 140</v>
      </c>
      <c r="B42" t="str">
        <f>IFERROR(__xludf.DUMMYFUNCTION("""COMPUTED_VALUE"""),"Score: 230")</f>
        <v>Score: 230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225")</f>
        <v>Score: 225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2" t="str">
        <f>IFERROR(__xludf.DUMMYFUNCTION("CONCAT(""B BP: "",IMPORTRANGE(""1_YEY20HiFjspjicPICCMlL_lQXsksdB6d3m5vzHwuOI"",""Round 9!S32""))"),"B BP: 150")</f>
        <v>B BP: 150</v>
      </c>
      <c r="B43" t="str">
        <f>IFERROR(__xludf.DUMMYFUNCTION("""COMPUTED_VALUE"""),"Sandy Tran (12)")</f>
        <v>Sandy Tran (12)</v>
      </c>
      <c r="C43" t="str">
        <f>IFERROR(__xludf.DUMMYFUNCTION("""COMPUTED_VALUE"""),"YungYi Sun (12)")</f>
        <v>YungYi Sun (12)</v>
      </c>
      <c r="D43" t="str">
        <f>IFERROR(__xludf.DUMMYFUNCTION("""COMPUTED_VALUE"""),"Katheryn Garrett (11)")</f>
        <v>Katheryn Garrett (11)</v>
      </c>
      <c r="E43" t="str">
        <f>IFERROR(__xludf.DUMMYFUNCTION("""COMPUTED_VALUE"""),"Patrick Joyce (11)")</f>
        <v>Patrick Joyce (11)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IFERROR(__xludf.DUMMYFUNCTION("""COMPUTED_VALUE"""),"Adarsh Venkateswaran (8)")</f>
        <v>Adarsh Venkateswaran (8)</v>
      </c>
      <c r="I43" t="str">
        <f>IFERROR(__xludf.DUMMYFUNCTION("""COMPUTED_VALUE"""),"Anvit Watwani (7)")</f>
        <v>Anvit Watwani (7)</v>
      </c>
      <c r="J43" t="str">
        <f>IFERROR(__xludf.DUMMYFUNCTION("""COMPUTED_VALUE"""),"Edwin Chang (8)")</f>
        <v>Edwin Chang (8)</v>
      </c>
      <c r="K43" t="str">
        <f>IFERROR(__xludf.DUMMYFUNCTION("""COMPUTED_VALUE"""),"Tanvi Bhide (7)")</f>
        <v>Tanvi Bhide (7)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1" t="s">
        <v>2</v>
      </c>
      <c r="B44">
        <f>IFERROR(__xludf.DUMMYFUNCTION("{IMPORTRANGE(""1_YEY20HiFjspjicPICCMlL_lQXsksdB6d3m5vzHwuOI"",""Round 9!C32:H36""),IMPORTRANGE(""1_YEY20HiFjspjicPICCMlL_lQXsksdB6d3m5vzHwuOI"",""Round 9!M32:R36"")}"),20.0)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1">
        <v>15.0</v>
      </c>
      <c r="B45">
        <f>IFERROR(__xludf.DUMMYFUNCTION("""COMPUTED_VALUE"""),3.0)</f>
        <v>3</v>
      </c>
      <c r="C45">
        <f>IFERROR(__xludf.DUMMYFUNCTION("""COMPUTED_VALUE"""),0.0)</f>
        <v>0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IFERROR(__xludf.DUMMYFUNCTION("""COMPUTED_VALUE"""),0.0)</f>
        <v>0</v>
      </c>
      <c r="I45">
        <f>IFERROR(__xludf.DUMMYFUNCTION("""COMPUTED_VALUE"""),1.0)</f>
        <v>1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1">
        <v>10.0</v>
      </c>
      <c r="B46">
        <f>IFERROR(__xludf.DUMMYFUNCTION("""COMPUTED_VALUE"""),6.0)</f>
        <v>6</v>
      </c>
      <c r="C46">
        <f>IFERROR(__xludf.DUMMYFUNCTION("""COMPUTED_VALUE"""),0.0)</f>
        <v>0</v>
      </c>
      <c r="D46">
        <f>IFERROR(__xludf.DUMMYFUNCTION("""COMPUTED_VALUE"""),0.0)</f>
        <v>0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IFERROR(__xludf.DUMMYFUNCTION("""COMPUTED_VALUE"""),2.0)</f>
        <v>2</v>
      </c>
      <c r="I46">
        <f>IFERROR(__xludf.DUMMYFUNCTION("""COMPUTED_VALUE"""),1.0)</f>
        <v>1</v>
      </c>
      <c r="J46">
        <f>IFERROR(__xludf.DUMMYFUNCTION("""COMPUTED_VALUE"""),2.0)</f>
        <v>2</v>
      </c>
      <c r="K46">
        <f>IFERROR(__xludf.DUMMYFUNCTION("""COMPUTED_VALUE"""),1.0)</f>
        <v>1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1">
        <v>-5.0</v>
      </c>
      <c r="B47">
        <f>IFERROR(__xludf.DUMMYFUNCTION("""COMPUTED_VALUE"""),3.0)</f>
        <v>3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1" t="s">
        <v>3</v>
      </c>
      <c r="B48">
        <f>IFERROR(__xludf.DUMMYFUNCTION("""COMPUTED_VALUE"""),90.0)</f>
        <v>90</v>
      </c>
      <c r="C48">
        <f>IFERROR(__xludf.DUMMYFUNCTION("""COMPUTED_VALUE"""),0.0)</f>
        <v>0</v>
      </c>
      <c r="D48">
        <f>IFERROR(__xludf.DUMMYFUNCTION("""COMPUTED_VALUE"""),0.0)</f>
        <v>0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IFERROR(__xludf.DUMMYFUNCTION("""COMPUTED_VALUE"""),20.0)</f>
        <v>20</v>
      </c>
      <c r="I48">
        <f>IFERROR(__xludf.DUMMYFUNCTION("""COMPUTED_VALUE"""),25.0)</f>
        <v>25</v>
      </c>
      <c r="J48">
        <f>IFERROR(__xludf.DUMMYFUNCTION("""COMPUTED_VALUE"""),20.0)</f>
        <v>20</v>
      </c>
      <c r="K48">
        <f>IFERROR(__xludf.DUMMYFUNCTION("""COMPUTED_VALUE"""),10.0)</f>
        <v>10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2" t="str">
        <f>IFERROR(__xludf.DUMMYFUNCTION("IMPORTRANGE(""1_YEY20HiFjspjicPICCMlL_lQXsksdB6d3m5vzHwuOI"",""Round 9!W1"")"),"Question: 21")</f>
        <v>Question: 21</v>
      </c>
      <c r="B49" s="3" t="s">
        <v>13</v>
      </c>
    </row>
    <row r="50">
      <c r="A50" s="2"/>
    </row>
    <row r="51">
      <c r="A51" s="1" t="s">
        <v>15</v>
      </c>
      <c r="B51" t="str">
        <f>IFERROR(__xludf.DUMMYFUNCTION("{IMPORTRANGE(""1SYS5Ef48991ZUgqcGqj51eX2YgqKCzfrEZ_pUY01Lwo"",""Round 9!C1:H3""),IMPORTRANGE(""1SYS5Ef48991ZUgqcGqj51eX2YgqKCzfrEZ_pUY01Lwo"",""Round 9!M1:R3"")}"),"Canyon Crest D (JV)")</f>
        <v>Canyon Crest D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IFERROR(__xludf.DUMMYFUNCTION("""COMPUTED_VALUE"""),"Oak Valley B (JV)")</f>
        <v>Oak Valley B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2" t="str">
        <f>IFERROR(__xludf.DUMMYFUNCTION("CONCAT(""A BP: "",IMPORTRANGE(""1SYS5Ef48991ZUgqcGqj51eX2YgqKCzfrEZ_pUY01Lwo"",""Round 9!I32""))"),"A BP: 150")</f>
        <v>A BP: 150</v>
      </c>
      <c r="B52" t="str">
        <f>IFERROR(__xludf.DUMMYFUNCTION("""COMPUTED_VALUE"""),"Score: 215")</f>
        <v>Score: 215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210")</f>
        <v>Score: 210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2" t="str">
        <f>IFERROR(__xludf.DUMMYFUNCTION("CONCAT(""B BP: "",IMPORTRANGE(""1SYS5Ef48991ZUgqcGqj51eX2YgqKCzfrEZ_pUY01Lwo"",""Round 9!S32""))"),"B BP: 120")</f>
        <v>B BP: 120</v>
      </c>
      <c r="B53" t="str">
        <f>IFERROR(__xludf.DUMMYFUNCTION("""COMPUTED_VALUE"""),"Tompson Hsu (12)")</f>
        <v>Tompson Hsu (12)</v>
      </c>
      <c r="C53" t="str">
        <f>IFERROR(__xludf.DUMMYFUNCTION("""COMPUTED_VALUE"""),"Demitrius Hong (12)")</f>
        <v>Demitrius Hong (12)</v>
      </c>
      <c r="D53" t="str">
        <f>IFERROR(__xludf.DUMMYFUNCTION("""COMPUTED_VALUE"""),"Kyle Lu (12)")</f>
        <v>Kyle Lu (12)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IFERROR(__xludf.DUMMYFUNCTION("""COMPUTED_VALUE"""),"Rohan Gaikwad (8)")</f>
        <v>Rohan Gaikwad (8)</v>
      </c>
      <c r="I53" t="str">
        <f>IFERROR(__xludf.DUMMYFUNCTION("""COMPUTED_VALUE"""),"John Bruvold (8)")</f>
        <v>John Bruvold (8)</v>
      </c>
      <c r="J53" t="str">
        <f>IFERROR(__xludf.DUMMYFUNCTION("""COMPUTED_VALUE"""),"Amina Aslam-Mir (7)")</f>
        <v>Amina Aslam-Mir (7)</v>
      </c>
      <c r="K53" t="str">
        <f>IFERROR(__xludf.DUMMYFUNCTION("""COMPUTED_VALUE"""),"Ethan Huang (7)")</f>
        <v>Ethan Huang (7)</v>
      </c>
      <c r="L53" t="str">
        <f>IFERROR(__xludf.DUMMYFUNCTION("""COMPUTED_VALUE"""),"Aditi Bandaru (7)")</f>
        <v>Aditi Bandaru (7)</v>
      </c>
      <c r="M53" t="str">
        <f>IFERROR(__xludf.DUMMYFUNCTION("""COMPUTED_VALUE"""),"Player 6")</f>
        <v>Player 6</v>
      </c>
    </row>
    <row r="54">
      <c r="A54" s="1" t="s">
        <v>2</v>
      </c>
      <c r="B54">
        <f>IFERROR(__xludf.DUMMYFUNCTION("{IMPORTRANGE(""1SYS5Ef48991ZUgqcGqj51eX2YgqKCzfrEZ_pUY01Lwo"",""Round 9!C32:H36""),IMPORTRANGE(""1SYS5Ef48991ZUgqcGqj51eX2YgqKCzfrEZ_pUY01Lwo"",""Round 9!M32:R36"")}"),20.0)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IFERROR(__xludf.DUMMYFUNCTION("""COMPUTED_VALUE"""),10.0)</f>
        <v>10</v>
      </c>
      <c r="L54">
        <f>IFERROR(__xludf.DUMMYFUNCTION("""COMPUTED_VALUE"""),10.0)</f>
        <v>10</v>
      </c>
      <c r="M54" t="str">
        <f>IFERROR(__xludf.DUMMYFUNCTION("""COMPUTED_VALUE"""),"")</f>
        <v/>
      </c>
    </row>
    <row r="55">
      <c r="A55" s="1">
        <v>15.0</v>
      </c>
      <c r="B55">
        <f>IFERROR(__xludf.DUMMYFUNCTION("""COMPUTED_VALUE"""),2.0)</f>
        <v>2</v>
      </c>
      <c r="C55">
        <f>IFERROR(__xludf.DUMMYFUNCTION("""COMPUTED_VALUE"""),0.0)</f>
        <v>0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IFERROR(__xludf.DUMMYFUNCTION("""COMPUTED_VALUE"""),1.0)</f>
        <v>1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1">
        <v>10.0</v>
      </c>
      <c r="B56">
        <f>IFERROR(__xludf.DUMMYFUNCTION("""COMPUTED_VALUE"""),4.0)</f>
        <v>4</v>
      </c>
      <c r="C56">
        <f>IFERROR(__xludf.DUMMYFUNCTION("""COMPUTED_VALUE"""),0.0)</f>
        <v>0</v>
      </c>
      <c r="D56">
        <f>IFERROR(__xludf.DUMMYFUNCTION("""COMPUTED_VALUE"""),1.0)</f>
        <v>1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IFERROR(__xludf.DUMMYFUNCTION("""COMPUTED_VALUE"""),5.0)</f>
        <v>5</v>
      </c>
      <c r="I56">
        <f>IFERROR(__xludf.DUMMYFUNCTION("""COMPUTED_VALUE"""),0.0)</f>
        <v>0</v>
      </c>
      <c r="J56">
        <f>IFERROR(__xludf.DUMMYFUNCTION("""COMPUTED_VALUE"""),3.0)</f>
        <v>3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1">
        <v>-5.0</v>
      </c>
      <c r="B57">
        <f>IFERROR(__xludf.DUMMYFUNCTION("""COMPUTED_VALUE"""),2.0)</f>
        <v>2</v>
      </c>
      <c r="C57">
        <f>IFERROR(__xludf.DUMMYFUNCTION("""COMPUTED_VALUE"""),1.0)</f>
        <v>1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IFERROR(__xludf.DUMMYFUNCTION("""COMPUTED_VALUE"""),1.0)</f>
        <v>1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1" t="s">
        <v>3</v>
      </c>
      <c r="B58">
        <f>IFERROR(__xludf.DUMMYFUNCTION("""COMPUTED_VALUE"""),60.0)</f>
        <v>60</v>
      </c>
      <c r="C58">
        <f>IFERROR(__xludf.DUMMYFUNCTION("""COMPUTED_VALUE"""),-5.0)</f>
        <v>-5</v>
      </c>
      <c r="D58">
        <f>IFERROR(__xludf.DUMMYFUNCTION("""COMPUTED_VALUE"""),10.0)</f>
        <v>10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IFERROR(__xludf.DUMMYFUNCTION("""COMPUTED_VALUE"""),60.0)</f>
        <v>60</v>
      </c>
      <c r="I58">
        <f>IFERROR(__xludf.DUMMYFUNCTION("""COMPUTED_VALUE"""),0.0)</f>
        <v>0</v>
      </c>
      <c r="J58">
        <f>IFERROR(__xludf.DUMMYFUNCTION("""COMPUTED_VALUE"""),30.0)</f>
        <v>30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2" t="str">
        <f>IFERROR(__xludf.DUMMYFUNCTION("IMPORTRANGE(""1SYS5Ef48991ZUgqcGqj51eX2YgqKCzfrEZ_pUY01Lwo"",""Round 9!W1"")"),"Question: 21")</f>
        <v>Question: 21</v>
      </c>
      <c r="B59" s="3" t="s">
        <v>16</v>
      </c>
    </row>
    <row r="60">
      <c r="A60" s="2"/>
    </row>
    <row r="61">
      <c r="A61" s="1" t="s">
        <v>17</v>
      </c>
      <c r="B61" t="str">
        <f>IFERROR(__xludf.DUMMYFUNCTION("{IMPORTRANGE(""1UJlRLlhI2Hg_SAQqQOg0JGdwHhiagF7EVAtCX8UOYFc"",""Round 9!C1:H3""),IMPORTRANGE(""1UJlRLlhI2Hg_SAQqQOg0JGdwHhiagF7EVAtCX8UOYFc"",""Round 9!M1:R3"")}"),"Scripps Ranch B (JV)")</f>
        <v>Scripps Ranch B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IFERROR(__xludf.DUMMYFUNCTION("""COMPUTED_VALUE"""),"Westview C (JV)")</f>
        <v>Westview C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2" t="str">
        <f>IFERROR(__xludf.DUMMYFUNCTION("CONCAT(""A BP: "",IMPORTRANGE(""1UJlRLlhI2Hg_SAQqQOg0JGdwHhiagF7EVAtCX8UOYFc"",""Round 9!I32""))"),"A BP: 70")</f>
        <v>A BP: 70</v>
      </c>
      <c r="B62" t="str">
        <f>IFERROR(__xludf.DUMMYFUNCTION("""COMPUTED_VALUE"""),"Score: 115")</f>
        <v>Score: 115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260")</f>
        <v>Score: 260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2" t="str">
        <f>IFERROR(__xludf.DUMMYFUNCTION("CONCAT(""B BP: "",IMPORTRANGE(""1UJlRLlhI2Hg_SAQqQOg0JGdwHhiagF7EVAtCX8UOYFc"",""Round 9!S32""))"),"B BP: 130")</f>
        <v>B BP: 130</v>
      </c>
      <c r="B63" t="str">
        <f>IFERROR(__xludf.DUMMYFUNCTION("""COMPUTED_VALUE"""),"Tristan Thai (9)")</f>
        <v>Tristan Thai (9)</v>
      </c>
      <c r="C63" t="str">
        <f>IFERROR(__xludf.DUMMYFUNCTION("""COMPUTED_VALUE"""),"Shabdika Gubba (9)")</f>
        <v>Shabdika Gubba (9)</v>
      </c>
      <c r="D63" t="str">
        <f>IFERROR(__xludf.DUMMYFUNCTION("""COMPUTED_VALUE"""),"Sam Wu (9)")</f>
        <v>Sam Wu (9)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IFERROR(__xludf.DUMMYFUNCTION("""COMPUTED_VALUE"""),"Rohan Kumar (11)")</f>
        <v>Rohan Kumar (11)</v>
      </c>
      <c r="I63" t="str">
        <f>IFERROR(__xludf.DUMMYFUNCTION("""COMPUTED_VALUE"""),"Aiken Wang (9)")</f>
        <v>Aiken Wang (9)</v>
      </c>
      <c r="J63" t="str">
        <f>IFERROR(__xludf.DUMMYFUNCTION("""COMPUTED_VALUE"""),"Radhika Sreelal (10)")</f>
        <v>Radhika Sreelal (10)</v>
      </c>
      <c r="K63" t="str">
        <f>IFERROR(__xludf.DUMMYFUNCTION("""COMPUTED_VALUE"""),"Player 4")</f>
        <v>Player 4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1" t="s">
        <v>2</v>
      </c>
      <c r="B64">
        <f>IFERROR(__xludf.DUMMYFUNCTION("{IMPORTRANGE(""1UJlRLlhI2Hg_SAQqQOg0JGdwHhiagF7EVAtCX8UOYFc"",""Round 9!C32:H36""),IMPORTRANGE(""1UJlRLlhI2Hg_SAQqQOg0JGdwHhiagF7EVAtCX8UOYFc"",""Round 9!M32:R36"")}"),20.0)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1">
        <v>15.0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IFERROR(__xludf.DUMMYFUNCTION("""COMPUTED_VALUE"""),2.0)</f>
        <v>2</v>
      </c>
      <c r="I65">
        <f>IFERROR(__xludf.DUMMYFUNCTION("""COMPUTED_VALUE"""),1.0)</f>
        <v>1</v>
      </c>
      <c r="J65">
        <f>IFERROR(__xludf.DUMMYFUNCTION("""COMPUTED_VALUE"""),1.0)</f>
        <v>1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1">
        <v>10.0</v>
      </c>
      <c r="B66">
        <f>IFERROR(__xludf.DUMMYFUNCTION("""COMPUTED_VALUE"""),0.0)</f>
        <v>0</v>
      </c>
      <c r="C66">
        <f>IFERROR(__xludf.DUMMYFUNCTION("""COMPUTED_VALUE"""),1.0)</f>
        <v>1</v>
      </c>
      <c r="D66">
        <f>IFERROR(__xludf.DUMMYFUNCTION("""COMPUTED_VALUE"""),4.0)</f>
        <v>4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IFERROR(__xludf.DUMMYFUNCTION("""COMPUTED_VALUE"""),2.0)</f>
        <v>2</v>
      </c>
      <c r="I66">
        <f>IFERROR(__xludf.DUMMYFUNCTION("""COMPUTED_VALUE"""),4.0)</f>
        <v>4</v>
      </c>
      <c r="J66">
        <f>IFERROR(__xludf.DUMMYFUNCTION("""COMPUTED_VALUE"""),2.0)</f>
        <v>2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1">
        <v>-5.0</v>
      </c>
      <c r="B67">
        <f>IFERROR(__xludf.DUMMYFUNCTION("""COMPUTED_VALUE"""),1.0)</f>
        <v>1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IFERROR(__xludf.DUMMYFUNCTION("""COMPUTED_VALUE"""),1.0)</f>
        <v>1</v>
      </c>
      <c r="J67">
        <f>IFERROR(__xludf.DUMMYFUNCTION("""COMPUTED_VALUE"""),1.0)</f>
        <v>1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1" t="s">
        <v>3</v>
      </c>
      <c r="B68">
        <f>IFERROR(__xludf.DUMMYFUNCTION("""COMPUTED_VALUE"""),-5.0)</f>
        <v>-5</v>
      </c>
      <c r="C68">
        <f>IFERROR(__xludf.DUMMYFUNCTION("""COMPUTED_VALUE"""),10.0)</f>
        <v>10</v>
      </c>
      <c r="D68">
        <f>IFERROR(__xludf.DUMMYFUNCTION("""COMPUTED_VALUE"""),40.0)</f>
        <v>40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IFERROR(__xludf.DUMMYFUNCTION("""COMPUTED_VALUE"""),50.0)</f>
        <v>50</v>
      </c>
      <c r="I68">
        <f>IFERROR(__xludf.DUMMYFUNCTION("""COMPUTED_VALUE"""),50.0)</f>
        <v>50</v>
      </c>
      <c r="J68">
        <f>IFERROR(__xludf.DUMMYFUNCTION("""COMPUTED_VALUE"""),30.0)</f>
        <v>30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2" t="str">
        <f>IFERROR(__xludf.DUMMYFUNCTION("IMPORTRANGE(""1UJlRLlhI2Hg_SAQqQOg0JGdwHhiagF7EVAtCX8UOYFc"",""Round 9!W1"")"),"Question: 21")</f>
        <v>Question: 21</v>
      </c>
      <c r="B69" s="3" t="s">
        <v>19</v>
      </c>
    </row>
    <row r="70">
      <c r="A70" s="2"/>
    </row>
    <row r="71">
      <c r="A71" s="1" t="s">
        <v>20</v>
      </c>
      <c r="B71" t="str">
        <f>IFERROR(__xludf.DUMMYFUNCTION("{IMPORTRANGE(""1jA96n0qbauznSt6-hkr51AslpxJqfrWgkafVtMV8_xU"",""Round 9!C1:H3""),IMPORTRANGE(""1jA96n0qbauznSt6-hkr51AslpxJqfrWgkafVtMV8_xU"",""Round 9!M1:R3"")}"),"Oak Valley C (JV)")</f>
        <v>Oak Valley C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IFERROR(__xludf.DUMMYFUNCTION("""COMPUTED_VALUE"""),"Del Norte (JV)")</f>
        <v>Del Norte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2" t="str">
        <f>IFERROR(__xludf.DUMMYFUNCTION("CONCAT(""A BP: "",IMPORTRANGE(""1jA96n0qbauznSt6-hkr51AslpxJqfrWgkafVtMV8_xU"",""Round 9!I32""))"),"A BP: 90")</f>
        <v>A BP: 90</v>
      </c>
      <c r="B72" t="str">
        <f>IFERROR(__xludf.DUMMYFUNCTION("""COMPUTED_VALUE"""),"Score: 160")</f>
        <v>Score: 160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175")</f>
        <v>Score: 175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2" t="str">
        <f>IFERROR(__xludf.DUMMYFUNCTION("CONCAT(""B BP: "",IMPORTRANGE(""1jA96n0qbauznSt6-hkr51AslpxJqfrWgkafVtMV8_xU"",""Round 9!S32""))"),"B BP: 110")</f>
        <v>B BP: 110</v>
      </c>
      <c r="B73" t="str">
        <f>IFERROR(__xludf.DUMMYFUNCTION("""COMPUTED_VALUE"""),"Saanvi Agarwal (6)")</f>
        <v>Saanvi Agarwal (6)</v>
      </c>
      <c r="C73" t="str">
        <f>IFERROR(__xludf.DUMMYFUNCTION("""COMPUTED_VALUE"""),"Chinmay Ramamurthy (7)")</f>
        <v>Chinmay Ramamurthy (7)</v>
      </c>
      <c r="D73" t="str">
        <f>IFERROR(__xludf.DUMMYFUNCTION("""COMPUTED_VALUE"""),"Tay Kim (7)")</f>
        <v>Tay Kim (7)</v>
      </c>
      <c r="E73" t="str">
        <f>IFERROR(__xludf.DUMMYFUNCTION("""COMPUTED_VALUE"""),"Sarah Feng (6)")</f>
        <v>Sarah Feng (6)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IFERROR(__xludf.DUMMYFUNCTION("""COMPUTED_VALUE"""),"Kyle Nagasawa (11)")</f>
        <v>Kyle Nagasawa (11)</v>
      </c>
      <c r="I73" t="str">
        <f>IFERROR(__xludf.DUMMYFUNCTION("""COMPUTED_VALUE"""),"Kinish Sathish (9)")</f>
        <v>Kinish Sathish (9)</v>
      </c>
      <c r="J73" t="str">
        <f>IFERROR(__xludf.DUMMYFUNCTION("""COMPUTED_VALUE"""),"Player 3")</f>
        <v>Player 3</v>
      </c>
      <c r="K73" t="str">
        <f>IFERROR(__xludf.DUMMYFUNCTION("""COMPUTED_VALUE"""),"Player 4")</f>
        <v>Player 4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1" t="s">
        <v>2</v>
      </c>
      <c r="B74">
        <f>IFERROR(__xludf.DUMMYFUNCTION("{IMPORTRANGE(""1jA96n0qbauznSt6-hkr51AslpxJqfrWgkafVtMV8_xU"",""Round 9!C32:H36""),IMPORTRANGE(""1jA96n0qbauznSt6-hkr51AslpxJqfrWgkafVtMV8_xU"",""Round 9!M32:R36"")}"),20.0)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1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IFERROR(__xludf.DUMMYFUNCTION("""COMPUTED_VALUE"""),1.0)</f>
        <v>1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IFERROR(__xludf.DUMMYFUNCTION("""COMPUTED_VALUE"""),1.0)</f>
        <v>1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1">
        <v>10.0</v>
      </c>
      <c r="B76">
        <f>IFERROR(__xludf.DUMMYFUNCTION("""COMPUTED_VALUE"""),2.0)</f>
        <v>2</v>
      </c>
      <c r="C76">
        <f>IFERROR(__xludf.DUMMYFUNCTION("""COMPUTED_VALUE"""),2.0)</f>
        <v>2</v>
      </c>
      <c r="D76">
        <f>IFERROR(__xludf.DUMMYFUNCTION("""COMPUTED_VALUE"""),0.0)</f>
        <v>0</v>
      </c>
      <c r="E76">
        <f>IFERROR(__xludf.DUMMYFUNCTION("""COMPUTED_VALUE"""),2.0)</f>
        <v>2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IFERROR(__xludf.DUMMYFUNCTION("""COMPUTED_VALUE"""),2.0)</f>
        <v>2</v>
      </c>
      <c r="I76">
        <f>IFERROR(__xludf.DUMMYFUNCTION("""COMPUTED_VALUE"""),4.0)</f>
        <v>4</v>
      </c>
      <c r="J76">
        <f>IFERROR(__xludf.DUMMYFUNCTION("""COMPUTED_VALUE"""),0.0)</f>
        <v>0</v>
      </c>
      <c r="K76">
        <f>IFERROR(__xludf.DUMMYFUNCTION("""COMPUTED_VALUE"""),0.0)</f>
        <v>0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1">
        <v>-5.0</v>
      </c>
      <c r="B77">
        <f>IFERROR(__xludf.DUMMYFUNCTION("""COMPUTED_VALUE"""),0.0)</f>
        <v>0</v>
      </c>
      <c r="C77">
        <f>IFERROR(__xludf.DUMMYFUNCTION("""COMPUTED_VALUE"""),1.0)</f>
        <v>1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IFERROR(__xludf.DUMMYFUNCTION("""COMPUTED_VALUE"""),1.0)</f>
        <v>1</v>
      </c>
      <c r="I77">
        <f>IFERROR(__xludf.DUMMYFUNCTION("""COMPUTED_VALUE"""),1.0)</f>
        <v>1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1" t="s">
        <v>3</v>
      </c>
      <c r="B78">
        <f>IFERROR(__xludf.DUMMYFUNCTION("""COMPUTED_VALUE"""),20.0)</f>
        <v>20</v>
      </c>
      <c r="C78">
        <f>IFERROR(__xludf.DUMMYFUNCTION("""COMPUTED_VALUE"""),15.0)</f>
        <v>15</v>
      </c>
      <c r="D78">
        <f>IFERROR(__xludf.DUMMYFUNCTION("""COMPUTED_VALUE"""),0.0)</f>
        <v>0</v>
      </c>
      <c r="E78">
        <f>IFERROR(__xludf.DUMMYFUNCTION("""COMPUTED_VALUE"""),35.0)</f>
        <v>35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IFERROR(__xludf.DUMMYFUNCTION("""COMPUTED_VALUE"""),15.0)</f>
        <v>15</v>
      </c>
      <c r="I78">
        <f>IFERROR(__xludf.DUMMYFUNCTION("""COMPUTED_VALUE"""),50.0)</f>
        <v>50</v>
      </c>
      <c r="J78">
        <f>IFERROR(__xludf.DUMMYFUNCTION("""COMPUTED_VALUE"""),0.0)</f>
        <v>0</v>
      </c>
      <c r="K78">
        <f>IFERROR(__xludf.DUMMYFUNCTION("""COMPUTED_VALUE"""),0.0)</f>
        <v>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2" t="str">
        <f>IFERROR(__xludf.DUMMYFUNCTION("IMPORTRANGE(""1jA96n0qbauznSt6-hkr51AslpxJqfrWgkafVtMV8_xU"",""Round 9!W1"")"),"Question: 21")</f>
        <v>Question: 21</v>
      </c>
      <c r="B79" s="3" t="s">
        <v>22</v>
      </c>
    </row>
    <row r="80">
      <c r="A80" s="2"/>
    </row>
    <row r="81">
      <c r="A81" s="1" t="s">
        <v>23</v>
      </c>
      <c r="B81" t="str">
        <f>IFERROR(__xludf.DUMMYFUNCTION("{IMPORTRANGE(""1xw1EOjVhrK1PNJfOYiUsuJNrlpV53SmfJxYsFFolQ3s"",""Round 9!C1:H3""),IMPORTRANGE(""1xw1EOjVhrK1PNJfOYiUsuJNrlpV53SmfJxYsFFolQ3s"",""Round 9!M1:R3"")}"),"Black Mountain B (JV)")</f>
        <v>Black Mountain B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IFERROR(__xludf.DUMMYFUNCTION("""COMPUTED_VALUE"""),"La Serna B (JV)")</f>
        <v>La Serna B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2" t="str">
        <f>IFERROR(__xludf.DUMMYFUNCTION("CONCAT(""A BP: "",IMPORTRANGE(""1xw1EOjVhrK1PNJfOYiUsuJNrlpV53SmfJxYsFFolQ3s"",""Round 9!I32""))"),"A BP: 170")</f>
        <v>A BP: 170</v>
      </c>
      <c r="B82" t="str">
        <f>IFERROR(__xludf.DUMMYFUNCTION("""COMPUTED_VALUE"""),"Score: 305")</f>
        <v>Score: 305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30")</f>
        <v>Score: 30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2" t="str">
        <f>IFERROR(__xludf.DUMMYFUNCTION("CONCAT(""B BP: "",IMPORTRANGE(""1xw1EOjVhrK1PNJfOYiUsuJNrlpV53SmfJxYsFFolQ3s"",""Round 9!S32""))"),"B BP: 20")</f>
        <v>B BP: 20</v>
      </c>
      <c r="B83" t="str">
        <f>IFERROR(__xludf.DUMMYFUNCTION("""COMPUTED_VALUE"""),"Raina Chatterjee (7)")</f>
        <v>Raina Chatterjee (7)</v>
      </c>
      <c r="C83" t="str">
        <f>IFERROR(__xludf.DUMMYFUNCTION("""COMPUTED_VALUE"""),"Pranay Kulkarni (7)")</f>
        <v>Pranay Kulkarni (7)</v>
      </c>
      <c r="D83" t="str">
        <f>IFERROR(__xludf.DUMMYFUNCTION("""COMPUTED_VALUE"""),"Lauren Yung (8)")</f>
        <v>Lauren Yung (8)</v>
      </c>
      <c r="E83" t="str">
        <f>IFERROR(__xludf.DUMMYFUNCTION("""COMPUTED_VALUE"""),"Anay Sabhnani (7)")</f>
        <v>Anay Sabhnani (7)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IFERROR(__xludf.DUMMYFUNCTION("""COMPUTED_VALUE"""),"Jerred Casillas (12)")</f>
        <v>Jerred Casillas (12)</v>
      </c>
      <c r="I83" t="str">
        <f>IFERROR(__xludf.DUMMYFUNCTION("""COMPUTED_VALUE"""),"Colin Twisselmann (10)")</f>
        <v>Colin Twisselmann (10)</v>
      </c>
      <c r="J83" t="str">
        <f>IFERROR(__xludf.DUMMYFUNCTION("""COMPUTED_VALUE"""),"Liz Carrasco (12)")</f>
        <v>Liz Carrasco (12)</v>
      </c>
      <c r="K83" t="str">
        <f>IFERROR(__xludf.DUMMYFUNCTION("""COMPUTED_VALUE"""),"Player 4")</f>
        <v>Player 4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1" t="s">
        <v>2</v>
      </c>
      <c r="B84">
        <f>IFERROR(__xludf.DUMMYFUNCTION("{IMPORTRANGE(""1xw1EOjVhrK1PNJfOYiUsuJNrlpV53SmfJxYsFFolQ3s"",""Round 9!C32:H36""),IMPORTRANGE(""1xw1EOjVhrK1PNJfOYiUsuJNrlpV53SmfJxYsFFolQ3s"",""Round 9!M32:R36"")}"),20.0)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1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IFERROR(__xludf.DUMMYFUNCTION("""COMPUTED_VALUE"""),2.0)</f>
        <v>2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IFERROR(__xludf.DUMMYFUNCTION("""COMPUTED_VALUE"""),0.0)</f>
        <v>0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1">
        <v>10.0</v>
      </c>
      <c r="B86">
        <f>IFERROR(__xludf.DUMMYFUNCTION("""COMPUTED_VALUE"""),2.0)</f>
        <v>2</v>
      </c>
      <c r="C86">
        <f>IFERROR(__xludf.DUMMYFUNCTION("""COMPUTED_VALUE"""),4.0)</f>
        <v>4</v>
      </c>
      <c r="D86">
        <f>IFERROR(__xludf.DUMMYFUNCTION("""COMPUTED_VALUE"""),4.0)</f>
        <v>4</v>
      </c>
      <c r="E86">
        <f>IFERROR(__xludf.DUMMYFUNCTION("""COMPUTED_VALUE"""),1.0)</f>
        <v>1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IFERROR(__xludf.DUMMYFUNCTION("""COMPUTED_VALUE"""),0.0)</f>
        <v>0</v>
      </c>
      <c r="I86">
        <f>IFERROR(__xludf.DUMMYFUNCTION("""COMPUTED_VALUE"""),1.0)</f>
        <v>1</v>
      </c>
      <c r="J86">
        <f>IFERROR(__xludf.DUMMYFUNCTION("""COMPUTED_VALUE"""),1.0)</f>
        <v>1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1">
        <v>-5.0</v>
      </c>
      <c r="B87">
        <f>IFERROR(__xludf.DUMMYFUNCTION("""COMPUTED_VALUE"""),0.0)</f>
        <v>0</v>
      </c>
      <c r="C87">
        <f>IFERROR(__xludf.DUMMYFUNCTION("""COMPUTED_VALUE"""),1.0)</f>
        <v>1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IFERROR(__xludf.DUMMYFUNCTION("""COMPUTED_VALUE"""),0.0)</f>
        <v>0</v>
      </c>
      <c r="I87">
        <f>IFERROR(__xludf.DUMMYFUNCTION("""COMPUTED_VALUE"""),1.0)</f>
        <v>1</v>
      </c>
      <c r="J87">
        <f>IFERROR(__xludf.DUMMYFUNCTION("""COMPUTED_VALUE"""),1.0)</f>
        <v>1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1" t="s">
        <v>3</v>
      </c>
      <c r="B88">
        <f>IFERROR(__xludf.DUMMYFUNCTION("""COMPUTED_VALUE"""),20.0)</f>
        <v>20</v>
      </c>
      <c r="C88">
        <f>IFERROR(__xludf.DUMMYFUNCTION("""COMPUTED_VALUE"""),35.0)</f>
        <v>35</v>
      </c>
      <c r="D88">
        <f>IFERROR(__xludf.DUMMYFUNCTION("""COMPUTED_VALUE"""),70.0)</f>
        <v>70</v>
      </c>
      <c r="E88">
        <f>IFERROR(__xludf.DUMMYFUNCTION("""COMPUTED_VALUE"""),10.0)</f>
        <v>10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IFERROR(__xludf.DUMMYFUNCTION("""COMPUTED_VALUE"""),0.0)</f>
        <v>0</v>
      </c>
      <c r="I88">
        <f>IFERROR(__xludf.DUMMYFUNCTION("""COMPUTED_VALUE"""),5.0)</f>
        <v>5</v>
      </c>
      <c r="J88">
        <f>IFERROR(__xludf.DUMMYFUNCTION("""COMPUTED_VALUE"""),5.0)</f>
        <v>5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2" t="str">
        <f>IFERROR(__xludf.DUMMYFUNCTION("IMPORTRANGE(""1xw1EOjVhrK1PNJfOYiUsuJNrlpV53SmfJxYsFFolQ3s"",""Round 9!W1"")"),"Question: 21")</f>
        <v>Question: 21</v>
      </c>
      <c r="B89" s="3" t="s">
        <v>25</v>
      </c>
    </row>
    <row r="90">
      <c r="A90" s="2"/>
    </row>
    <row r="91">
      <c r="A91" s="1" t="s">
        <v>26</v>
      </c>
      <c r="B91" t="str">
        <f>IFERROR(__xludf.DUMMYFUNCTION("{IMPORTRANGE(""15wOrdFuJAb1a4MoX5CG4apiBD2jUJ7mBu58Uk-8Mo7s"",""Round 9!C1:H3""),IMPORTRANGE(""15wOrdFuJAb1a4MoX5CG4apiBD2jUJ7mBu58Uk-8Mo7s"",""Round 9!M1:R3"")}"),"Team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2" t="str">
        <f>IFERROR(__xludf.DUMMYFUNCTION("CONCAT(""A BP: "",IMPORTRANGE(""15wOrdFuJAb1a4MoX5CG4apiBD2jUJ7mBu58Uk-8Mo7s"",""Round 9!I32""))"),"A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2" t="str">
        <f>IFERROR(__xludf.DUMMYFUNCTION("CONCAT(""B BP: "",IMPORTRANGE(""15wOrdFuJAb1a4MoX5CG4apiBD2jUJ7mBu58Uk-8Mo7s"",""Round 9!S32""))"),"B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1" t="s">
        <v>2</v>
      </c>
      <c r="B94">
        <f>IFERROR(__xludf.DUMMYFUNCTION("{IMPORTRANGE(""15wOrdFuJAb1a4MoX5CG4apiBD2jUJ7mBu58Uk-8Mo7s"",""Round 9!C32:H36""),IMPORTRANGE(""15wOrdFuJAb1a4MoX5CG4apiBD2jUJ7mBu58Uk-8Mo7s"",""Round 9!M32:R36"")}"),20.0)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1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1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1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1" t="s">
        <v>3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2" t="str">
        <f>IFERROR(__xludf.DUMMYFUNCTION("IMPORTRANGE(""15wOrdFuJAb1a4MoX5CG4apiBD2jUJ7mBu58Uk-8Mo7s"",""Round 9!W1"")"),"Question: 1")</f>
        <v>Question: 1</v>
      </c>
      <c r="B99" s="3" t="s">
        <v>27</v>
      </c>
    </row>
    <row r="100">
      <c r="A100" s="2"/>
    </row>
    <row r="101">
      <c r="A101" s="1" t="s">
        <v>28</v>
      </c>
      <c r="B101" t="str">
        <f>IFERROR(__xludf.DUMMYFUNCTION("{IMPORTRANGE(""1GfJqS1rsy-VutTmPVnm9E2VdinIG-GnQO5b3bhaiX1s"",""Round 9!C1:H3""),IMPORTRANGE(""1GfJqS1rsy-VutTmPVnm9E2VdinIG-GnQO5b3bhaiX1s"",""Round 9!M1:R3"")}"),"Team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2" t="str">
        <f>IFERROR(__xludf.DUMMYFUNCTION("CONCAT(""A BP: "",IMPORTRANGE(""1GfJqS1rsy-VutTmPVnm9E2VdinIG-GnQO5b3bhaiX1s"",""Round 9!I32""))"),"A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2" t="str">
        <f>IFERROR(__xludf.DUMMYFUNCTION("CONCAT(""B BP: "",IMPORTRANGE(""1GfJqS1rsy-VutTmPVnm9E2VdinIG-GnQO5b3bhaiX1s"",""Round 9!S32""))"),"B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1" t="s">
        <v>2</v>
      </c>
      <c r="B104">
        <f>IFERROR(__xludf.DUMMYFUNCTION("{IMPORTRANGE(""1GfJqS1rsy-VutTmPVnm9E2VdinIG-GnQO5b3bhaiX1s"",""Round 9!C32:H36""),IMPORTRANGE(""1GfJqS1rsy-VutTmPVnm9E2VdinIG-GnQO5b3bhaiX1s"",""Round 9!M32:R36"")}"),20.0)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1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1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1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1" t="s">
        <v>3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2" t="str">
        <f>IFERROR(__xludf.DUMMYFUNCTION("IMPORTRANGE(""1GfJqS1rsy-VutTmPVnm9E2VdinIG-GnQO5b3bhaiX1s"",""Round 9!W1"")"),"Question: 1")</f>
        <v>Question: 1</v>
      </c>
      <c r="B109" s="3" t="s">
        <v>29</v>
      </c>
    </row>
    <row r="110">
      <c r="A110" s="2"/>
    </row>
    <row r="111">
      <c r="A111" s="1" t="s">
        <v>45</v>
      </c>
      <c r="B111" t="str">
        <f>IFERROR(__xludf.DUMMYFUNCTION("{IMPORTRANGE(""17CLUEFflDBSa8dyH5vsXfHme4RV8IhzD-mxe9_c9I5k"",""Round 9!C1:H3""),IMPORTRANGE(""17CLUEFflDBSa8dyH5vsXfHme4RV8IhzD-mxe9_c9I5k"",""Round 9!M1:R3"")}"),"Arcadia (V)")</f>
        <v>Arcadia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IFERROR(__xludf.DUMMYFUNCTION("""COMPUTED_VALUE"""),"Santa Monica A (V)")</f>
        <v>Santa Monica A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2" t="str">
        <f>IFERROR(__xludf.DUMMYFUNCTION("CONCAT(""A BP: "",IMPORTRANGE(""17CLUEFflDBSa8dyH5vsXfHme4RV8IhzD-mxe9_c9I5k"",""Round 9!I32""))"),"A BP: 250")</f>
        <v>A BP: 250</v>
      </c>
      <c r="B112" t="str">
        <f>IFERROR(__xludf.DUMMYFUNCTION("""COMPUTED_VALUE"""),"Score: 390")</f>
        <v>Score: 390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180")</f>
        <v>Score: 180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2" t="str">
        <f>IFERROR(__xludf.DUMMYFUNCTION("CONCAT(""B BP: "",IMPORTRANGE(""17CLUEFflDBSa8dyH5vsXfHme4RV8IhzD-mxe9_c9I5k"",""Round 9!S32""))"),"B BP: 110")</f>
        <v>B BP: 110</v>
      </c>
      <c r="B113" t="str">
        <f>IFERROR(__xludf.DUMMYFUNCTION("""COMPUTED_VALUE"""),"Amogh Kulkarni (10)")</f>
        <v>Amogh Kulkarni (10)</v>
      </c>
      <c r="C113" t="str">
        <f>IFERROR(__xludf.DUMMYFUNCTION("""COMPUTED_VALUE"""),"Spencer Cheng (12)")</f>
        <v>Spencer Cheng (12)</v>
      </c>
      <c r="D113" t="str">
        <f>IFERROR(__xludf.DUMMYFUNCTION("""COMPUTED_VALUE"""),"Sanjith Menon (10)")</f>
        <v>Sanjith Menon (10)</v>
      </c>
      <c r="E113" t="str">
        <f>IFERROR(__xludf.DUMMYFUNCTION("""COMPUTED_VALUE"""),"Michael Kwok (10)")</f>
        <v>Michael Kwok (10)</v>
      </c>
      <c r="F113" t="str">
        <f>IFERROR(__xludf.DUMMYFUNCTION("""COMPUTED_VALUE"""),"Ryan Sun (10)")</f>
        <v>Ryan Sun (10)</v>
      </c>
      <c r="G113" t="str">
        <f>IFERROR(__xludf.DUMMYFUNCTION("""COMPUTED_VALUE"""),"Player 6")</f>
        <v>Player 6</v>
      </c>
      <c r="H113" t="str">
        <f>IFERROR(__xludf.DUMMYFUNCTION("""COMPUTED_VALUE"""),"Josh Xu (11)")</f>
        <v>Josh Xu (11)</v>
      </c>
      <c r="I113" t="str">
        <f>IFERROR(__xludf.DUMMYFUNCTION("""COMPUTED_VALUE"""),"Player 2")</f>
        <v>Player 2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1" t="s">
        <v>2</v>
      </c>
      <c r="B114">
        <f>IFERROR(__xludf.DUMMYFUNCTION("{IMPORTRANGE(""17CLUEFflDBSa8dyH5vsXfHme4RV8IhzD-mxe9_c9I5k"",""Round 9!C32:H36""),IMPORTRANGE(""17CLUEFflDBSa8dyH5vsXfHme4RV8IhzD-mxe9_c9I5k"",""Round 9!M32:R36"")}"),20.0)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IFERROR(__xludf.DUMMYFUNCTION("""COMPUTED_VALUE"""),10.0)</f>
        <v>10</v>
      </c>
      <c r="F114">
        <f>IFERROR(__xludf.DUMMYFUNCTION("""COMPUTED_VALUE"""),10.0)</f>
        <v>10</v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1">
        <v>15.0</v>
      </c>
      <c r="B115">
        <f>IFERROR(__xludf.DUMMYFUNCTION("""COMPUTED_VALUE"""),4.0)</f>
        <v>4</v>
      </c>
      <c r="C115">
        <f>IFERROR(__xludf.DUMMYFUNCTION("""COMPUTED_VALUE"""),0.0)</f>
        <v>0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IFERROR(__xludf.DUMMYFUNCTION("""COMPUTED_VALUE"""),2.0)</f>
        <v>2</v>
      </c>
      <c r="G115">
        <f>IFERROR(__xludf.DUMMYFUNCTION("""COMPUTED_VALUE"""),0.0)</f>
        <v>0</v>
      </c>
      <c r="H115">
        <f>IFERROR(__xludf.DUMMYFUNCTION("""COMPUTED_VALUE"""),2.0)</f>
        <v>2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1">
        <v>10.0</v>
      </c>
      <c r="B116">
        <f>IFERROR(__xludf.DUMMYFUNCTION("""COMPUTED_VALUE"""),4.0)</f>
        <v>4</v>
      </c>
      <c r="C116">
        <f>IFERROR(__xludf.DUMMYFUNCTION("""COMPUTED_VALUE"""),1.0)</f>
        <v>1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IFERROR(__xludf.DUMMYFUNCTION("""COMPUTED_VALUE"""),2.0)</f>
        <v>2</v>
      </c>
      <c r="G116">
        <f>IFERROR(__xludf.DUMMYFUNCTION("""COMPUTED_VALUE"""),0.0)</f>
        <v>0</v>
      </c>
      <c r="H116">
        <f>IFERROR(__xludf.DUMMYFUNCTION("""COMPUTED_VALUE"""),4.0)</f>
        <v>4</v>
      </c>
      <c r="I116">
        <f>IFERROR(__xludf.DUMMYFUNCTION("""COMPUTED_VALUE"""),0.0)</f>
        <v>0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1">
        <v>-5.0</v>
      </c>
      <c r="B117">
        <f>IFERROR(__xludf.DUMMYFUNCTION("""COMPUTED_VALUE"""),1.0)</f>
        <v>1</v>
      </c>
      <c r="C117">
        <f>IFERROR(__xludf.DUMMYFUNCTION("""COMPUTED_VALUE"""),0.0)</f>
        <v>0</v>
      </c>
      <c r="D117">
        <f>IFERROR(__xludf.DUMMYFUNCTION("""COMPUTED_VALUE"""),0.0)</f>
        <v>0</v>
      </c>
      <c r="E117">
        <f>IFERROR(__xludf.DUMMYFUNCTION("""COMPUTED_VALUE"""),2.0)</f>
        <v>2</v>
      </c>
      <c r="F117">
        <f>IFERROR(__xludf.DUMMYFUNCTION("""COMPUTED_VALUE"""),1.0)</f>
        <v>1</v>
      </c>
      <c r="G117">
        <f>IFERROR(__xludf.DUMMYFUNCTION("""COMPUTED_VALUE"""),0.0)</f>
        <v>0</v>
      </c>
      <c r="H117">
        <f>IFERROR(__xludf.DUMMYFUNCTION("""COMPUTED_VALUE"""),0.0)</f>
        <v>0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1" t="s">
        <v>3</v>
      </c>
      <c r="B118">
        <f>IFERROR(__xludf.DUMMYFUNCTION("""COMPUTED_VALUE"""),95.0)</f>
        <v>95</v>
      </c>
      <c r="C118">
        <f>IFERROR(__xludf.DUMMYFUNCTION("""COMPUTED_VALUE"""),10.0)</f>
        <v>10</v>
      </c>
      <c r="D118">
        <f>IFERROR(__xludf.DUMMYFUNCTION("""COMPUTED_VALUE"""),0.0)</f>
        <v>0</v>
      </c>
      <c r="E118">
        <f>IFERROR(__xludf.DUMMYFUNCTION("""COMPUTED_VALUE"""),-10.0)</f>
        <v>-10</v>
      </c>
      <c r="F118">
        <f>IFERROR(__xludf.DUMMYFUNCTION("""COMPUTED_VALUE"""),45.0)</f>
        <v>45</v>
      </c>
      <c r="G118">
        <f>IFERROR(__xludf.DUMMYFUNCTION("""COMPUTED_VALUE"""),0.0)</f>
        <v>0</v>
      </c>
      <c r="H118">
        <f>IFERROR(__xludf.DUMMYFUNCTION("""COMPUTED_VALUE"""),70.0)</f>
        <v>70</v>
      </c>
      <c r="I118">
        <f>IFERROR(__xludf.DUMMYFUNCTION("""COMPUTED_VALUE"""),0.0)</f>
        <v>0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2" t="str">
        <f>IFERROR(__xludf.DUMMYFUNCTION("IMPORTRANGE(""17CLUEFflDBSa8dyH5vsXfHme4RV8IhzD-mxe9_c9I5k"",""Round 9!W1"")"),"Question: 21")</f>
        <v>Question: 21</v>
      </c>
      <c r="B119" s="3" t="s">
        <v>31</v>
      </c>
    </row>
    <row r="120">
      <c r="A120" s="2"/>
    </row>
    <row r="121">
      <c r="A121" s="1" t="s">
        <v>46</v>
      </c>
      <c r="B121" t="str">
        <f>IFERROR(__xludf.DUMMYFUNCTION("{IMPORTRANGE(""1Knt8XDGFY_MP2OzeadT1pDENTLOdk9Ab_Rd9IdW0kzc"",""Round 9!C1:H3""),IMPORTRANGE(""1Knt8XDGFY_MP2OzeadT1pDENTLOdk9Ab_Rd9IdW0kzc"",""Round 9!M1:R3"")}"),"Santa Monica B (V)")</f>
        <v>Santa Monica B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IFERROR(__xludf.DUMMYFUNCTION("""COMPUTED_VALUE"""),"Troy A (V)")</f>
        <v>Troy A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2" t="str">
        <f>IFERROR(__xludf.DUMMYFUNCTION("CONCAT(""A BP: "",IMPORTRANGE(""1Knt8XDGFY_MP2OzeadT1pDENTLOdk9Ab_Rd9IdW0kzc"",""Round 9!I32""))"),"A BP: 60")</f>
        <v>A BP: 60</v>
      </c>
      <c r="B122" t="str">
        <f>IFERROR(__xludf.DUMMYFUNCTION("""COMPUTED_VALUE"""),"Score: 115")</f>
        <v>Score: 115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270")</f>
        <v>Score: 270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2" t="str">
        <f>IFERROR(__xludf.DUMMYFUNCTION("CONCAT(""B BP: "",IMPORTRANGE(""1Knt8XDGFY_MP2OzeadT1pDENTLOdk9Ab_Rd9IdW0kzc"",""Round 9!S32""))"),"B BP: 140")</f>
        <v>B BP: 140</v>
      </c>
      <c r="B123" t="str">
        <f>IFERROR(__xludf.DUMMYFUNCTION("""COMPUTED_VALUE"""),"Kethan Raman (10)")</f>
        <v>Kethan Raman (10)</v>
      </c>
      <c r="C123" t="str">
        <f>IFERROR(__xludf.DUMMYFUNCTION("""COMPUTED_VALUE"""),"Ethan Hopkins (10)")</f>
        <v>Ethan Hopkins (10)</v>
      </c>
      <c r="D123" t="str">
        <f>IFERROR(__xludf.DUMMYFUNCTION("""COMPUTED_VALUE"""),"Jacob Cohen (10)")</f>
        <v>Jacob Cohen (10)</v>
      </c>
      <c r="E123" t="str">
        <f>IFERROR(__xludf.DUMMYFUNCTION("""COMPUTED_VALUE"""),"Player 4")</f>
        <v>Player 4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IFERROR(__xludf.DUMMYFUNCTION("""COMPUTED_VALUE"""),"Daniel Shin (10)")</f>
        <v>Daniel Shin (10)</v>
      </c>
      <c r="I123" t="str">
        <f>IFERROR(__xludf.DUMMYFUNCTION("""COMPUTED_VALUE"""),"Tyler Kim (11)")</f>
        <v>Tyler Kim (11)</v>
      </c>
      <c r="J123" t="str">
        <f>IFERROR(__xludf.DUMMYFUNCTION("""COMPUTED_VALUE"""),"Henry Tang (10)")</f>
        <v>Henry Tang (10)</v>
      </c>
      <c r="K123" t="str">
        <f>IFERROR(__xludf.DUMMYFUNCTION("""COMPUTED_VALUE"""),"Luke Park (11)")</f>
        <v>Luke Park (11)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1" t="s">
        <v>2</v>
      </c>
      <c r="B124">
        <f>IFERROR(__xludf.DUMMYFUNCTION("{IMPORTRANGE(""1Knt8XDGFY_MP2OzeadT1pDENTLOdk9Ab_Rd9IdW0kzc"",""Round 9!C32:H36""),IMPORTRANGE(""1Knt8XDGFY_MP2OzeadT1pDENTLOdk9Ab_Rd9IdW0kzc"",""Round 9!M32:R36"")}"),20.0)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1">
        <v>15.0</v>
      </c>
      <c r="B125">
        <f>IFERROR(__xludf.DUMMYFUNCTION("""COMPUTED_VALUE"""),1.0)</f>
        <v>1</v>
      </c>
      <c r="C125">
        <f>IFERROR(__xludf.DUMMYFUNCTION("""COMPUTED_VALUE"""),0.0)</f>
        <v>0</v>
      </c>
      <c r="D125">
        <f>IFERROR(__xludf.DUMMYFUNCTION("""COMPUTED_VALUE"""),0.0)</f>
        <v>0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IFERROR(__xludf.DUMMYFUNCTION("""COMPUTED_VALUE"""),1.0)</f>
        <v>1</v>
      </c>
      <c r="K125">
        <f>IFERROR(__xludf.DUMMYFUNCTION("""COMPUTED_VALUE"""),1.0)</f>
        <v>1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1">
        <v>10.0</v>
      </c>
      <c r="B126">
        <f>IFERROR(__xludf.DUMMYFUNCTION("""COMPUTED_VALUE"""),3.0)</f>
        <v>3</v>
      </c>
      <c r="C126">
        <f>IFERROR(__xludf.DUMMYFUNCTION("""COMPUTED_VALUE"""),1.0)</f>
        <v>1</v>
      </c>
      <c r="D126">
        <f>IFERROR(__xludf.DUMMYFUNCTION("""COMPUTED_VALUE"""),1.0)</f>
        <v>1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IFERROR(__xludf.DUMMYFUNCTION("""COMPUTED_VALUE"""),4.0)</f>
        <v>4</v>
      </c>
      <c r="I126">
        <f>IFERROR(__xludf.DUMMYFUNCTION("""COMPUTED_VALUE"""),4.0)</f>
        <v>4</v>
      </c>
      <c r="J126">
        <f>IFERROR(__xludf.DUMMYFUNCTION("""COMPUTED_VALUE"""),0.0)</f>
        <v>0</v>
      </c>
      <c r="K126">
        <f>IFERROR(__xludf.DUMMYFUNCTION("""COMPUTED_VALUE"""),3.0)</f>
        <v>3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1">
        <v>-5.0</v>
      </c>
      <c r="B127">
        <f>IFERROR(__xludf.DUMMYFUNCTION("""COMPUTED_VALUE"""),2.0)</f>
        <v>2</v>
      </c>
      <c r="C127">
        <f>IFERROR(__xludf.DUMMYFUNCTION("""COMPUTED_VALUE"""),0.0)</f>
        <v>0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IFERROR(__xludf.DUMMYFUNCTION("""COMPUTED_VALUE"""),0.0)</f>
        <v>0</v>
      </c>
      <c r="I127">
        <f>IFERROR(__xludf.DUMMYFUNCTION("""COMPUTED_VALUE"""),1.0)</f>
        <v>1</v>
      </c>
      <c r="J127">
        <f>IFERROR(__xludf.DUMMYFUNCTION("""COMPUTED_VALUE"""),0.0)</f>
        <v>0</v>
      </c>
      <c r="K127">
        <f>IFERROR(__xludf.DUMMYFUNCTION("""COMPUTED_VALUE"""),1.0)</f>
        <v>1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1" t="s">
        <v>3</v>
      </c>
      <c r="B128">
        <f>IFERROR(__xludf.DUMMYFUNCTION("""COMPUTED_VALUE"""),35.0)</f>
        <v>35</v>
      </c>
      <c r="C128">
        <f>IFERROR(__xludf.DUMMYFUNCTION("""COMPUTED_VALUE"""),10.0)</f>
        <v>10</v>
      </c>
      <c r="D128">
        <f>IFERROR(__xludf.DUMMYFUNCTION("""COMPUTED_VALUE"""),10.0)</f>
        <v>10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IFERROR(__xludf.DUMMYFUNCTION("""COMPUTED_VALUE"""),40.0)</f>
        <v>40</v>
      </c>
      <c r="I128">
        <f>IFERROR(__xludf.DUMMYFUNCTION("""COMPUTED_VALUE"""),35.0)</f>
        <v>35</v>
      </c>
      <c r="J128">
        <f>IFERROR(__xludf.DUMMYFUNCTION("""COMPUTED_VALUE"""),15.0)</f>
        <v>15</v>
      </c>
      <c r="K128">
        <f>IFERROR(__xludf.DUMMYFUNCTION("""COMPUTED_VALUE"""),40.0)</f>
        <v>40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2" t="str">
        <f>IFERROR(__xludf.DUMMYFUNCTION("IMPORTRANGE(""1Knt8XDGFY_MP2OzeadT1pDENTLOdk9Ab_Rd9IdW0kzc"",""Round 9!W1"")"),"Question: 21")</f>
        <v>Question: 21</v>
      </c>
      <c r="B129" s="3" t="s">
        <v>33</v>
      </c>
    </row>
    <row r="130">
      <c r="A130" s="2"/>
    </row>
    <row r="131">
      <c r="A131" s="1" t="s">
        <v>47</v>
      </c>
      <c r="B131" t="str">
        <f>IFERROR(__xludf.DUMMYFUNCTION("{IMPORTRANGE(""16i4gsLDaJasgGgtJt27HweoboYNaal3qpX3MtxIR2f0"",""Round 9!C1:H3""),IMPORTRANGE(""16i4gsLDaJasgGgtJt27HweoboYNaal3qpX3MtxIR2f0"",""Round 9!M1:R3"")}"),"Westview B (V)")</f>
        <v>Westview B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IFERROR(__xludf.DUMMYFUNCTION("""COMPUTED_VALUE"""),"Canyon Crest A (V)")</f>
        <v>Canyon Crest A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2" t="str">
        <f>IFERROR(__xludf.DUMMYFUNCTION("CONCAT(""A BP: "",IMPORTRANGE(""16i4gsLDaJasgGgtJt27HweoboYNaal3qpX3MtxIR2f0"",""Round 9!I32""))"),"A BP: 200")</f>
        <v>A BP: 200</v>
      </c>
      <c r="B132" t="str">
        <f>IFERROR(__xludf.DUMMYFUNCTION("""COMPUTED_VALUE"""),"Score: 285")</f>
        <v>Score: 285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220")</f>
        <v>Score: 220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2" t="str">
        <f>IFERROR(__xludf.DUMMYFUNCTION("CONCAT(""B BP: "",IMPORTRANGE(""16i4gsLDaJasgGgtJt27HweoboYNaal3qpX3MtxIR2f0"",""Round 9!S32""))"),"B BP: 110")</f>
        <v>B BP: 110</v>
      </c>
      <c r="B133" t="str">
        <f>IFERROR(__xludf.DUMMYFUNCTION("""COMPUTED_VALUE"""),"Nicholas Dai (11)")</f>
        <v>Nicholas Dai (11)</v>
      </c>
      <c r="C133" t="str">
        <f>IFERROR(__xludf.DUMMYFUNCTION("""COMPUTED_VALUE"""),"Rohan Venkateswaran (12)")</f>
        <v>Rohan Venkateswaran (12)</v>
      </c>
      <c r="D133" t="str">
        <f>IFERROR(__xludf.DUMMYFUNCTION("""COMPUTED_VALUE"""),"Andrew Jia (11)")</f>
        <v>Andrew Jia (11)</v>
      </c>
      <c r="E133" t="str">
        <f>IFERROR(__xludf.DUMMYFUNCTION("""COMPUTED_VALUE"""),"Richard Lin (9)")</f>
        <v>Richard Lin (9)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IFERROR(__xludf.DUMMYFUNCTION("""COMPUTED_VALUE"""),"Wesley Zhang (12)")</f>
        <v>Wesley Zhang (12)</v>
      </c>
      <c r="I133" t="str">
        <f>IFERROR(__xludf.DUMMYFUNCTION("""COMPUTED_VALUE"""),"Leo Gu (10)")</f>
        <v>Leo Gu (10)</v>
      </c>
      <c r="J133" t="str">
        <f>IFERROR(__xludf.DUMMYFUNCTION("""COMPUTED_VALUE"""),"Player 3")</f>
        <v>Player 3</v>
      </c>
      <c r="K133" t="str">
        <f>IFERROR(__xludf.DUMMYFUNCTION("""COMPUTED_VALUE"""),"Player 4")</f>
        <v>Player 4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1" t="s">
        <v>2</v>
      </c>
      <c r="B134">
        <f>IFERROR(__xludf.DUMMYFUNCTION("{IMPORTRANGE(""16i4gsLDaJasgGgtJt27HweoboYNaal3qpX3MtxIR2f0"",""Round 9!C32:H36""),IMPORTRANGE(""16i4gsLDaJasgGgtJt27HweoboYNaal3qpX3MtxIR2f0"",""Round 9!M32:R36"")}"),20.0)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1">
        <v>15.0</v>
      </c>
      <c r="B135">
        <f>IFERROR(__xludf.DUMMYFUNCTION("""COMPUTED_VALUE"""),2.0)</f>
        <v>2</v>
      </c>
      <c r="C135">
        <f>IFERROR(__xludf.DUMMYFUNCTION("""COMPUTED_VALUE"""),1.0)</f>
        <v>1</v>
      </c>
      <c r="D135">
        <f>IFERROR(__xludf.DUMMYFUNCTION("""COMPUTED_VALUE"""),2.0)</f>
        <v>2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IFERROR(__xludf.DUMMYFUNCTION("""COMPUTED_VALUE"""),5.0)</f>
        <v>5</v>
      </c>
      <c r="I135">
        <f>IFERROR(__xludf.DUMMYFUNCTION("""COMPUTED_VALUE"""),0.0)</f>
        <v>0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1">
        <v>10.0</v>
      </c>
      <c r="B136">
        <f>IFERROR(__xludf.DUMMYFUNCTION("""COMPUTED_VALUE"""),0.0)</f>
        <v>0</v>
      </c>
      <c r="C136">
        <f>IFERROR(__xludf.DUMMYFUNCTION("""COMPUTED_VALUE"""),3.0)</f>
        <v>3</v>
      </c>
      <c r="D136">
        <f>IFERROR(__xludf.DUMMYFUNCTION("""COMPUTED_VALUE"""),0.0)</f>
        <v>0</v>
      </c>
      <c r="E136">
        <f>IFERROR(__xludf.DUMMYFUNCTION("""COMPUTED_VALUE"""),1.0)</f>
        <v>1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IFERROR(__xludf.DUMMYFUNCTION("""COMPUTED_VALUE"""),3.0)</f>
        <v>3</v>
      </c>
      <c r="I136">
        <f>IFERROR(__xludf.DUMMYFUNCTION("""COMPUTED_VALUE"""),1.0)</f>
        <v>1</v>
      </c>
      <c r="J136">
        <f>IFERROR(__xludf.DUMMYFUNCTION("""COMPUTED_VALUE"""),0.0)</f>
        <v>0</v>
      </c>
      <c r="K136">
        <f>IFERROR(__xludf.DUMMYFUNCTION("""COMPUTED_VALUE"""),0.0)</f>
        <v>0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1">
        <v>-5.0</v>
      </c>
      <c r="B137">
        <f>IFERROR(__xludf.DUMMYFUNCTION("""COMPUTED_VALUE"""),0.0)</f>
        <v>0</v>
      </c>
      <c r="C137">
        <f>IFERROR(__xludf.DUMMYFUNCTION("""COMPUTED_VALUE"""),2.0)</f>
        <v>2</v>
      </c>
      <c r="D137">
        <f>IFERROR(__xludf.DUMMYFUNCTION("""COMPUTED_VALUE"""),2.0)</f>
        <v>2</v>
      </c>
      <c r="E137">
        <f>IFERROR(__xludf.DUMMYFUNCTION("""COMPUTED_VALUE"""),2.0)</f>
        <v>2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IFERROR(__xludf.DUMMYFUNCTION("""COMPUTED_VALUE"""),0.0)</f>
        <v>0</v>
      </c>
      <c r="I137">
        <f>IFERROR(__xludf.DUMMYFUNCTION("""COMPUTED_VALUE"""),1.0)</f>
        <v>1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1" t="s">
        <v>3</v>
      </c>
      <c r="B138">
        <f>IFERROR(__xludf.DUMMYFUNCTION("""COMPUTED_VALUE"""),30.0)</f>
        <v>30</v>
      </c>
      <c r="C138">
        <f>IFERROR(__xludf.DUMMYFUNCTION("""COMPUTED_VALUE"""),35.0)</f>
        <v>35</v>
      </c>
      <c r="D138">
        <f>IFERROR(__xludf.DUMMYFUNCTION("""COMPUTED_VALUE"""),20.0)</f>
        <v>20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IFERROR(__xludf.DUMMYFUNCTION("""COMPUTED_VALUE"""),105.0)</f>
        <v>105</v>
      </c>
      <c r="I138">
        <f>IFERROR(__xludf.DUMMYFUNCTION("""COMPUTED_VALUE"""),5.0)</f>
        <v>5</v>
      </c>
      <c r="J138">
        <f>IFERROR(__xludf.DUMMYFUNCTION("""COMPUTED_VALUE"""),0.0)</f>
        <v>0</v>
      </c>
      <c r="K138">
        <f>IFERROR(__xludf.DUMMYFUNCTION("""COMPUTED_VALUE"""),0.0)</f>
        <v>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2" t="str">
        <f>IFERROR(__xludf.DUMMYFUNCTION("IMPORTRANGE(""16i4gsLDaJasgGgtJt27HweoboYNaal3qpX3MtxIR2f0"",""Round 9!W1"")"),"Question: 21")</f>
        <v>Question: 21</v>
      </c>
      <c r="B139" s="3" t="s">
        <v>35</v>
      </c>
    </row>
    <row r="140">
      <c r="A140" s="2"/>
    </row>
    <row r="141">
      <c r="A141" s="1" t="s">
        <v>48</v>
      </c>
      <c r="B141" t="str">
        <f>IFERROR(__xludf.DUMMYFUNCTION("{IMPORTRANGE(""1KRyI2c190uhOTF270Hsdzh1rgG565QIaE9TymteaGNY"",""Round 9!C1:H3""),IMPORTRANGE(""1KRyI2c190uhOTF270Hsdzh1rgG565QIaE9TymteaGNY"",""Round 9!M1:R3"")}"),"La Jolla (V)")</f>
        <v>La Jolla (V)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IFERROR(__xludf.DUMMYFUNCTION("""COMPUTED_VALUE"""),"Cathedral Catholic (V)")</f>
        <v>Cathedral Catholic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2" t="str">
        <f>IFERROR(__xludf.DUMMYFUNCTION("CONCAT(""A BP: "",IMPORTRANGE(""1KRyI2c190uhOTF270Hsdzh1rgG565QIaE9TymteaGNY"",""Round 9!I32""))"),"A BP: 120")</f>
        <v>A BP: 120</v>
      </c>
      <c r="B142" t="str">
        <f>IFERROR(__xludf.DUMMYFUNCTION("""COMPUTED_VALUE"""),"Score: 220")</f>
        <v>Score: 220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200")</f>
        <v>Score: 200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2" t="str">
        <f>IFERROR(__xludf.DUMMYFUNCTION("CONCAT(""B BP: "",IMPORTRANGE(""1KRyI2c190uhOTF270Hsdzh1rgG565QIaE9TymteaGNY"",""Round 9!S32""))"),"B BP: 110")</f>
        <v>B BP: 110</v>
      </c>
      <c r="B143" t="str">
        <f>IFERROR(__xludf.DUMMYFUNCTION("""COMPUTED_VALUE"""),"David Smith (11)")</f>
        <v>David Smith (11)</v>
      </c>
      <c r="C143" t="str">
        <f>IFERROR(__xludf.DUMMYFUNCTION("""COMPUTED_VALUE"""),"Richard Chao (11)")</f>
        <v>Richard Chao (11)</v>
      </c>
      <c r="D143" t="str">
        <f>IFERROR(__xludf.DUMMYFUNCTION("""COMPUTED_VALUE"""),"Kevin Park (11)")</f>
        <v>Kevin Park (11)</v>
      </c>
      <c r="E143" t="str">
        <f>IFERROR(__xludf.DUMMYFUNCTION("""COMPUTED_VALUE"""),"Caleb Cruz (11)")</f>
        <v>Caleb Cruz (11)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IFERROR(__xludf.DUMMYFUNCTION("""COMPUTED_VALUE"""),"Ryan Shakiba (10)")</f>
        <v>Ryan Shakiba (10)</v>
      </c>
      <c r="I143" t="str">
        <f>IFERROR(__xludf.DUMMYFUNCTION("""COMPUTED_VALUE"""),"Sinead Archdeacon (10)")</f>
        <v>Sinead Archdeacon (10)</v>
      </c>
      <c r="J143" t="str">
        <f>IFERROR(__xludf.DUMMYFUNCTION("""COMPUTED_VALUE"""),"Jacob Titcomb (11)")</f>
        <v>Jacob Titcomb (11)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1" t="s">
        <v>2</v>
      </c>
      <c r="B144">
        <f>IFERROR(__xludf.DUMMYFUNCTION("{IMPORTRANGE(""1KRyI2c190uhOTF270Hsdzh1rgG565QIaE9TymteaGNY"",""Round 9!C32:H36""),IMPORTRANGE(""1KRyI2c190uhOTF270Hsdzh1rgG565QIaE9TymteaGNY"",""Round 9!M32:R36"")}"),20.0)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1">
        <v>15.0</v>
      </c>
      <c r="B145">
        <f>IFERROR(__xludf.DUMMYFUNCTION("""COMPUTED_VALUE"""),1.0)</f>
        <v>1</v>
      </c>
      <c r="C145">
        <f>IFERROR(__xludf.DUMMYFUNCTION("""COMPUTED_VALUE"""),0.0)</f>
        <v>0</v>
      </c>
      <c r="D145">
        <f>IFERROR(__xludf.DUMMYFUNCTION("""COMPUTED_VALUE"""),1.0)</f>
        <v>1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IFERROR(__xludf.DUMMYFUNCTION("""COMPUTED_VALUE"""),2.0)</f>
        <v>2</v>
      </c>
      <c r="I145">
        <f>IFERROR(__xludf.DUMMYFUNCTION("""COMPUTED_VALUE"""),1.0)</f>
        <v>1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1">
        <v>10.0</v>
      </c>
      <c r="B146">
        <f>IFERROR(__xludf.DUMMYFUNCTION("""COMPUTED_VALUE"""),1.0)</f>
        <v>1</v>
      </c>
      <c r="C146">
        <f>IFERROR(__xludf.DUMMYFUNCTION("""COMPUTED_VALUE"""),3.0)</f>
        <v>3</v>
      </c>
      <c r="D146">
        <f>IFERROR(__xludf.DUMMYFUNCTION("""COMPUTED_VALUE"""),4.0)</f>
        <v>4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IFERROR(__xludf.DUMMYFUNCTION("""COMPUTED_VALUE"""),5.0)</f>
        <v>5</v>
      </c>
      <c r="I146">
        <f>IFERROR(__xludf.DUMMYFUNCTION("""COMPUTED_VALUE"""),1.0)</f>
        <v>1</v>
      </c>
      <c r="J146">
        <f>IFERROR(__xludf.DUMMYFUNCTION("""COMPUTED_VALUE"""),0.0)</f>
        <v>0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1">
        <v>-5.0</v>
      </c>
      <c r="B147">
        <f>IFERROR(__xludf.DUMMYFUNCTION("""COMPUTED_VALUE"""),0.0)</f>
        <v>0</v>
      </c>
      <c r="C147">
        <f>IFERROR(__xludf.DUMMYFUNCTION("""COMPUTED_VALUE"""),0.0)</f>
        <v>0</v>
      </c>
      <c r="D147">
        <f>IFERROR(__xludf.DUMMYFUNCTION("""COMPUTED_VALUE"""),2.0)</f>
        <v>2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IFERROR(__xludf.DUMMYFUNCTION("""COMPUTED_VALUE"""),3.0)</f>
        <v>3</v>
      </c>
      <c r="I147">
        <f>IFERROR(__xludf.DUMMYFUNCTION("""COMPUTED_VALUE"""),0.0)</f>
        <v>0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1" t="s">
        <v>3</v>
      </c>
      <c r="B148">
        <f>IFERROR(__xludf.DUMMYFUNCTION("""COMPUTED_VALUE"""),25.0)</f>
        <v>25</v>
      </c>
      <c r="C148">
        <f>IFERROR(__xludf.DUMMYFUNCTION("""COMPUTED_VALUE"""),30.0)</f>
        <v>30</v>
      </c>
      <c r="D148">
        <f>IFERROR(__xludf.DUMMYFUNCTION("""COMPUTED_VALUE"""),45.0)</f>
        <v>45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IFERROR(__xludf.DUMMYFUNCTION("""COMPUTED_VALUE"""),65.0)</f>
        <v>65</v>
      </c>
      <c r="I148">
        <f>IFERROR(__xludf.DUMMYFUNCTION("""COMPUTED_VALUE"""),25.0)</f>
        <v>25</v>
      </c>
      <c r="J148">
        <f>IFERROR(__xludf.DUMMYFUNCTION("""COMPUTED_VALUE"""),0.0)</f>
        <v>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2" t="str">
        <f>IFERROR(__xludf.DUMMYFUNCTION("IMPORTRANGE(""1KRyI2c190uhOTF270Hsdzh1rgG565QIaE9TymteaGNY"",""Round 9!W1"")"),"Question: 21")</f>
        <v>Question: 21</v>
      </c>
      <c r="B149" s="3" t="s">
        <v>37</v>
      </c>
    </row>
    <row r="150">
      <c r="A150" s="2"/>
    </row>
    <row r="151">
      <c r="A151" s="1" t="s">
        <v>49</v>
      </c>
      <c r="B151" t="str">
        <f>IFERROR(__xludf.DUMMYFUNCTION("{IMPORTRANGE(""1zr0uYCpJ5izByVOUCsr6JXezthGEdLXnwOrjIKGx5XI"",""Round 9!C1:H3""),IMPORTRANGE(""1zr0uYCpJ5izByVOUCsr6JXezthGEdLXnwOrjIKGx5XI"",""Round 9!M1:R3"")}"),"Westview A (V)")</f>
        <v>Westview A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IFERROR(__xludf.DUMMYFUNCTION("""COMPUTED_VALUE"""),"Canyon Crest B (V)")</f>
        <v>Canyon Crest B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2" t="str">
        <f>IFERROR(__xludf.DUMMYFUNCTION("CONCAT(""A BP: "",IMPORTRANGE(""1zr0uYCpJ5izByVOUCsr6JXezthGEdLXnwOrjIKGx5XI"",""Round 9!I32""))"),"A BP: 320")</f>
        <v>A BP: 320</v>
      </c>
      <c r="B152" t="str">
        <f>IFERROR(__xludf.DUMMYFUNCTION("""COMPUTED_VALUE"""),"Score: 520")</f>
        <v>Score: 520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130")</f>
        <v>Score: 130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2" t="str">
        <f>IFERROR(__xludf.DUMMYFUNCTION("CONCAT(""B BP: "",IMPORTRANGE(""1zr0uYCpJ5izByVOUCsr6JXezthGEdLXnwOrjIKGx5XI"",""Round 9!S32""))"),"B BP: 70")</f>
        <v>B BP: 70</v>
      </c>
      <c r="B153" t="str">
        <f>IFERROR(__xludf.DUMMYFUNCTION("""COMPUTED_VALUE"""),"Shahar Schwartz (12)")</f>
        <v>Shahar Schwartz (12)</v>
      </c>
      <c r="C153" t="str">
        <f>IFERROR(__xludf.DUMMYFUNCTION("""COMPUTED_VALUE"""),"Junu Song (12)")</f>
        <v>Junu Song (12)</v>
      </c>
      <c r="D153" t="str">
        <f>IFERROR(__xludf.DUMMYFUNCTION("""COMPUTED_VALUE"""),"Daniel Jung (12)")</f>
        <v>Daniel Jung (12)</v>
      </c>
      <c r="E153" t="str">
        <f>IFERROR(__xludf.DUMMYFUNCTION("""COMPUTED_VALUE"""),"Gary Lin (11)")</f>
        <v>Gary Lin (11)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IFERROR(__xludf.DUMMYFUNCTION("""COMPUTED_VALUE"""),"Shreyank Kadadi (12)")</f>
        <v>Shreyank Kadadi (12)</v>
      </c>
      <c r="I153" t="str">
        <f>IFERROR(__xludf.DUMMYFUNCTION("""COMPUTED_VALUE"""),"Jonathan Hsieh (12)")</f>
        <v>Jonathan Hsieh (12)</v>
      </c>
      <c r="J153" t="str">
        <f>IFERROR(__xludf.DUMMYFUNCTION("""COMPUTED_VALUE"""),"Kevin Luo (10)")</f>
        <v>Kevin Luo (10)</v>
      </c>
      <c r="K153" t="str">
        <f>IFERROR(__xludf.DUMMYFUNCTION("""COMPUTED_VALUE"""),"Player 4")</f>
        <v>Player 4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1" t="s">
        <v>2</v>
      </c>
      <c r="B154">
        <f>IFERROR(__xludf.DUMMYFUNCTION("{IMPORTRANGE(""1zr0uYCpJ5izByVOUCsr6JXezthGEdLXnwOrjIKGx5XI"",""Round 9!C32:H36""),IMPORTRANGE(""1zr0uYCpJ5izByVOUCsr6JXezthGEdLXnwOrjIKGx5XI"",""Round 9!M32:R36"")}"),20.0)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1">
        <v>15.0</v>
      </c>
      <c r="B155">
        <f>IFERROR(__xludf.DUMMYFUNCTION("""COMPUTED_VALUE"""),6.0)</f>
        <v>6</v>
      </c>
      <c r="C155">
        <f>IFERROR(__xludf.DUMMYFUNCTION("""COMPUTED_VALUE"""),2.0)</f>
        <v>2</v>
      </c>
      <c r="D155">
        <f>IFERROR(__xludf.DUMMYFUNCTION("""COMPUTED_VALUE"""),0.0)</f>
        <v>0</v>
      </c>
      <c r="E155">
        <f>IFERROR(__xludf.DUMMYFUNCTION("""COMPUTED_VALUE"""),3.0)</f>
        <v>3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IFERROR(__xludf.DUMMYFUNCTION("""COMPUTED_VALUE"""),0.0)</f>
        <v>0</v>
      </c>
      <c r="I155">
        <f>IFERROR(__xludf.DUMMYFUNCTION("""COMPUTED_VALUE"""),3.0)</f>
        <v>3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1">
        <v>10.0</v>
      </c>
      <c r="B156">
        <f>IFERROR(__xludf.DUMMYFUNCTION("""COMPUTED_VALUE"""),3.0)</f>
        <v>3</v>
      </c>
      <c r="C156">
        <f>IFERROR(__xludf.DUMMYFUNCTION("""COMPUTED_VALUE"""),1.0)</f>
        <v>1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IFERROR(__xludf.DUMMYFUNCTION("""COMPUTED_VALUE"""),1.0)</f>
        <v>1</v>
      </c>
      <c r="I156">
        <f>IFERROR(__xludf.DUMMYFUNCTION("""COMPUTED_VALUE"""),1.0)</f>
        <v>1</v>
      </c>
      <c r="J156">
        <f>IFERROR(__xludf.DUMMYFUNCTION("""COMPUTED_VALUE"""),0.0)</f>
        <v>0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1">
        <v>-5.0</v>
      </c>
      <c r="B157">
        <f>IFERROR(__xludf.DUMMYFUNCTION("""COMPUTED_VALUE"""),1.0)</f>
        <v>1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IFERROR(__xludf.DUMMYFUNCTION("""COMPUTED_VALUE"""),0.0)</f>
        <v>0</v>
      </c>
      <c r="J157">
        <f>IFERROR(__xludf.DUMMYFUNCTION("""COMPUTED_VALUE"""),1.0)</f>
        <v>1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1" t="s">
        <v>3</v>
      </c>
      <c r="B158">
        <f>IFERROR(__xludf.DUMMYFUNCTION("""COMPUTED_VALUE"""),115.0)</f>
        <v>115</v>
      </c>
      <c r="C158">
        <f>IFERROR(__xludf.DUMMYFUNCTION("""COMPUTED_VALUE"""),40.0)</f>
        <v>40</v>
      </c>
      <c r="D158">
        <f>IFERROR(__xludf.DUMMYFUNCTION("""COMPUTED_VALUE"""),0.0)</f>
        <v>0</v>
      </c>
      <c r="E158">
        <f>IFERROR(__xludf.DUMMYFUNCTION("""COMPUTED_VALUE"""),45.0)</f>
        <v>45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IFERROR(__xludf.DUMMYFUNCTION("""COMPUTED_VALUE"""),10.0)</f>
        <v>10</v>
      </c>
      <c r="I158">
        <f>IFERROR(__xludf.DUMMYFUNCTION("""COMPUTED_VALUE"""),55.0)</f>
        <v>55</v>
      </c>
      <c r="J158">
        <f>IFERROR(__xludf.DUMMYFUNCTION("""COMPUTED_VALUE"""),-5.0)</f>
        <v>-5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2" t="str">
        <f>IFERROR(__xludf.DUMMYFUNCTION("IMPORTRANGE(""1zr0uYCpJ5izByVOUCsr6JXezthGEdLXnwOrjIKGx5XI"",""Round 9!W1"")"),"Question: 21")</f>
        <v>Question: 21</v>
      </c>
      <c r="B159" s="3" t="s">
        <v>39</v>
      </c>
    </row>
    <row r="160">
      <c r="A160" s="2"/>
    </row>
    <row r="161">
      <c r="A161" s="1" t="s">
        <v>50</v>
      </c>
      <c r="B161" t="str">
        <f>IFERROR(__xludf.DUMMYFUNCTION("{IMPORTRANGE(""1TVrjNI5RE1VozIr906BhaTKMFP0VPx8aUGpyt_loukE"",""Round 9!C1:H3""),IMPORTRANGE(""1TVrjNI5RE1VozIr906BhaTKMFP0VPx8aUGpyt_loukE"",""Round 9!M1:R3"")}"),"Canyon Crest C (V)")</f>
        <v>Canyon Crest C (V)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IFERROR(__xludf.DUMMYFUNCTION("""COMPUTED_VALUE"""),"Team B")</f>
        <v>Team B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2" t="str">
        <f>IFERROR(__xludf.DUMMYFUNCTION("CONCAT(""A BP: "",IMPORTRANGE(""1TVrjNI5RE1VozIr906BhaTKMFP0VPx8aUGpyt_loukE"",""Round 9!I32""))"),"A BP: 0")</f>
        <v>A BP: 0</v>
      </c>
      <c r="B162" t="str">
        <f>IFERROR(__xludf.DUMMYFUNCTION("""COMPUTED_VALUE"""),"Score: 0")</f>
        <v>Score: 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0")</f>
        <v>Score: 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2" t="str">
        <f>IFERROR(__xludf.DUMMYFUNCTION("CONCAT(""B BP: "",IMPORTRANGE(""1TVrjNI5RE1VozIr906BhaTKMFP0VPx8aUGpyt_loukE"",""Round 9!S32""))"),"B BP: 0")</f>
        <v>B BP: 0</v>
      </c>
      <c r="B163" t="str">
        <f>IFERROR(__xludf.DUMMYFUNCTION("""COMPUTED_VALUE"""),"Paul Mola (11)")</f>
        <v>Paul Mola (11)</v>
      </c>
      <c r="C163" t="str">
        <f>IFERROR(__xludf.DUMMYFUNCTION("""COMPUTED_VALUE"""),"James Wright (11)")</f>
        <v>James Wright (11)</v>
      </c>
      <c r="D163" t="str">
        <f>IFERROR(__xludf.DUMMYFUNCTION("""COMPUTED_VALUE"""),"Cade McAllister (10)")</f>
        <v>Cade McAllister (10)</v>
      </c>
      <c r="E163" t="str">
        <f>IFERROR(__xludf.DUMMYFUNCTION("""COMPUTED_VALUE"""),"Nithin Chilakapati (10)")</f>
        <v>Nithin Chilakapati (10)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IFERROR(__xludf.DUMMYFUNCTION("""COMPUTED_VALUE"""),"Player 1")</f>
        <v>Player 1</v>
      </c>
      <c r="I163" t="str">
        <f>IFERROR(__xludf.DUMMYFUNCTION("""COMPUTED_VALUE"""),"Player 2")</f>
        <v>Player 2</v>
      </c>
      <c r="J163" t="str">
        <f>IFERROR(__xludf.DUMMYFUNCTION("""COMPUTED_VALUE"""),"Player 3")</f>
        <v>Player 3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1" t="s">
        <v>2</v>
      </c>
      <c r="B164">
        <f>IFERROR(__xludf.DUMMYFUNCTION("{IMPORTRANGE(""1TVrjNI5RE1VozIr906BhaTKMFP0VPx8aUGpyt_loukE"",""Round 9!C32:H36""),IMPORTRANGE(""1TVrjNI5RE1VozIr906BhaTKMFP0VPx8aUGpyt_loukE"",""Round 9!M32:R36"")}"),20.0)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1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1">
        <v>10.0</v>
      </c>
      <c r="B166">
        <f>IFERROR(__xludf.DUMMYFUNCTION("""COMPUTED_VALUE"""),0.0)</f>
        <v>0</v>
      </c>
      <c r="C166">
        <f>IFERROR(__xludf.DUMMYFUNCTION("""COMPUTED_VALUE"""),0.0)</f>
        <v>0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IFERROR(__xludf.DUMMYFUNCTION("""COMPUTED_VALUE"""),0.0)</f>
        <v>0</v>
      </c>
      <c r="I166">
        <f>IFERROR(__xludf.DUMMYFUNCTION("""COMPUTED_VALUE"""),0.0)</f>
        <v>0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1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IFERROR(__xludf.DUMMYFUNCTION("""COMPUTED_VALUE"""),0.0)</f>
        <v>0</v>
      </c>
      <c r="I167">
        <f>IFERROR(__xludf.DUMMYFUNCTION("""COMPUTED_VALUE"""),0.0)</f>
        <v>0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1" t="s">
        <v>3</v>
      </c>
      <c r="B168">
        <f>IFERROR(__xludf.DUMMYFUNCTION("""COMPUTED_VALUE"""),0.0)</f>
        <v>0</v>
      </c>
      <c r="C168">
        <f>IFERROR(__xludf.DUMMYFUNCTION("""COMPUTED_VALUE"""),0.0)</f>
        <v>0</v>
      </c>
      <c r="D168">
        <f>IFERROR(__xludf.DUMMYFUNCTION("""COMPUTED_VALUE"""),0.0)</f>
        <v>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IFERROR(__xludf.DUMMYFUNCTION("""COMPUTED_VALUE"""),0.0)</f>
        <v>0</v>
      </c>
      <c r="I168">
        <f>IFERROR(__xludf.DUMMYFUNCTION("""COMPUTED_VALUE"""),0.0)</f>
        <v>0</v>
      </c>
      <c r="J168">
        <f>IFERROR(__xludf.DUMMYFUNCTION("""COMPUTED_VALUE"""),0.0)</f>
        <v>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2" t="str">
        <f>IFERROR(__xludf.DUMMYFUNCTION("IMPORTRANGE(""1TVrjNI5RE1VozIr906BhaTKMFP0VPx8aUGpyt_loukE"",""Round 9!W1"")"),"Question: 1")</f>
        <v>Question: 1</v>
      </c>
      <c r="B169" s="3" t="s">
        <v>41</v>
      </c>
    </row>
    <row r="170">
      <c r="A170" s="2"/>
    </row>
    <row r="171">
      <c r="A171" s="1" t="s">
        <v>42</v>
      </c>
      <c r="B171" t="str">
        <f>IFERROR(__xludf.DUMMYFUNCTION("{IMPORTRANGE(""1xRz0po-ejgp-QRvMkY44z3u2CePgTccasdyrrVALbmE"",""Round 9!C1:H3""),IMPORTRANGE(""1xRz0po-ejgp-QRvMkY44z3u2CePgTccasdyrrVALbmE"",""Round 9!M1:R3"")}"),"Team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2" t="str">
        <f>IFERROR(__xludf.DUMMYFUNCTION("CONCAT(""A BP: "",IMPORTRANGE(""1xRz0po-ejgp-QRvMkY44z3u2CePgTccasdyrrVALbmE"",""Round 9!I32""))"),"A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2" t="str">
        <f>IFERROR(__xludf.DUMMYFUNCTION("CONCAT(""B BP: "",IMPORTRANGE(""1xRz0po-ejgp-QRvMkY44z3u2CePgTccasdyrrVALbmE"",""Round 9!S32""))"),"B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1" t="s">
        <v>2</v>
      </c>
      <c r="B174">
        <f>IFERROR(__xludf.DUMMYFUNCTION("{IMPORTRANGE(""1xRz0po-ejgp-QRvMkY44z3u2CePgTccasdyrrVALbmE"",""Round 9!C32:H36""),IMPORTRANGE(""1xRz0po-ejgp-QRvMkY44z3u2CePgTccasdyrrVALbmE"",""Round 9!M32:R36"")}"),20.0)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1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1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1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1" t="s">
        <v>3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2" t="str">
        <f>IFERROR(__xludf.DUMMYFUNCTION("IMPORTRANGE(""1xRz0po-ejgp-QRvMkY44z3u2CePgTccasdyrrVALbmE"",""Round 9!W1"")"),"Question: 1")</f>
        <v>Question: 1</v>
      </c>
      <c r="B179" s="3" t="s">
        <v>43</v>
      </c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