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3"/>
    <sheet state="visible" name="Rosters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  <sheet state="visible" name="Round 13" sheetId="14" r:id="rId16"/>
    <sheet state="visible" name="Round 14" sheetId="15" r:id="rId17"/>
    <sheet state="visible" name="Round 15" sheetId="16" r:id="rId18"/>
    <sheet state="visible" name="Round 16" sheetId="17" r:id="rId19"/>
    <sheet state="visible" name="FinalsEmergency" sheetId="18" r:id="rId20"/>
    <sheet state="visible" name="Finals 2Emergency" sheetId="19" r:id="rId21"/>
  </sheets>
  <definedNames/>
  <calcPr/>
</workbook>
</file>

<file path=xl/sharedStrings.xml><?xml version="1.0" encoding="utf-8"?>
<sst xmlns="http://schemas.openxmlformats.org/spreadsheetml/2006/main" count="1057" uniqueCount="172">
  <si>
    <t>Rancho Bernardo (JV)</t>
  </si>
  <si>
    <t>Not Using</t>
  </si>
  <si>
    <t>Room 1</t>
  </si>
  <si>
    <t>Sandy Tran (12)</t>
  </si>
  <si>
    <t>YungYi Sun (12)</t>
  </si>
  <si>
    <t>Patrick Joyce (11)</t>
  </si>
  <si>
    <t>Katheryn Garrett (11)</t>
  </si>
  <si>
    <t>Westview A (V)</t>
  </si>
  <si>
    <t>Daniel Jung (12)</t>
  </si>
  <si>
    <t>Gary Lin (11)</t>
  </si>
  <si>
    <t>Shahar Schwartz (12)</t>
  </si>
  <si>
    <t>Junu Song (12)</t>
  </si>
  <si>
    <t>Westview B (V)</t>
  </si>
  <si>
    <t>Nicholas Dai (11)</t>
  </si>
  <si>
    <t>Andrew Jia (11)</t>
  </si>
  <si>
    <t>Richard Lin (9)</t>
  </si>
  <si>
    <t>Pramod Shastry (9)</t>
  </si>
  <si>
    <t>Rohan Venkateswaran (12)</t>
  </si>
  <si>
    <t>Westview C (JV)</t>
  </si>
  <si>
    <t>Rohan Kumar (11)</t>
  </si>
  <si>
    <t>Radhika Sreelal (10)</t>
  </si>
  <si>
    <t>Aiken Wang (9)</t>
  </si>
  <si>
    <t>La Serna A (JV)</t>
  </si>
  <si>
    <t>Cole Aedo (12)</t>
  </si>
  <si>
    <t>Ian Brennan (12)</t>
  </si>
  <si>
    <t>Jay Gamez (12)</t>
  </si>
  <si>
    <t>La Serna B (JV)</t>
  </si>
  <si>
    <t>Jerred Casillas (12)</t>
  </si>
  <si>
    <t>Liz Carrasco (12)</t>
  </si>
  <si>
    <t>Colin Twisselmann (10)</t>
  </si>
  <si>
    <t>La Jolla (V)</t>
  </si>
  <si>
    <t>Kevin Park (11)</t>
  </si>
  <si>
    <t>Caleb Cruz (11)</t>
  </si>
  <si>
    <t>Richard Chao (11)</t>
  </si>
  <si>
    <t>David Smith (11)</t>
  </si>
  <si>
    <t>Cathedral Catholic (V)</t>
  </si>
  <si>
    <t>Mikayla Nang (11)</t>
  </si>
  <si>
    <t>Jacob Titcomb (11)</t>
  </si>
  <si>
    <t>Ryan Shakiba (10)</t>
  </si>
  <si>
    <t>Sinead Archdeacon (10)</t>
  </si>
  <si>
    <t>Canyon Crest A (V)</t>
  </si>
  <si>
    <t>Wesley Zhang (12)</t>
  </si>
  <si>
    <t>Raymond Song (12)</t>
  </si>
  <si>
    <t>Leo Gu (10)</t>
  </si>
  <si>
    <t>Canyon Crest B (V)</t>
  </si>
  <si>
    <t>Shreyank Kadadi (12)</t>
  </si>
  <si>
    <t>Jonathan Hsieh (12)</t>
  </si>
  <si>
    <t>Kevin Luo (10)</t>
  </si>
  <si>
    <t>Canyon Crest C (V)</t>
  </si>
  <si>
    <t>Nithin Chilakapati (10)</t>
  </si>
  <si>
    <t>Cade McAllister (10)</t>
  </si>
  <si>
    <t>Paul Mola (11)</t>
  </si>
  <si>
    <t>James Wright (11)</t>
  </si>
  <si>
    <t>Andrew Sun (10)</t>
  </si>
  <si>
    <t>Canyon Crest D (JV)</t>
  </si>
  <si>
    <t>Tompson Hsu (12)</t>
  </si>
  <si>
    <t>Demitrius Hong (12)</t>
  </si>
  <si>
    <t>Kyle Lu (12)</t>
  </si>
  <si>
    <t>Michael Chen (12)</t>
  </si>
  <si>
    <t>Oak Valley A (JV)</t>
  </si>
  <si>
    <t>Conner Feng (8)</t>
  </si>
  <si>
    <t>Jadon Pandian (7)</t>
  </si>
  <si>
    <t>Jonas Brown (7)</t>
  </si>
  <si>
    <t>Raunak Mondal (7)</t>
  </si>
  <si>
    <t>Oak Valley B (JV)</t>
  </si>
  <si>
    <t>Aditi Bandaru (7)</t>
  </si>
  <si>
    <t>Amina Aslam-Mir (7)</t>
  </si>
  <si>
    <t>Ethan Huang (7)</t>
  </si>
  <si>
    <t>John Bruvold (8)</t>
  </si>
  <si>
    <t>Rohan Gaikwad (8)</t>
  </si>
  <si>
    <t>Oak Valley C (JV)</t>
  </si>
  <si>
    <t>Chinmay Ramamurthy (7)</t>
  </si>
  <si>
    <t>Saanvi Agarwal (6)</t>
  </si>
  <si>
    <t>Sarah Feng (6)</t>
  </si>
  <si>
    <t>Tay Kim (7)</t>
  </si>
  <si>
    <t>Valley Center (JV)</t>
  </si>
  <si>
    <t>Mehreen Sing (12)</t>
  </si>
  <si>
    <t>Ava Downey (12)</t>
  </si>
  <si>
    <t>Aaron Martinez (11)</t>
  </si>
  <si>
    <t>Leon Thigh (11)</t>
  </si>
  <si>
    <t>Santa Monica A (V)</t>
  </si>
  <si>
    <t>Josh Xu (11)</t>
  </si>
  <si>
    <t>Santa Monica B (V)</t>
  </si>
  <si>
    <t>Jacob Cohen (10)</t>
  </si>
  <si>
    <t>Ethan Hopkins (10)</t>
  </si>
  <si>
    <t>Kethan Raman (10)</t>
  </si>
  <si>
    <t>Black Mountain A (JV)</t>
  </si>
  <si>
    <t>Tanvi Bhide (7)</t>
  </si>
  <si>
    <t>Adarsh Venkateswaran (8)</t>
  </si>
  <si>
    <t>Anvit Watwani (7)</t>
  </si>
  <si>
    <t>Edwin Chang (8)</t>
  </si>
  <si>
    <t>Black Mountain B (JV)</t>
  </si>
  <si>
    <t>Pranay Kulkarni (7)</t>
  </si>
  <si>
    <t>Anay Sabhnani (7)</t>
  </si>
  <si>
    <t>Lauren Yung (8)</t>
  </si>
  <si>
    <t>Raina Chatterjee (7)</t>
  </si>
  <si>
    <t>Scripps Ranch A (V)</t>
  </si>
  <si>
    <t>Jeremy Ngo (12)</t>
  </si>
  <si>
    <t>Albert Gu (12)</t>
  </si>
  <si>
    <t>Jack Hoover (12)</t>
  </si>
  <si>
    <t>Scripps Ranch B (JV)</t>
  </si>
  <si>
    <t>Lawrence Lo (9)</t>
  </si>
  <si>
    <t>Tristan Thai (9)</t>
  </si>
  <si>
    <t>Sam Wu (9)</t>
  </si>
  <si>
    <t>Shabdika Gubba (9)</t>
  </si>
  <si>
    <t>Arcadia (V)</t>
  </si>
  <si>
    <t>Amogh Kulkarni (10)</t>
  </si>
  <si>
    <t>Ryan Sun (10)</t>
  </si>
  <si>
    <t>Sanjith Menon (10)</t>
  </si>
  <si>
    <t>Michael Kwok (10)</t>
  </si>
  <si>
    <t>Spencer Cheng (12)</t>
  </si>
  <si>
    <t>Troy A (V)</t>
  </si>
  <si>
    <t>Tyler Kim (11)</t>
  </si>
  <si>
    <t>Luke Park (11)</t>
  </si>
  <si>
    <t>Henry Tang (10)</t>
  </si>
  <si>
    <t>Daniel Shin (10)</t>
  </si>
  <si>
    <t>Troy B (JV)</t>
  </si>
  <si>
    <t>Juan Manalo (11)</t>
  </si>
  <si>
    <t>Ryan Salehi (11)</t>
  </si>
  <si>
    <t>Luke Waldo (11)</t>
  </si>
  <si>
    <t>Del Norte (JV)</t>
  </si>
  <si>
    <t>Kinish Sathish (9)</t>
  </si>
  <si>
    <t>Kyle Nagasawa (11)</t>
  </si>
  <si>
    <t>TUH</t>
  </si>
  <si>
    <t>Total</t>
  </si>
  <si>
    <t>https://docs.google.com/spreadsheets/d/1JXwZ4AjXctyKvWy9qFKCX518NRYJYhSX9Jii0HPBCUs/edit</t>
  </si>
  <si>
    <t>Room 2</t>
  </si>
  <si>
    <t>https://docs.google.com/spreadsheets/d/1GBDUn_ZojNLX5OJCVBEhvJbdm0c55Z7lPcE4L6WH89o/edit</t>
  </si>
  <si>
    <t>Room 3</t>
  </si>
  <si>
    <t>https://docs.google.com/spreadsheets/d/19Dum1qlL_dEwf1AEniLf02Eg9XaNXi1GMkI5M4_Ei6w/edit</t>
  </si>
  <si>
    <t>J110</t>
  </si>
  <si>
    <t>https://docs.google.com/spreadsheets/d/18KjuM_F6goZYnozVb7folIb5Hw_mfKQrNdVWKGx6j4s/edit</t>
  </si>
  <si>
    <t>J113</t>
  </si>
  <si>
    <t>https://docs.google.com/spreadsheets/d/1_YEY20HiFjspjicPICCMlL_lQXsksdB6d3m5vzHwuOI/edit</t>
  </si>
  <si>
    <t>Room 5</t>
  </si>
  <si>
    <t>J112</t>
  </si>
  <si>
    <t>https://docs.google.com/spreadsheets/d/1SYS5Ef48991ZUgqcGqj51eX2YgqKCzfrEZ_pUY01Lwo/edit</t>
  </si>
  <si>
    <t>Room 6</t>
  </si>
  <si>
    <t>J114</t>
  </si>
  <si>
    <t>Room 7</t>
  </si>
  <si>
    <t>https://docs.google.com/spreadsheets/d/1UJlRLlhI2Hg_SAQqQOg0JGdwHhiagF7EVAtCX8UOYFc/edit</t>
  </si>
  <si>
    <t>J115</t>
  </si>
  <si>
    <t>Room 8</t>
  </si>
  <si>
    <t>https://docs.google.com/spreadsheets/d/1jA96n0qbauznSt6-hkr51AslpxJqfrWgkafVtMV8_xU/edit</t>
  </si>
  <si>
    <t>J116</t>
  </si>
  <si>
    <t>Room 9</t>
  </si>
  <si>
    <t>https://docs.google.com/spreadsheets/d/1xw1EOjVhrK1PNJfOYiUsuJNrlpV53SmfJxYsFFolQ3s/edit</t>
  </si>
  <si>
    <t>Room 10</t>
  </si>
  <si>
    <t>https://docs.google.com/spreadsheets/d/15wOrdFuJAb1a4MoX5CG4apiBD2jUJ7mBu58Uk-8Mo7s/edit</t>
  </si>
  <si>
    <t>Room 11</t>
  </si>
  <si>
    <t>https://docs.google.com/spreadsheets/d/1GfJqS1rsy-VutTmPVnm9E2VdinIG-GnQO5b3bhaiX1s/edit</t>
  </si>
  <si>
    <t>G111</t>
  </si>
  <si>
    <t>https://docs.google.com/spreadsheets/d/17CLUEFflDBSa8dyH5vsXfHme4RV8IhzD-mxe9_c9I5k/edit</t>
  </si>
  <si>
    <t>G112</t>
  </si>
  <si>
    <t>https://docs.google.com/spreadsheets/d/1Knt8XDGFY_MP2OzeadT1pDENTLOdk9Ab_Rd9IdW0kzc/edit</t>
  </si>
  <si>
    <t>G113</t>
  </si>
  <si>
    <t>https://docs.google.com/spreadsheets/d/16i4gsLDaJasgGgtJt27HweoboYNaal3qpX3MtxIR2f0/edit</t>
  </si>
  <si>
    <t>G114</t>
  </si>
  <si>
    <t>https://docs.google.com/spreadsheets/d/1KRyI2c190uhOTF270Hsdzh1rgG565QIaE9TymteaGNY/edit</t>
  </si>
  <si>
    <t>G115</t>
  </si>
  <si>
    <t>https://docs.google.com/spreadsheets/d/1zr0uYCpJ5izByVOUCsr6JXezthGEdLXnwOrjIKGx5XI/edit</t>
  </si>
  <si>
    <t>G116</t>
  </si>
  <si>
    <t>https://docs.google.com/spreadsheets/d/1TVrjNI5RE1VozIr906BhaTKMFP0VPx8aUGpyt_loukE/edit</t>
  </si>
  <si>
    <t>Room 18</t>
  </si>
  <si>
    <t>https://docs.google.com/spreadsheets/d/1xRz0po-ejgp-QRvMkY44z3u2CePgTccasdyrrVALbmE/edit</t>
  </si>
  <si>
    <t>Room 4</t>
  </si>
  <si>
    <t>Room 12</t>
  </si>
  <si>
    <t>Room 13</t>
  </si>
  <si>
    <t>Room 14</t>
  </si>
  <si>
    <t>Room 15</t>
  </si>
  <si>
    <t>Room 16</t>
  </si>
  <si>
    <t>Room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</si>
</sst>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b/>
    </font>
    <font>
      <color rgb="FF222222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0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1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2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3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14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5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6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7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8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GfJqS1rsy-VutTmPVnm9E2VdinIG-GnQO5b3bhaiX1s/edit" TargetMode="External"/><Relationship Id="rId10" Type="http://schemas.openxmlformats.org/officeDocument/2006/relationships/hyperlink" Target="https://docs.google.com/spreadsheets/d/15wOrdFuJAb1a4MoX5CG4apiBD2jUJ7mBu58Uk-8Mo7s/edit" TargetMode="External"/><Relationship Id="rId13" Type="http://schemas.openxmlformats.org/officeDocument/2006/relationships/hyperlink" Target="https://docs.google.com/spreadsheets/d/1Knt8XDGFY_MP2OzeadT1pDENTLOdk9Ab_Rd9IdW0kzc/edit" TargetMode="External"/><Relationship Id="rId12" Type="http://schemas.openxmlformats.org/officeDocument/2006/relationships/hyperlink" Target="https://docs.google.com/spreadsheets/d/17CLUEFflDBSa8dyH5vsXfHme4RV8IhzD-mxe9_c9I5k/edit" TargetMode="External"/><Relationship Id="rId1" Type="http://schemas.openxmlformats.org/officeDocument/2006/relationships/hyperlink" Target="https://docs.google.com/spreadsheets/d/1JXwZ4AjXctyKvWy9qFKCX518NRYJYhSX9Jii0HPBCUs/edit" TargetMode="External"/><Relationship Id="rId2" Type="http://schemas.openxmlformats.org/officeDocument/2006/relationships/hyperlink" Target="https://docs.google.com/spreadsheets/d/1GBDUn_ZojNLX5OJCVBEhvJbdm0c55Z7lPcE4L6WH89o/edit" TargetMode="External"/><Relationship Id="rId3" Type="http://schemas.openxmlformats.org/officeDocument/2006/relationships/hyperlink" Target="https://docs.google.com/spreadsheets/d/19Dum1qlL_dEwf1AEniLf02Eg9XaNXi1GMkI5M4_Ei6w/edit" TargetMode="External"/><Relationship Id="rId4" Type="http://schemas.openxmlformats.org/officeDocument/2006/relationships/hyperlink" Target="https://docs.google.com/spreadsheets/d/18KjuM_F6goZYnozVb7folIb5Hw_mfKQrNdVWKGx6j4s/edit" TargetMode="External"/><Relationship Id="rId9" Type="http://schemas.openxmlformats.org/officeDocument/2006/relationships/hyperlink" Target="https://docs.google.com/spreadsheets/d/1xw1EOjVhrK1PNJfOYiUsuJNrlpV53SmfJxYsFFolQ3s/edit" TargetMode="External"/><Relationship Id="rId15" Type="http://schemas.openxmlformats.org/officeDocument/2006/relationships/hyperlink" Target="https://docs.google.com/spreadsheets/d/1KRyI2c190uhOTF270Hsdzh1rgG565QIaE9TymteaGNY/edit" TargetMode="External"/><Relationship Id="rId14" Type="http://schemas.openxmlformats.org/officeDocument/2006/relationships/hyperlink" Target="https://docs.google.com/spreadsheets/d/16i4gsLDaJasgGgtJt27HweoboYNaal3qpX3MtxIR2f0/edit" TargetMode="External"/><Relationship Id="rId17" Type="http://schemas.openxmlformats.org/officeDocument/2006/relationships/hyperlink" Target="https://docs.google.com/spreadsheets/d/1TVrjNI5RE1VozIr906BhaTKMFP0VPx8aUGpyt_loukE/edit" TargetMode="External"/><Relationship Id="rId16" Type="http://schemas.openxmlformats.org/officeDocument/2006/relationships/hyperlink" Target="https://docs.google.com/spreadsheets/d/1zr0uYCpJ5izByVOUCsr6JXezthGEdLXnwOrjIKGx5XI/edit" TargetMode="External"/><Relationship Id="rId5" Type="http://schemas.openxmlformats.org/officeDocument/2006/relationships/hyperlink" Target="https://docs.google.com/spreadsheets/d/1_YEY20HiFjspjicPICCMlL_lQXsksdB6d3m5vzHwuOI/edit" TargetMode="External"/><Relationship Id="rId19" Type="http://schemas.openxmlformats.org/officeDocument/2006/relationships/drawing" Target="../drawings/drawing9.xml"/><Relationship Id="rId6" Type="http://schemas.openxmlformats.org/officeDocument/2006/relationships/hyperlink" Target="https://docs.google.com/spreadsheets/d/1SYS5Ef48991ZUgqcGqj51eX2YgqKCzfrEZ_pUY01Lwo/edit" TargetMode="External"/><Relationship Id="rId18" Type="http://schemas.openxmlformats.org/officeDocument/2006/relationships/hyperlink" Target="https://docs.google.com/spreadsheets/d/1xRz0po-ejgp-QRvMkY44z3u2CePgTccasdyrrVALbmE/edit" TargetMode="External"/><Relationship Id="rId7" Type="http://schemas.openxmlformats.org/officeDocument/2006/relationships/hyperlink" Target="https://docs.google.com/spreadsheets/d/1UJlRLlhI2Hg_SAQqQOg0JGdwHhiagF7EVAtCX8UOYFc/edit" TargetMode="External"/><Relationship Id="rId8" Type="http://schemas.openxmlformats.org/officeDocument/2006/relationships/hyperlink" Target="https://docs.google.com/spreadsheets/d/1jA96n0qbauznSt6-hkr51AslpxJqfrWgkafVtMV8_xU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1</v>
      </c>
      <c r="B1" t="str">
        <f>IFERROR(__xludf.DUMMYFUNCTION("{IMPORTRANGE(""1JXwZ4AjXctyKvWy9qFKCX518NRYJYhSX9Jii0HPBCUs"",""Round 1!C1:H3""),IMPORTRANGE(""1JXwZ4AjXctyKvWy9qFKCX518NRYJYhSX9Jii0HPBCUs"",""Round 1!M1:R3"")}"),"Team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1!I32""))"),"A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1!S32""))"),"B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1!C32:H36""),IMPORTRANGE(""1JXwZ4AjXctyKvWy9qFKCX518NRYJYhSX9Jii0HPBCUs"",""Round 1!M32:R36"")}"),20.0)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1!W1"")"),"Question: 1")</f>
        <v>Question: 1</v>
      </c>
      <c r="B9" s="7" t="s">
        <v>125</v>
      </c>
    </row>
    <row r="10">
      <c r="A10" s="2"/>
    </row>
    <row r="11">
      <c r="A11" s="2" t="s">
        <v>1</v>
      </c>
      <c r="B11" t="str">
        <f>IFERROR(__xludf.DUMMYFUNCTION("{IMPORTRANGE(""1GBDUn_ZojNLX5OJCVBEhvJbdm0c55Z7lPcE4L6WH89o"",""Round 1!C1:H3""),IMPORTRANGE(""1GBDUn_ZojNLX5OJCVBEhvJbdm0c55Z7lPcE4L6WH89o"",""Round 1!M1:R3"")}"),"Team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1!I32""))"),"A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1!S32""))"),"B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1!C32:H36""),IMPORTRANGE(""1GBDUn_ZojNLX5OJCVBEhvJbdm0c55Z7lPcE4L6WH89o"",""Round 1!M32:R36"")}"),20.0)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1!W1"")"),"Question: 1")</f>
        <v>Question: 1</v>
      </c>
      <c r="B19" s="7" t="s">
        <v>127</v>
      </c>
    </row>
    <row r="20">
      <c r="A20" s="6"/>
    </row>
    <row r="21">
      <c r="A21" s="2" t="s">
        <v>1</v>
      </c>
      <c r="B21" t="str">
        <f>IFERROR(__xludf.DUMMYFUNCTION("{IMPORTRANGE(""19Dum1qlL_dEwf1AEniLf02Eg9XaNXi1GMkI5M4_Ei6w"",""Round 1!C1:H3""),IMPORTRANGE(""19Dum1qlL_dEwf1AEniLf02Eg9XaNXi1GMkI5M4_Ei6w"",""Round 1!M1:R3"")}"),"Team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1!I32""))"),"A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1!S32""))"),"B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1!C32:H36""),IMPORTRANGE(""19Dum1qlL_dEwf1AEniLf02Eg9XaNXi1GMkI5M4_Ei6w"",""Round 1!M32:R36"")}"),20.0)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1!W1"")"),"Question: 1")</f>
        <v>Question: 1</v>
      </c>
      <c r="B29" s="7" t="s">
        <v>129</v>
      </c>
    </row>
    <row r="30">
      <c r="A30" s="6"/>
    </row>
    <row r="31">
      <c r="A31" s="2" t="s">
        <v>130</v>
      </c>
      <c r="B31" t="str">
        <f>IFERROR(__xludf.DUMMYFUNCTION("{IMPORTRANGE(""18KjuM_F6goZYnozVb7folIb5Hw_mfKQrNdVWKGx6j4s"",""Round 1!C1:H3""),IMPORTRANGE(""18KjuM_F6goZYnozVb7folIb5Hw_mfKQrNdVWKGx6j4s"",""Round 1!M1:R3"")}"),"Canyon Crest D (JV)")</f>
        <v>Canyon Crest D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IFERROR(__xludf.DUMMYFUNCTION("""COMPUTED_VALUE"""),"Black Mountain A (JV)")</f>
        <v>Black Mountain A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1!I32""))"),"A BP: 150")</f>
        <v>A BP: 150</v>
      </c>
      <c r="B32" t="str">
        <f>IFERROR(__xludf.DUMMYFUNCTION("""COMPUTED_VALUE"""),"Score: 250")</f>
        <v>Score: 250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220")</f>
        <v>Score: 220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1!S32""))"),"B BP: 150")</f>
        <v>B BP: 150</v>
      </c>
      <c r="B33" t="str">
        <f>IFERROR(__xludf.DUMMYFUNCTION("""COMPUTED_VALUE"""),"Tompson Hsu (12)")</f>
        <v>Tompson Hsu (12)</v>
      </c>
      <c r="C33" t="str">
        <f>IFERROR(__xludf.DUMMYFUNCTION("""COMPUTED_VALUE"""),"Demitrius Hong (12)")</f>
        <v>Demitrius Hong (12)</v>
      </c>
      <c r="D33" t="str">
        <f>IFERROR(__xludf.DUMMYFUNCTION("""COMPUTED_VALUE"""),"Kyle Lu (12)")</f>
        <v>Kyle Lu (12)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IFERROR(__xludf.DUMMYFUNCTION("""COMPUTED_VALUE"""),"Adarsh Venkateswaran (8)")</f>
        <v>Adarsh Venkateswaran (8)</v>
      </c>
      <c r="I33" t="str">
        <f>IFERROR(__xludf.DUMMYFUNCTION("""COMPUTED_VALUE"""),"Tanvi Bhide (7)")</f>
        <v>Tanvi Bhide (7)</v>
      </c>
      <c r="J33" t="str">
        <f>IFERROR(__xludf.DUMMYFUNCTION("""COMPUTED_VALUE"""),"Anvit Watwani (7)")</f>
        <v>Anvit Watwani (7)</v>
      </c>
      <c r="K33" t="str">
        <f>IFERROR(__xludf.DUMMYFUNCTION("""COMPUTED_VALUE"""),"Edwin Chang (8)")</f>
        <v>Edwin Chang (8)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1!C32:H36""),IMPORTRANGE(""18KjuM_F6goZYnozVb7folIb5Hw_mfKQrNdVWKGx6j4s"",""Round 1!M32:R36"")}"),20.0)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IFERROR(__xludf.DUMMYFUNCTION("""COMPUTED_VALUE"""),1.0)</f>
        <v>1</v>
      </c>
      <c r="C35">
        <f>IFERROR(__xludf.DUMMYFUNCTION("""COMPUTED_VALUE"""),0.0)</f>
        <v>0</v>
      </c>
      <c r="D35">
        <f>IFERROR(__xludf.DUMMYFUNCTION("""COMPUTED_VALUE"""),1.0)</f>
        <v>1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IFERROR(__xludf.DUMMYFUNCTION("""COMPUTED_VALUE"""),1.0)</f>
        <v>1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IFERROR(__xludf.DUMMYFUNCTION("""COMPUTED_VALUE"""),5.0)</f>
        <v>5</v>
      </c>
      <c r="C36">
        <f>IFERROR(__xludf.DUMMYFUNCTION("""COMPUTED_VALUE"""),2.0)</f>
        <v>2</v>
      </c>
      <c r="D36">
        <f>IFERROR(__xludf.DUMMYFUNCTION("""COMPUTED_VALUE"""),2.0)</f>
        <v>2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IFERROR(__xludf.DUMMYFUNCTION("""COMPUTED_VALUE"""),2.0)</f>
        <v>2</v>
      </c>
      <c r="I36">
        <f>IFERROR(__xludf.DUMMYFUNCTION("""COMPUTED_VALUE"""),1.0)</f>
        <v>1</v>
      </c>
      <c r="J36">
        <f>IFERROR(__xludf.DUMMYFUNCTION("""COMPUTED_VALUE"""),2.0)</f>
        <v>2</v>
      </c>
      <c r="K36">
        <f>IFERROR(__xludf.DUMMYFUNCTION("""COMPUTED_VALUE"""),1.0)</f>
        <v>1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IFERROR(__xludf.DUMMYFUNCTION("""COMPUTED_VALUE"""),2.0)</f>
        <v>2</v>
      </c>
      <c r="C37">
        <f>IFERROR(__xludf.DUMMYFUNCTION("""COMPUTED_VALUE"""),0.0)</f>
        <v>0</v>
      </c>
      <c r="D37">
        <f>IFERROR(__xludf.DUMMYFUNCTION("""COMPUTED_VALUE"""),2.0)</f>
        <v>2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IFERROR(__xludf.DUMMYFUNCTION("""COMPUTED_VALUE"""),55.0)</f>
        <v>55</v>
      </c>
      <c r="C38">
        <f>IFERROR(__xludf.DUMMYFUNCTION("""COMPUTED_VALUE"""),20.0)</f>
        <v>20</v>
      </c>
      <c r="D38">
        <f>IFERROR(__xludf.DUMMYFUNCTION("""COMPUTED_VALUE"""),25.0)</f>
        <v>25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IFERROR(__xludf.DUMMYFUNCTION("""COMPUTED_VALUE"""),15.0)</f>
        <v>15</v>
      </c>
      <c r="I38">
        <f>IFERROR(__xludf.DUMMYFUNCTION("""COMPUTED_VALUE"""),25.0)</f>
        <v>25</v>
      </c>
      <c r="J38">
        <f>IFERROR(__xludf.DUMMYFUNCTION("""COMPUTED_VALUE"""),20.0)</f>
        <v>20</v>
      </c>
      <c r="K38">
        <f>IFERROR(__xludf.DUMMYFUNCTION("""COMPUTED_VALUE"""),10.0)</f>
        <v>10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1!W1"")"),"Question: 21")</f>
        <v>Question: 21</v>
      </c>
      <c r="B39" s="7" t="s">
        <v>131</v>
      </c>
    </row>
    <row r="40">
      <c r="A40" s="6"/>
    </row>
    <row r="41">
      <c r="A41" s="2" t="s">
        <v>132</v>
      </c>
      <c r="B41" t="str">
        <f>IFERROR(__xludf.DUMMYFUNCTION("{IMPORTRANGE(""1_YEY20HiFjspjicPICCMlL_lQXsksdB6d3m5vzHwuOI"",""Round 1!C1:H3""),IMPORTRANGE(""1_YEY20HiFjspjicPICCMlL_lQXsksdB6d3m5vzHwuOI"",""Round 1!M1:R3"")}"),"Del Norte (JV)")</f>
        <v>Del Norte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IFERROR(__xludf.DUMMYFUNCTION("""COMPUTED_VALUE"""),"Oak Valley A (JV)")</f>
        <v>Oak Valley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1!I32""))"),"A BP: 110")</f>
        <v>A BP: 110</v>
      </c>
      <c r="B42" t="str">
        <f>IFERROR(__xludf.DUMMYFUNCTION("""COMPUTED_VALUE"""),"Score: 170")</f>
        <v>Score: 170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435")</f>
        <v>Score: 435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1!S32""))"),"B BP: 300")</f>
        <v>B BP: 300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IFERROR(__xludf.DUMMYFUNCTION("""COMPUTED_VALUE"""),"Kyle Nagasawa (11)")</f>
        <v>Kyle Nagasawa (11)</v>
      </c>
      <c r="G43" t="str">
        <f>IFERROR(__xludf.DUMMYFUNCTION("""COMPUTED_VALUE"""),"Kinish Sathish (9)")</f>
        <v>Kinish Sathish (9)</v>
      </c>
      <c r="H43" t="str">
        <f>IFERROR(__xludf.DUMMYFUNCTION("""COMPUTED_VALUE"""),"Conner Feng (8)")</f>
        <v>Conner Feng (8)</v>
      </c>
      <c r="I43" t="str">
        <f>IFERROR(__xludf.DUMMYFUNCTION("""COMPUTED_VALUE"""),"Raunak Mondal (7)")</f>
        <v>Raunak Mondal (7)</v>
      </c>
      <c r="J43" t="str">
        <f>IFERROR(__xludf.DUMMYFUNCTION("""COMPUTED_VALUE"""),"Player 3")</f>
        <v>Player 3</v>
      </c>
      <c r="K43" t="str">
        <f>IFERROR(__xludf.DUMMYFUNCTION("""COMPUTED_VALUE"""),"Jadon Pandian (7)")</f>
        <v>Jadon Pandian (7)</v>
      </c>
      <c r="L43" t="str">
        <f>IFERROR(__xludf.DUMMYFUNCTION("""COMPUTED_VALUE"""),"Jonas Brown (7)")</f>
        <v>Jonas Brown (7)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1!C32:H36""),IMPORTRANGE(""1_YEY20HiFjspjicPICCMlL_lQXsksdB6d3m5vzHwuOI"",""Round 1!M32:R36"")}"),0.0)</f>
        <v>0</v>
      </c>
      <c r="C44">
        <f>IFERROR(__xludf.DUMMYFUNCTION("""COMPUTED_VALUE"""),0.0)</f>
        <v>0</v>
      </c>
      <c r="D44">
        <f>IFERROR(__xludf.DUMMYFUNCTION("""COMPUTED_VALUE"""),0.0)</f>
        <v>0</v>
      </c>
      <c r="E44">
        <f>IFERROR(__xludf.DUMMYFUNCTION("""COMPUTED_VALUE"""),0.0)</f>
        <v>0</v>
      </c>
      <c r="F44">
        <f>IFERROR(__xludf.DUMMYFUNCTION("""COMPUTED_VALUE"""),20.0)</f>
        <v>20</v>
      </c>
      <c r="G44">
        <f>IFERROR(__xludf.DUMMYFUNCTION("""COMPUTED_VALUE"""),20.0)</f>
        <v>20</v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IFERROR(__xludf.DUMMYFUNCTION("""COMPUTED_VALUE"""),0.0)</f>
        <v>0</v>
      </c>
      <c r="K44">
        <f>IFERROR(__xludf.DUMMYFUNCTION("""COMPUTED_VALUE"""),20.0)</f>
        <v>20</v>
      </c>
      <c r="L44">
        <f>IFERROR(__xludf.DUMMYFUNCTION("""COMPUTED_VALUE"""),20.0)</f>
        <v>20</v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IFERROR(__xludf.DUMMYFUNCTION("""COMPUTED_VALUE"""),2.0)</f>
        <v>2</v>
      </c>
      <c r="H45">
        <f>IFERROR(__xludf.DUMMYFUNCTION("""COMPUTED_VALUE"""),2.0)</f>
        <v>2</v>
      </c>
      <c r="I45">
        <f>IFERROR(__xludf.DUMMYFUNCTION("""COMPUTED_VALUE"""),4.0)</f>
        <v>4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IFERROR(__xludf.DUMMYFUNCTION("""COMPUTED_VALUE"""),3.0)</f>
        <v>3</v>
      </c>
      <c r="G46">
        <f>IFERROR(__xludf.DUMMYFUNCTION("""COMPUTED_VALUE"""),2.0)</f>
        <v>2</v>
      </c>
      <c r="H46">
        <f>IFERROR(__xludf.DUMMYFUNCTION("""COMPUTED_VALUE"""),3.0)</f>
        <v>3</v>
      </c>
      <c r="I46">
        <f>IFERROR(__xludf.DUMMYFUNCTION("""COMPUTED_VALUE"""),1.0)</f>
        <v>1</v>
      </c>
      <c r="J46">
        <f>IFERROR(__xludf.DUMMYFUNCTION("""COMPUTED_VALUE"""),0.0)</f>
        <v>0</v>
      </c>
      <c r="K46">
        <f>IFERROR(__xludf.DUMMYFUNCTION("""COMPUTED_VALUE"""),1.0)</f>
        <v>1</v>
      </c>
      <c r="L46">
        <f>IFERROR(__xludf.DUMMYFUNCTION("""COMPUTED_VALUE"""),1.0)</f>
        <v>1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IFERROR(__xludf.DUMMYFUNCTION("""COMPUTED_VALUE"""),1.0)</f>
        <v>1</v>
      </c>
      <c r="G47">
        <f>IFERROR(__xludf.DUMMYFUNCTION("""COMPUTED_VALUE"""),3.0)</f>
        <v>3</v>
      </c>
      <c r="H47">
        <f>IFERROR(__xludf.DUMMYFUNCTION("""COMPUTED_VALUE"""),0.0)</f>
        <v>0</v>
      </c>
      <c r="I47">
        <f>IFERROR(__xludf.DUMMYFUNCTION("""COMPUTED_VALUE"""),2.0)</f>
        <v>2</v>
      </c>
      <c r="J47">
        <f>IFERROR(__xludf.DUMMYFUNCTION("""COMPUTED_VALUE"""),0.0)</f>
        <v>0</v>
      </c>
      <c r="K47">
        <f>IFERROR(__xludf.DUMMYFUNCTION("""COMPUTED_VALUE"""),1.0)</f>
        <v>1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IFERROR(__xludf.DUMMYFUNCTION("""COMPUTED_VALUE"""),25.0)</f>
        <v>25</v>
      </c>
      <c r="G48">
        <f>IFERROR(__xludf.DUMMYFUNCTION("""COMPUTED_VALUE"""),35.0)</f>
        <v>35</v>
      </c>
      <c r="H48">
        <f>IFERROR(__xludf.DUMMYFUNCTION("""COMPUTED_VALUE"""),60.0)</f>
        <v>60</v>
      </c>
      <c r="I48">
        <f>IFERROR(__xludf.DUMMYFUNCTION("""COMPUTED_VALUE"""),60.0)</f>
        <v>60</v>
      </c>
      <c r="J48">
        <f>IFERROR(__xludf.DUMMYFUNCTION("""COMPUTED_VALUE"""),0.0)</f>
        <v>0</v>
      </c>
      <c r="K48">
        <f>IFERROR(__xludf.DUMMYFUNCTION("""COMPUTED_VALUE"""),5.0)</f>
        <v>5</v>
      </c>
      <c r="L48">
        <f>IFERROR(__xludf.DUMMYFUNCTION("""COMPUTED_VALUE"""),10.0)</f>
        <v>10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1!W1"")"),"Question: 21")</f>
        <v>Question: 21</v>
      </c>
      <c r="B49" s="7" t="s">
        <v>133</v>
      </c>
    </row>
    <row r="50">
      <c r="A50" s="6"/>
    </row>
    <row r="51">
      <c r="A51" s="2" t="s">
        <v>135</v>
      </c>
      <c r="B51" t="str">
        <f>IFERROR(__xludf.DUMMYFUNCTION("{IMPORTRANGE(""1SYS5Ef48991ZUgqcGqj51eX2YgqKCzfrEZ_pUY01Lwo"",""Round 1!C1:H3""),IMPORTRANGE(""1SYS5Ef48991ZUgqcGqj51eX2YgqKCzfrEZ_pUY01Lwo"",""Round 1!M1:R3"")}"),"Oak Valley B (JV)")</f>
        <v>Oak Valley B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IFERROR(__xludf.DUMMYFUNCTION("""COMPUTED_VALUE"""),"Rancho Bernardo (JV)")</f>
        <v>Rancho Bernardo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1!I32""))"),"A BP: 110")</f>
        <v>A BP: 110</v>
      </c>
      <c r="B52" t="str">
        <f>IFERROR(__xludf.DUMMYFUNCTION("""COMPUTED_VALUE"""),"Score: 200")</f>
        <v>Score: 200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220")</f>
        <v>Score: 220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1!S32""))"),"B BP: 120")</f>
        <v>B BP: 120</v>
      </c>
      <c r="B53" t="str">
        <f>IFERROR(__xludf.DUMMYFUNCTION("""COMPUTED_VALUE"""),"Rohan Gaikwad (8)")</f>
        <v>Rohan Gaikwad (8)</v>
      </c>
      <c r="C53" t="str">
        <f>IFERROR(__xludf.DUMMYFUNCTION("""COMPUTED_VALUE"""),"Amina Aslam-Mir (7)")</f>
        <v>Amina Aslam-Mir (7)</v>
      </c>
      <c r="D53" t="str">
        <f>IFERROR(__xludf.DUMMYFUNCTION("""COMPUTED_VALUE"""),"John Bruvold (8)")</f>
        <v>John Bruvold (8)</v>
      </c>
      <c r="E53" t="str">
        <f>IFERROR(__xludf.DUMMYFUNCTION("""COMPUTED_VALUE"""),"Ethan Huang (7)")</f>
        <v>Ethan Huang (7)</v>
      </c>
      <c r="F53" t="str">
        <f>IFERROR(__xludf.DUMMYFUNCTION("""COMPUTED_VALUE"""),"Aditi Bandaru (7)")</f>
        <v>Aditi Bandaru (7)</v>
      </c>
      <c r="G53" t="str">
        <f>IFERROR(__xludf.DUMMYFUNCTION("""COMPUTED_VALUE"""),"Player 6")</f>
        <v>Player 6</v>
      </c>
      <c r="H53" t="str">
        <f>IFERROR(__xludf.DUMMYFUNCTION("""COMPUTED_VALUE"""),"Sandy Tran (12)")</f>
        <v>Sandy Tran (12)</v>
      </c>
      <c r="I53" t="str">
        <f>IFERROR(__xludf.DUMMYFUNCTION("""COMPUTED_VALUE"""),"Patrick Joyce (11)")</f>
        <v>Patrick Joyce (11)</v>
      </c>
      <c r="J53" t="str">
        <f>IFERROR(__xludf.DUMMYFUNCTION("""COMPUTED_VALUE"""),"Katheryn Garrett (11)")</f>
        <v>Katheryn Garrett (11)</v>
      </c>
      <c r="K53" t="str">
        <f>IFERROR(__xludf.DUMMYFUNCTION("""COMPUTED_VALUE"""),"YungYi Sun (12)")</f>
        <v>YungYi Sun (12)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1!C32:H36""),IMPORTRANGE(""1SYS5Ef48991ZUgqcGqj51eX2YgqKCzfrEZ_pUY01Lwo"",""Round 1!M32:R36"")}"),20.0)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IFERROR(__xludf.DUMMYFUNCTION("""COMPUTED_VALUE"""),10.0)</f>
        <v>10</v>
      </c>
      <c r="F54">
        <f>IFERROR(__xludf.DUMMYFUNCTION("""COMPUTED_VALUE"""),10.0)</f>
        <v>10</v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IFERROR(__xludf.DUMMYFUNCTION("""COMPUTED_VALUE"""),1.0)</f>
        <v>1</v>
      </c>
      <c r="C55">
        <f>IFERROR(__xludf.DUMMYFUNCTION("""COMPUTED_VALUE"""),1.0)</f>
        <v>1</v>
      </c>
      <c r="D55">
        <f>IFERROR(__xludf.DUMMYFUNCTION("""COMPUTED_VALUE"""),1.0)</f>
        <v>1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IFERROR(__xludf.DUMMYFUNCTION("""COMPUTED_VALUE"""),1.0)</f>
        <v>1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IFERROR(__xludf.DUMMYFUNCTION("""COMPUTED_VALUE"""),5.0)</f>
        <v>5</v>
      </c>
      <c r="C56">
        <f>IFERROR(__xludf.DUMMYFUNCTION("""COMPUTED_VALUE"""),1.0)</f>
        <v>1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IFERROR(__xludf.DUMMYFUNCTION("""COMPUTED_VALUE"""),6.0)</f>
        <v>6</v>
      </c>
      <c r="I56">
        <f>IFERROR(__xludf.DUMMYFUNCTION("""COMPUTED_VALUE"""),1.0)</f>
        <v>1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IFERROR(__xludf.DUMMYFUNCTION("""COMPUTED_VALUE"""),1.0)</f>
        <v>1</v>
      </c>
      <c r="C57">
        <f>IFERROR(__xludf.DUMMYFUNCTION("""COMPUTED_VALUE"""),2.0)</f>
        <v>2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IFERROR(__xludf.DUMMYFUNCTION("""COMPUTED_VALUE"""),60.0)</f>
        <v>60</v>
      </c>
      <c r="C58">
        <f>IFERROR(__xludf.DUMMYFUNCTION("""COMPUTED_VALUE"""),15.0)</f>
        <v>15</v>
      </c>
      <c r="D58">
        <f>IFERROR(__xludf.DUMMYFUNCTION("""COMPUTED_VALUE"""),15.0)</f>
        <v>15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IFERROR(__xludf.DUMMYFUNCTION("""COMPUTED_VALUE"""),75.0)</f>
        <v>75</v>
      </c>
      <c r="I58">
        <f>IFERROR(__xludf.DUMMYFUNCTION("""COMPUTED_VALUE"""),10.0)</f>
        <v>10</v>
      </c>
      <c r="J58">
        <f>IFERROR(__xludf.DUMMYFUNCTION("""COMPUTED_VALUE"""),0.0)</f>
        <v>0</v>
      </c>
      <c r="K58">
        <f>IFERROR(__xludf.DUMMYFUNCTION("""COMPUTED_VALUE"""),15.0)</f>
        <v>15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1!W1"")"),"Question: 21")</f>
        <v>Question: 21</v>
      </c>
      <c r="B59" s="7" t="s">
        <v>136</v>
      </c>
    </row>
    <row r="60">
      <c r="A60" s="6"/>
    </row>
    <row r="61">
      <c r="A61" s="2" t="s">
        <v>138</v>
      </c>
      <c r="B61" t="str">
        <f>IFERROR(__xludf.DUMMYFUNCTION("{IMPORTRANGE(""1UJlRLlhI2Hg_SAQqQOg0JGdwHhiagF7EVAtCX8UOYFc"",""Round 1!C1:H3""),IMPORTRANGE(""1UJlRLlhI2Hg_SAQqQOg0JGdwHhiagF7EVAtCX8UOYFc"",""Round 1!M1:R3"")}"),"Black Mountain B (JV)")</f>
        <v>Black Mountain B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IFERROR(__xludf.DUMMYFUNCTION("""COMPUTED_VALUE"""),"Westview C (JV)")</f>
        <v>Westview C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1!I32""))"),"A BP: 100")</f>
        <v>A BP: 100</v>
      </c>
      <c r="B62" t="str">
        <f>IFERROR(__xludf.DUMMYFUNCTION("""COMPUTED_VALUE"""),"Score: 170")</f>
        <v>Score: 170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325")</f>
        <v>Score: 325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1!S32""))"),"B BP: 210")</f>
        <v>B BP: 210</v>
      </c>
      <c r="B63" t="str">
        <f>IFERROR(__xludf.DUMMYFUNCTION("""COMPUTED_VALUE"""),"Lauren Yung (8)")</f>
        <v>Lauren Yung (8)</v>
      </c>
      <c r="C63" t="str">
        <f>IFERROR(__xludf.DUMMYFUNCTION("""COMPUTED_VALUE"""),"Pranay Kulkarni (7)")</f>
        <v>Pranay Kulkarni (7)</v>
      </c>
      <c r="D63" t="str">
        <f>IFERROR(__xludf.DUMMYFUNCTION("""COMPUTED_VALUE"""),"Raina Chatterjee (7)")</f>
        <v>Raina Chatterjee (7)</v>
      </c>
      <c r="E63" t="str">
        <f>IFERROR(__xludf.DUMMYFUNCTION("""COMPUTED_VALUE"""),"Anay Sabhnani (7)")</f>
        <v>Anay Sabhnani (7)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IFERROR(__xludf.DUMMYFUNCTION("""COMPUTED_VALUE"""),"Rohan Kumar (11)")</f>
        <v>Rohan Kumar (11)</v>
      </c>
      <c r="I63" t="str">
        <f>IFERROR(__xludf.DUMMYFUNCTION("""COMPUTED_VALUE"""),"Aiken Wang (9)")</f>
        <v>Aiken Wang (9)</v>
      </c>
      <c r="J63" t="str">
        <f>IFERROR(__xludf.DUMMYFUNCTION("""COMPUTED_VALUE"""),"Radhika Sreelal (10)")</f>
        <v>Radhika Sreelal (10)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1!C32:H36""),IMPORTRANGE(""1UJlRLlhI2Hg_SAQqQOg0JGdwHhiagF7EVAtCX8UOYFc"",""Round 1!M32:R36"")}"),20.0)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IFERROR(__xludf.DUMMYFUNCTION("""COMPUTED_VALUE"""),1.0)</f>
        <v>1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IFERROR(__xludf.DUMMYFUNCTION("""COMPUTED_VALUE"""),3.0)</f>
        <v>3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IFERROR(__xludf.DUMMYFUNCTION("""COMPUTED_VALUE"""),1.0)</f>
        <v>1</v>
      </c>
      <c r="C66">
        <f>IFERROR(__xludf.DUMMYFUNCTION("""COMPUTED_VALUE"""),1.0)</f>
        <v>1</v>
      </c>
      <c r="D66">
        <f>IFERROR(__xludf.DUMMYFUNCTION("""COMPUTED_VALUE"""),0.0)</f>
        <v>0</v>
      </c>
      <c r="E66">
        <f>IFERROR(__xludf.DUMMYFUNCTION("""COMPUTED_VALUE"""),4.0)</f>
        <v>4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IFERROR(__xludf.DUMMYFUNCTION("""COMPUTED_VALUE"""),5.0)</f>
        <v>5</v>
      </c>
      <c r="I66">
        <f>IFERROR(__xludf.DUMMYFUNCTION("""COMPUTED_VALUE"""),1.0)</f>
        <v>1</v>
      </c>
      <c r="J66">
        <f>IFERROR(__xludf.DUMMYFUNCTION("""COMPUTED_VALUE"""),2.0)</f>
        <v>2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IFERROR(__xludf.DUMMYFUNCTION("""COMPUTED_VALUE"""),1.0)</f>
        <v>1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IFERROR(__xludf.DUMMYFUNCTION("""COMPUTED_VALUE"""),5.0)</f>
        <v>5</v>
      </c>
      <c r="C68">
        <f>IFERROR(__xludf.DUMMYFUNCTION("""COMPUTED_VALUE"""),10.0)</f>
        <v>10</v>
      </c>
      <c r="D68">
        <f>IFERROR(__xludf.DUMMYFUNCTION("""COMPUTED_VALUE"""),0.0)</f>
        <v>0</v>
      </c>
      <c r="E68">
        <f>IFERROR(__xludf.DUMMYFUNCTION("""COMPUTED_VALUE"""),55.0)</f>
        <v>55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IFERROR(__xludf.DUMMYFUNCTION("""COMPUTED_VALUE"""),40.0)</f>
        <v>40</v>
      </c>
      <c r="I68">
        <f>IFERROR(__xludf.DUMMYFUNCTION("""COMPUTED_VALUE"""),55.0)</f>
        <v>55</v>
      </c>
      <c r="J68">
        <f>IFERROR(__xludf.DUMMYFUNCTION("""COMPUTED_VALUE"""),20.0)</f>
        <v>20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1!W1"")"),"Question: 21")</f>
        <v>Question: 21</v>
      </c>
      <c r="B69" s="7" t="s">
        <v>140</v>
      </c>
    </row>
    <row r="70">
      <c r="A70" s="6"/>
    </row>
    <row r="71">
      <c r="A71" s="2" t="s">
        <v>141</v>
      </c>
      <c r="B71" t="str">
        <f>IFERROR(__xludf.DUMMYFUNCTION("{IMPORTRANGE(""1jA96n0qbauznSt6-hkr51AslpxJqfrWgkafVtMV8_xU"",""Round 1!C1:H3""),IMPORTRANGE(""1jA96n0qbauznSt6-hkr51AslpxJqfrWgkafVtMV8_xU"",""Round 1!M1:R3"")}"),"La Serna B (JV)")</f>
        <v>La Serna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IFERROR(__xludf.DUMMYFUNCTION("""COMPUTED_VALUE"""),"Oak Valley C (JV)")</f>
        <v>Oak Valley C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1!I32""))"),"A BP: 40")</f>
        <v>A BP: 40</v>
      </c>
      <c r="B72" t="str">
        <f>IFERROR(__xludf.DUMMYFUNCTION("""COMPUTED_VALUE"""),"Score: 65")</f>
        <v>Score: 65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185")</f>
        <v>Score: 185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1!S32""))"),"B BP: 90")</f>
        <v>B BP: 90</v>
      </c>
      <c r="B73" t="str">
        <f>IFERROR(__xludf.DUMMYFUNCTION("""COMPUTED_VALUE"""),"Liz Carrasco (12)")</f>
        <v>Liz Carrasco (12)</v>
      </c>
      <c r="C73" t="str">
        <f>IFERROR(__xludf.DUMMYFUNCTION("""COMPUTED_VALUE"""),"Jerred Casillas (12)")</f>
        <v>Jerred Casillas (12)</v>
      </c>
      <c r="D73" t="str">
        <f>IFERROR(__xludf.DUMMYFUNCTION("""COMPUTED_VALUE"""),"Colin Twisselmann (10)")</f>
        <v>Colin Twisselmann (10)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IFERROR(__xludf.DUMMYFUNCTION("""COMPUTED_VALUE"""),"Sarah Feng (6)")</f>
        <v>Sarah Feng (6)</v>
      </c>
      <c r="I73" t="str">
        <f>IFERROR(__xludf.DUMMYFUNCTION("""COMPUTED_VALUE"""),"Chinmay Ramamurthy (7)")</f>
        <v>Chinmay Ramamurthy (7)</v>
      </c>
      <c r="J73" t="str">
        <f>IFERROR(__xludf.DUMMYFUNCTION("""COMPUTED_VALUE"""),"Saanvi Agarwal (6)")</f>
        <v>Saanvi Agarwal (6)</v>
      </c>
      <c r="K73" t="str">
        <f>IFERROR(__xludf.DUMMYFUNCTION("""COMPUTED_VALUE"""),"Tay Kim (7)")</f>
        <v>Tay Kim (7)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1!C32:H36""),IMPORTRANGE(""1jA96n0qbauznSt6-hkr51AslpxJqfrWgkafVtMV8_xU"",""Round 1!M32:R36"")}"),20.0)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IFERROR(__xludf.DUMMYFUNCTION("""COMPUTED_VALUE"""),1.0)</f>
        <v>1</v>
      </c>
      <c r="C76">
        <f>IFERROR(__xludf.DUMMYFUNCTION("""COMPUTED_VALUE"""),0.0)</f>
        <v>0</v>
      </c>
      <c r="D76">
        <f>IFERROR(__xludf.DUMMYFUNCTION("""COMPUTED_VALUE"""),2.0)</f>
        <v>2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IFERROR(__xludf.DUMMYFUNCTION("""COMPUTED_VALUE"""),3.0)</f>
        <v>3</v>
      </c>
      <c r="I76">
        <f>IFERROR(__xludf.DUMMYFUNCTION("""COMPUTED_VALUE"""),4.0)</f>
        <v>4</v>
      </c>
      <c r="J76">
        <f>IFERROR(__xludf.DUMMYFUNCTION("""COMPUTED_VALUE"""),2.0)</f>
        <v>2</v>
      </c>
      <c r="K76">
        <f>IFERROR(__xludf.DUMMYFUNCTION("""COMPUTED_VALUE"""),2.0)</f>
        <v>2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IFERROR(__xludf.DUMMYFUNCTION("""COMPUTED_VALUE"""),1.0)</f>
        <v>1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IFERROR(__xludf.DUMMYFUNCTION("""COMPUTED_VALUE"""),3.0)</f>
        <v>3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IFERROR(__xludf.DUMMYFUNCTION("""COMPUTED_VALUE"""),5.0)</f>
        <v>5</v>
      </c>
      <c r="C78">
        <f>IFERROR(__xludf.DUMMYFUNCTION("""COMPUTED_VALUE"""),0.0)</f>
        <v>0</v>
      </c>
      <c r="D78">
        <f>IFERROR(__xludf.DUMMYFUNCTION("""COMPUTED_VALUE"""),20.0)</f>
        <v>20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IFERROR(__xludf.DUMMYFUNCTION("""COMPUTED_VALUE"""),30.0)</f>
        <v>30</v>
      </c>
      <c r="I78">
        <f>IFERROR(__xludf.DUMMYFUNCTION("""COMPUTED_VALUE"""),25.0)</f>
        <v>25</v>
      </c>
      <c r="J78">
        <f>IFERROR(__xludf.DUMMYFUNCTION("""COMPUTED_VALUE"""),20.0)</f>
        <v>20</v>
      </c>
      <c r="K78">
        <f>IFERROR(__xludf.DUMMYFUNCTION("""COMPUTED_VALUE"""),20.0)</f>
        <v>20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1!W1"")"),"Question: 20")</f>
        <v>Question: 20</v>
      </c>
      <c r="B79" s="7" t="s">
        <v>143</v>
      </c>
    </row>
    <row r="80">
      <c r="A80" s="6"/>
    </row>
    <row r="81">
      <c r="A81" s="2" t="s">
        <v>144</v>
      </c>
      <c r="B81" t="str">
        <f>IFERROR(__xludf.DUMMYFUNCTION("{IMPORTRANGE(""1xw1EOjVhrK1PNJfOYiUsuJNrlpV53SmfJxYsFFolQ3s"",""Round 1!C1:H3""),IMPORTRANGE(""1xw1EOjVhrK1PNJfOYiUsuJNrlpV53SmfJxYsFFolQ3s"",""Round 1!M1:R3"")}"),"Scripps Ranch B (JV)")</f>
        <v>Scripps Ranch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IFERROR(__xludf.DUMMYFUNCTION("""COMPUTED_VALUE"""),"La Serna A (JV)")</f>
        <v>La Serna A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1!I32""))"),"A BP: 160")</f>
        <v>A BP: 160</v>
      </c>
      <c r="B82" t="str">
        <f>IFERROR(__xludf.DUMMYFUNCTION("""COMPUTED_VALUE"""),"Score: 280")</f>
        <v>Score: 280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165")</f>
        <v>Score: 165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1!S32""))"),"B BP: 100")</f>
        <v>B BP: 100</v>
      </c>
      <c r="B83" t="str">
        <f>IFERROR(__xludf.DUMMYFUNCTION("""COMPUTED_VALUE"""),"Sam Wu (9)")</f>
        <v>Sam Wu (9)</v>
      </c>
      <c r="C83" t="str">
        <f>IFERROR(__xludf.DUMMYFUNCTION("""COMPUTED_VALUE"""),"Lawrence Lo (9)")</f>
        <v>Lawrence Lo (9)</v>
      </c>
      <c r="D83" t="str">
        <f>IFERROR(__xludf.DUMMYFUNCTION("""COMPUTED_VALUE"""),"Tristan Thai (9)")</f>
        <v>Tristan Thai (9)</v>
      </c>
      <c r="E83" t="str">
        <f>IFERROR(__xludf.DUMMYFUNCTION("""COMPUTED_VALUE"""),"Shabdika Gubba (9)")</f>
        <v>Shabdika Gubba (9)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IFERROR(__xludf.DUMMYFUNCTION("""COMPUTED_VALUE"""),"Cole Aedo (12)")</f>
        <v>Cole Aedo (12)</v>
      </c>
      <c r="I83" t="str">
        <f>IFERROR(__xludf.DUMMYFUNCTION("""COMPUTED_VALUE"""),"Jay Gamez (12)")</f>
        <v>Jay Gamez (12)</v>
      </c>
      <c r="J83" t="str">
        <f>IFERROR(__xludf.DUMMYFUNCTION("""COMPUTED_VALUE"""),"Ian Brennan (12)")</f>
        <v>Ian Brennan (12)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1!C32:H36""),IMPORTRANGE(""1xw1EOjVhrK1PNJfOYiUsuJNrlpV53SmfJxYsFFolQ3s"",""Round 1!M32:R36"")}"),20.0)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IFERROR(__xludf.DUMMYFUNCTION("""COMPUTED_VALUE"""),1.0)</f>
        <v>1</v>
      </c>
      <c r="D85">
        <f>IFERROR(__xludf.DUMMYFUNCTION("""COMPUTED_VALUE"""),0.0)</f>
        <v>0</v>
      </c>
      <c r="E85">
        <f>IFERROR(__xludf.DUMMYFUNCTION("""COMPUTED_VALUE"""),1.0)</f>
        <v>1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IFERROR(__xludf.DUMMYFUNCTION("""COMPUTED_VALUE"""),1.0)</f>
        <v>1</v>
      </c>
      <c r="I85">
        <f>IFERROR(__xludf.DUMMYFUNCTION("""COMPUTED_VALUE"""),0.0)</f>
        <v>0</v>
      </c>
      <c r="J85">
        <f>IFERROR(__xludf.DUMMYFUNCTION("""COMPUTED_VALUE"""),1.0)</f>
        <v>1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IFERROR(__xludf.DUMMYFUNCTION("""COMPUTED_VALUE"""),1.0)</f>
        <v>1</v>
      </c>
      <c r="C86">
        <f>IFERROR(__xludf.DUMMYFUNCTION("""COMPUTED_VALUE"""),8.0)</f>
        <v>8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IFERROR(__xludf.DUMMYFUNCTION("""COMPUTED_VALUE"""),1.0)</f>
        <v>1</v>
      </c>
      <c r="I86">
        <f>IFERROR(__xludf.DUMMYFUNCTION("""COMPUTED_VALUE"""),0.0)</f>
        <v>0</v>
      </c>
      <c r="J86">
        <f>IFERROR(__xludf.DUMMYFUNCTION("""COMPUTED_VALUE"""),4.0)</f>
        <v>4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IFERROR(__xludf.DUMMYFUNCTION("""COMPUTED_VALUE"""),2.0)</f>
        <v>2</v>
      </c>
      <c r="I87">
        <f>IFERROR(__xludf.DUMMYFUNCTION("""COMPUTED_VALUE"""),0.0)</f>
        <v>0</v>
      </c>
      <c r="J87">
        <f>IFERROR(__xludf.DUMMYFUNCTION("""COMPUTED_VALUE"""),1.0)</f>
        <v>1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IFERROR(__xludf.DUMMYFUNCTION("""COMPUTED_VALUE"""),10.0)</f>
        <v>10</v>
      </c>
      <c r="C88">
        <f>IFERROR(__xludf.DUMMYFUNCTION("""COMPUTED_VALUE"""),95.0)</f>
        <v>95</v>
      </c>
      <c r="D88">
        <f>IFERROR(__xludf.DUMMYFUNCTION("""COMPUTED_VALUE"""),0.0)</f>
        <v>0</v>
      </c>
      <c r="E88">
        <f>IFERROR(__xludf.DUMMYFUNCTION("""COMPUTED_VALUE"""),15.0)</f>
        <v>15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IFERROR(__xludf.DUMMYFUNCTION("""COMPUTED_VALUE"""),15.0)</f>
        <v>15</v>
      </c>
      <c r="I88">
        <f>IFERROR(__xludf.DUMMYFUNCTION("""COMPUTED_VALUE"""),0.0)</f>
        <v>0</v>
      </c>
      <c r="J88">
        <f>IFERROR(__xludf.DUMMYFUNCTION("""COMPUTED_VALUE"""),50.0)</f>
        <v>50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1!W1"")"),"Question: 20")</f>
        <v>Question: 20</v>
      </c>
      <c r="B89" s="7" t="s">
        <v>146</v>
      </c>
    </row>
    <row r="90">
      <c r="A90" s="6"/>
    </row>
    <row r="91">
      <c r="A91" s="2" t="s">
        <v>1</v>
      </c>
      <c r="B91" t="str">
        <f>IFERROR(__xludf.DUMMYFUNCTION("{IMPORTRANGE(""15wOrdFuJAb1a4MoX5CG4apiBD2jUJ7mBu58Uk-8Mo7s"",""Round 1!C1:H3""),IMPORTRANGE(""15wOrdFuJAb1a4MoX5CG4apiBD2jUJ7mBu58Uk-8Mo7s"",""Round 1!M1:R3"")}"),"Team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1!I32""))"),"A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1!S32""))"),"B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1!C32:H36""),IMPORTRANGE(""15wOrdFuJAb1a4MoX5CG4apiBD2jUJ7mBu58Uk-8Mo7s"",""Round 1!M32:R36"")}"),20.0)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1!W1"")"),"Question: 1")</f>
        <v>Question: 1</v>
      </c>
      <c r="B99" s="7" t="s">
        <v>148</v>
      </c>
    </row>
    <row r="100">
      <c r="A100" s="6"/>
    </row>
    <row r="101">
      <c r="A101" s="2" t="s">
        <v>1</v>
      </c>
      <c r="B101" t="str">
        <f>IFERROR(__xludf.DUMMYFUNCTION("{IMPORTRANGE(""1GfJqS1rsy-VutTmPVnm9E2VdinIG-GnQO5b3bhaiX1s"",""Round 1!C1:H3""),IMPORTRANGE(""1GfJqS1rsy-VutTmPVnm9E2VdinIG-GnQO5b3bhaiX1s"",""Round 1!M1:R3"")}"),"Team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1!I32""))"),"A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1!S32""))"),"B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1!C32:H36""),IMPORTRANGE(""1GfJqS1rsy-VutTmPVnm9E2VdinIG-GnQO5b3bhaiX1s"",""Round 1!M32:R36"")}"),20.0)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1!W1"")"),"Question: 1")</f>
        <v>Question: 1</v>
      </c>
      <c r="B109" s="7" t="s">
        <v>150</v>
      </c>
    </row>
    <row r="110">
      <c r="A110" s="6"/>
    </row>
    <row r="111">
      <c r="A111" s="2" t="s">
        <v>151</v>
      </c>
      <c r="B111" t="str">
        <f>IFERROR(__xludf.DUMMYFUNCTION("{IMPORTRANGE(""17CLUEFflDBSa8dyH5vsXfHme4RV8IhzD-mxe9_c9I5k"",""Round 1!C1:H3""),IMPORTRANGE(""17CLUEFflDBSa8dyH5vsXfHme4RV8IhzD-mxe9_c9I5k"",""Round 1!M1:R3"")}"),"Canyon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IFERROR(__xludf.DUMMYFUNCTION("""COMPUTED_VALUE"""),"Westview A (V)")</f>
        <v>Westview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1!I32""))"),"A BP: 130")</f>
        <v>A BP: 130</v>
      </c>
      <c r="B112" t="str">
        <f>IFERROR(__xludf.DUMMYFUNCTION("""COMPUTED_VALUE"""),"Score: 215")</f>
        <v>Score: 215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445")</f>
        <v>Score: 445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1!S32""))"),"B BP: 290")</f>
        <v>B BP: 290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IFERROR(__xludf.DUMMYFUNCTION("""COMPUTED_VALUE"""),"Shahar Schwartz (12)")</f>
        <v>Shahar Schwartz (12)</v>
      </c>
      <c r="I113" t="str">
        <f>IFERROR(__xludf.DUMMYFUNCTION("""COMPUTED_VALUE"""),"Junu Song (12)")</f>
        <v>Junu Song (12)</v>
      </c>
      <c r="J113" t="str">
        <f>IFERROR(__xludf.DUMMYFUNCTION("""COMPUTED_VALUE"""),"Daniel Jung (12)")</f>
        <v>Daniel Jung (12)</v>
      </c>
      <c r="K113" t="str">
        <f>IFERROR(__xludf.DUMMYFUNCTION("""COMPUTED_VALUE"""),"Gary Lin (11)")</f>
        <v>Gary Lin (11)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1!C32:H36""),IMPORTRANGE(""17CLUEFflDBSa8dyH5vsXfHme4RV8IhzD-mxe9_c9I5k"",""Round 1!M32:R36"")}"),20.0)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IFERROR(__xludf.DUMMYFUNCTION("""COMPUTED_VALUE"""),2.0)</f>
        <v>2</v>
      </c>
      <c r="C115">
        <f>IFERROR(__xludf.DUMMYFUNCTION("""COMPUTED_VALUE"""),1.0)</f>
        <v>1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IFERROR(__xludf.DUMMYFUNCTION("""COMPUTED_VALUE"""),8.0)</f>
        <v>8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IFERROR(__xludf.DUMMYFUNCTION("""COMPUTED_VALUE"""),1.0)</f>
        <v>1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IFERROR(__xludf.DUMMYFUNCTION("""COMPUTED_VALUE"""),3.0)</f>
        <v>3</v>
      </c>
      <c r="C116">
        <f>IFERROR(__xludf.DUMMYFUNCTION("""COMPUTED_VALUE"""),2.0)</f>
        <v>2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IFERROR(__xludf.DUMMYFUNCTION("""COMPUTED_VALUE"""),2.0)</f>
        <v>2</v>
      </c>
      <c r="I116">
        <f>IFERROR(__xludf.DUMMYFUNCTION("""COMPUTED_VALUE"""),1.0)</f>
        <v>1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IFERROR(__xludf.DUMMYFUNCTION("""COMPUTED_VALUE"""),2.0)</f>
        <v>2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IFERROR(__xludf.DUMMYFUNCTION("""COMPUTED_VALUE"""),1.0)</f>
        <v>1</v>
      </c>
      <c r="I117">
        <f>IFERROR(__xludf.DUMMYFUNCTION("""COMPUTED_VALUE"""),1.0)</f>
        <v>1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IFERROR(__xludf.DUMMYFUNCTION("""COMPUTED_VALUE"""),50.0)</f>
        <v>50</v>
      </c>
      <c r="C118">
        <f>IFERROR(__xludf.DUMMYFUNCTION("""COMPUTED_VALUE"""),35.0)</f>
        <v>35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IFERROR(__xludf.DUMMYFUNCTION("""COMPUTED_VALUE"""),135.0)</f>
        <v>135</v>
      </c>
      <c r="I118">
        <f>IFERROR(__xludf.DUMMYFUNCTION("""COMPUTED_VALUE"""),5.0)</f>
        <v>5</v>
      </c>
      <c r="J118">
        <f>IFERROR(__xludf.DUMMYFUNCTION("""COMPUTED_VALUE"""),0.0)</f>
        <v>0</v>
      </c>
      <c r="K118">
        <f>IFERROR(__xludf.DUMMYFUNCTION("""COMPUTED_VALUE"""),15.0)</f>
        <v>15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1!W1"")"),"Question: 21")</f>
        <v>Question: 21</v>
      </c>
      <c r="B119" s="7" t="s">
        <v>152</v>
      </c>
    </row>
    <row r="120">
      <c r="A120" s="6"/>
    </row>
    <row r="121">
      <c r="A121" s="2" t="s">
        <v>153</v>
      </c>
      <c r="B121" t="str">
        <f>IFERROR(__xludf.DUMMYFUNCTION("{IMPORTRANGE(""1Knt8XDGFY_MP2OzeadT1pDENTLOdk9Ab_Rd9IdW0kzc"",""Round 1!C1:H3""),IMPORTRANGE(""1Knt8XDGFY_MP2OzeadT1pDENTLOdk9Ab_Rd9IdW0kzc"",""Round 1!M1:R3"")}"),"Arcadia (V)")</f>
        <v>Arcadia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IFERROR(__xludf.DUMMYFUNCTION("""COMPUTED_VALUE"""),"Canyon Crest A (V)")</f>
        <v>Canyon Crest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1!I32""))"),"A BP: 210")</f>
        <v>A BP: 210</v>
      </c>
      <c r="B122" t="str">
        <f>IFERROR(__xludf.DUMMYFUNCTION("""COMPUTED_VALUE"""),"Score: 305")</f>
        <v>Score: 305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375")</f>
        <v>Score: 375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1!S32""))"),"B BP: 250")</f>
        <v>B BP: 250</v>
      </c>
      <c r="B123" t="str">
        <f>IFERROR(__xludf.DUMMYFUNCTION("""COMPUTED_VALUE"""),"Amogh Kulkarni (10)")</f>
        <v>Amogh Kulkarni (10)</v>
      </c>
      <c r="C123" t="str">
        <f>IFERROR(__xludf.DUMMYFUNCTION("""COMPUTED_VALUE"""),"Spencer Cheng (12)")</f>
        <v>Spencer Cheng (12)</v>
      </c>
      <c r="D123" t="str">
        <f>IFERROR(__xludf.DUMMYFUNCTION("""COMPUTED_VALUE"""),"Ryan Sun (10)")</f>
        <v>Ryan Sun (10)</v>
      </c>
      <c r="E123" t="str">
        <f>IFERROR(__xludf.DUMMYFUNCTION("""COMPUTED_VALUE"""),"Michael Kwok (10)")</f>
        <v>Michael Kwok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IFERROR(__xludf.DUMMYFUNCTION("""COMPUTED_VALUE"""),"Raymond Song (12)")</f>
        <v>Raymond Song (12)</v>
      </c>
      <c r="I123" t="str">
        <f>IFERROR(__xludf.DUMMYFUNCTION("""COMPUTED_VALUE"""),"Wesley Zhang (12)")</f>
        <v>Wesley Zhang (12)</v>
      </c>
      <c r="J123" t="str">
        <f>IFERROR(__xludf.DUMMYFUNCTION("""COMPUTED_VALUE"""),"Leo Gu (10)")</f>
        <v>Leo Gu (10)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1!C32:H36""),IMPORTRANGE(""1Knt8XDGFY_MP2OzeadT1pDENTLOdk9Ab_Rd9IdW0kzc"",""Round 1!M32:R36"")}"),20.0)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IFERROR(__xludf.DUMMYFUNCTION("""COMPUTED_VALUE"""),3.0)</f>
        <v>3</v>
      </c>
      <c r="C125">
        <f>IFERROR(__xludf.DUMMYFUNCTION("""COMPUTED_VALUE"""),0.0)</f>
        <v>0</v>
      </c>
      <c r="D125">
        <f>IFERROR(__xludf.DUMMYFUNCTION("""COMPUTED_VALUE"""),1.0)</f>
        <v>1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IFERROR(__xludf.DUMMYFUNCTION("""COMPUTED_VALUE"""),4.0)</f>
        <v>4</v>
      </c>
      <c r="I125">
        <f>IFERROR(__xludf.DUMMYFUNCTION("""COMPUTED_VALUE"""),2.0)</f>
        <v>2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IFERROR(__xludf.DUMMYFUNCTION("""COMPUTED_VALUE"""),3.0)</f>
        <v>3</v>
      </c>
      <c r="C126">
        <f>IFERROR(__xludf.DUMMYFUNCTION("""COMPUTED_VALUE"""),2.0)</f>
        <v>2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IFERROR(__xludf.DUMMYFUNCTION("""COMPUTED_VALUE"""),2.0)</f>
        <v>2</v>
      </c>
      <c r="I126">
        <f>IFERROR(__xludf.DUMMYFUNCTION("""COMPUTED_VALUE"""),2.0)</f>
        <v>2</v>
      </c>
      <c r="J126">
        <f>IFERROR(__xludf.DUMMYFUNCTION("""COMPUTED_VALUE"""),1.0)</f>
        <v>1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IFERROR(__xludf.DUMMYFUNCTION("""COMPUTED_VALUE"""),2.0)</f>
        <v>2</v>
      </c>
      <c r="C127">
        <f>IFERROR(__xludf.DUMMYFUNCTION("""COMPUTED_VALUE"""),0.0)</f>
        <v>0</v>
      </c>
      <c r="D127">
        <f>IFERROR(__xludf.DUMMYFUNCTION("""COMPUTED_VALUE"""),1.0)</f>
        <v>1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IFERROR(__xludf.DUMMYFUNCTION("""COMPUTED_VALUE"""),3.0)</f>
        <v>3</v>
      </c>
      <c r="I127">
        <f>IFERROR(__xludf.DUMMYFUNCTION("""COMPUTED_VALUE"""),0.0)</f>
        <v>0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IFERROR(__xludf.DUMMYFUNCTION("""COMPUTED_VALUE"""),65.0)</f>
        <v>65</v>
      </c>
      <c r="C128">
        <f>IFERROR(__xludf.DUMMYFUNCTION("""COMPUTED_VALUE"""),20.0)</f>
        <v>20</v>
      </c>
      <c r="D128">
        <f>IFERROR(__xludf.DUMMYFUNCTION("""COMPUTED_VALUE"""),10.0)</f>
        <v>10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IFERROR(__xludf.DUMMYFUNCTION("""COMPUTED_VALUE"""),65.0)</f>
        <v>65</v>
      </c>
      <c r="I128">
        <f>IFERROR(__xludf.DUMMYFUNCTION("""COMPUTED_VALUE"""),50.0)</f>
        <v>50</v>
      </c>
      <c r="J128">
        <f>IFERROR(__xludf.DUMMYFUNCTION("""COMPUTED_VALUE"""),10.0)</f>
        <v>10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1!W1"")"),"Question: 21")</f>
        <v>Question: 21</v>
      </c>
      <c r="B129" s="7" t="s">
        <v>154</v>
      </c>
    </row>
    <row r="130">
      <c r="A130" s="6"/>
    </row>
    <row r="131">
      <c r="A131" s="2" t="s">
        <v>155</v>
      </c>
      <c r="B131" t="str">
        <f>IFERROR(__xludf.DUMMYFUNCTION("{IMPORTRANGE(""16i4gsLDaJasgGgtJt27HweoboYNaal3qpX3MtxIR2f0"",""Round 1!C1:H3""),IMPORTRANGE(""16i4gsLDaJasgGgtJt27HweoboYNaal3qpX3MtxIR2f0"",""Round 1!M1:R3"")}"),"Canyon Crest C (V)")</f>
        <v>Canyon Crest C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IFERROR(__xludf.DUMMYFUNCTION("""COMPUTED_VALUE"""),"Santa Monica A (V)")</f>
        <v>Santa Monica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1!I32""))"),"A BP: 70")</f>
        <v>A BP: 70</v>
      </c>
      <c r="B132" t="str">
        <f>IFERROR(__xludf.DUMMYFUNCTION("""COMPUTED_VALUE"""),"Score: 120")</f>
        <v>Score: 120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330")</f>
        <v>Score: 330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1!S32""))"),"B BP: 200")</f>
        <v>B BP: 200</v>
      </c>
      <c r="B133" t="str">
        <f>IFERROR(__xludf.DUMMYFUNCTION("""COMPUTED_VALUE"""),"Paul Mola (11)")</f>
        <v>Paul Mola (11)</v>
      </c>
      <c r="C133" t="str">
        <f>IFERROR(__xludf.DUMMYFUNCTION("""COMPUTED_VALUE"""),"James Wright (11)")</f>
        <v>James Wright (11)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IFERROR(__xludf.DUMMYFUNCTION("""COMPUTED_VALUE"""),"Josh Xu (11)")</f>
        <v>Josh Xu (11)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1!C32:H36""),IMPORTRANGE(""16i4gsLDaJasgGgtJt27HweoboYNaal3qpX3MtxIR2f0"",""Round 1!M32:R36"")}"),20.0)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IFERROR(__xludf.DUMMYFUNCTION("""COMPUTED_VALUE"""),1.0)</f>
        <v>1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IFERROR(__xludf.DUMMYFUNCTION("""COMPUTED_VALUE"""),2.0)</f>
        <v>2</v>
      </c>
      <c r="C136">
        <f>IFERROR(__xludf.DUMMYFUNCTION("""COMPUTED_VALUE"""),3.0)</f>
        <v>3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IFERROR(__xludf.DUMMYFUNCTION("""COMPUTED_VALUE"""),13.0)</f>
        <v>13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IFERROR(__xludf.DUMMYFUNCTION("""COMPUTED_VALUE"""),3.0)</f>
        <v>3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IFERROR(__xludf.DUMMYFUNCTION("""COMPUTED_VALUE"""),20.0)</f>
        <v>20</v>
      </c>
      <c r="C138">
        <f>IFERROR(__xludf.DUMMYFUNCTION("""COMPUTED_VALUE"""),30.0)</f>
        <v>30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IFERROR(__xludf.DUMMYFUNCTION("""COMPUTED_VALUE"""),130.0)</f>
        <v>130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1!W1"")"),"Question: 21")</f>
        <v>Question: 21</v>
      </c>
      <c r="B139" s="7" t="s">
        <v>156</v>
      </c>
    </row>
    <row r="140">
      <c r="A140" s="6"/>
    </row>
    <row r="141">
      <c r="A141" s="2" t="s">
        <v>157</v>
      </c>
      <c r="B141" t="str">
        <f>IFERROR(__xludf.DUMMYFUNCTION("{IMPORTRANGE(""1KRyI2c190uhOTF270Hsdzh1rgG565QIaE9TymteaGNY"",""Round 1!C1:H3""),IMPORTRANGE(""1KRyI2c190uhOTF270Hsdzh1rgG565QIaE9TymteaGNY"",""Round 1!M1:R3"")}"),"Scripps Ranch A (V)")</f>
        <v>Scripps Ranch 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IFERROR(__xludf.DUMMYFUNCTION("""COMPUTED_VALUE"""),"Westview B (V)")</f>
        <v>Westview B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1!I32""))"),"A BP: 150")</f>
        <v>A BP: 150</v>
      </c>
      <c r="B142" t="str">
        <f>IFERROR(__xludf.DUMMYFUNCTION("""COMPUTED_VALUE"""),"Score: 235")</f>
        <v>Score: 235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225")</f>
        <v>Score: 225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1!S32""))"),"B BP: 120")</f>
        <v>B BP: 120</v>
      </c>
      <c r="B143" t="str">
        <f>IFERROR(__xludf.DUMMYFUNCTION("""COMPUTED_VALUE"""),"Albert Gu (12)")</f>
        <v>Albert Gu (12)</v>
      </c>
      <c r="C143" t="str">
        <f>IFERROR(__xludf.DUMMYFUNCTION("""COMPUTED_VALUE"""),"Jeremy Ngo (12)")</f>
        <v>Jeremy Ngo (12)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IFERROR(__xludf.DUMMYFUNCTION("""COMPUTED_VALUE"""),"Nicholas Dai (11)")</f>
        <v>Nicholas Dai (11)</v>
      </c>
      <c r="I143" t="str">
        <f>IFERROR(__xludf.DUMMYFUNCTION("""COMPUTED_VALUE"""),"Pramod Shastry (9)")</f>
        <v>Pramod Shastry (9)</v>
      </c>
      <c r="J143" t="str">
        <f>IFERROR(__xludf.DUMMYFUNCTION("""COMPUTED_VALUE"""),"Richard Lin (9)")</f>
        <v>Richard Lin (9)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1!C32:H36""),IMPORTRANGE(""1KRyI2c190uhOTF270Hsdzh1rgG565QIaE9TymteaGNY"",""Round 1!M32:R36"")}"),20.0)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IFERROR(__xludf.DUMMYFUNCTION("""COMPUTED_VALUE"""),1.0)</f>
        <v>1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IFERROR(__xludf.DUMMYFUNCTION("""COMPUTED_VALUE"""),1.0)</f>
        <v>1</v>
      </c>
      <c r="J145">
        <f>IFERROR(__xludf.DUMMYFUNCTION("""COMPUTED_VALUE"""),1.0)</f>
        <v>1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IFERROR(__xludf.DUMMYFUNCTION("""COMPUTED_VALUE"""),5.0)</f>
        <v>5</v>
      </c>
      <c r="C146">
        <f>IFERROR(__xludf.DUMMYFUNCTION("""COMPUTED_VALUE"""),3.0)</f>
        <v>3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IFERROR(__xludf.DUMMYFUNCTION("""COMPUTED_VALUE"""),4.0)</f>
        <v>4</v>
      </c>
      <c r="I146">
        <f>IFERROR(__xludf.DUMMYFUNCTION("""COMPUTED_VALUE"""),2.0)</f>
        <v>2</v>
      </c>
      <c r="J146">
        <f>IFERROR(__xludf.DUMMYFUNCTION("""COMPUTED_VALUE"""),3.0)</f>
        <v>3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IFERROR(__xludf.DUMMYFUNCTION("""COMPUTED_VALUE"""),2.0)</f>
        <v>2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IFERROR(__xludf.DUMMYFUNCTION("""COMPUTED_VALUE"""),3.0)</f>
        <v>3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IFERROR(__xludf.DUMMYFUNCTION("""COMPUTED_VALUE"""),55.0)</f>
        <v>55</v>
      </c>
      <c r="C148">
        <f>IFERROR(__xludf.DUMMYFUNCTION("""COMPUTED_VALUE"""),30.0)</f>
        <v>30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IFERROR(__xludf.DUMMYFUNCTION("""COMPUTED_VALUE"""),40.0)</f>
        <v>40</v>
      </c>
      <c r="I148">
        <f>IFERROR(__xludf.DUMMYFUNCTION("""COMPUTED_VALUE"""),20.0)</f>
        <v>20</v>
      </c>
      <c r="J148">
        <f>IFERROR(__xludf.DUMMYFUNCTION("""COMPUTED_VALUE"""),45.0)</f>
        <v>45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1!W1"")"),"Question: 21")</f>
        <v>Question: 21</v>
      </c>
      <c r="B149" s="7" t="s">
        <v>158</v>
      </c>
    </row>
    <row r="150">
      <c r="A150" s="2"/>
    </row>
    <row r="151">
      <c r="A151" s="2" t="s">
        <v>159</v>
      </c>
      <c r="B151" t="str">
        <f>IFERROR(__xludf.DUMMYFUNCTION("{IMPORTRANGE(""1zr0uYCpJ5izByVOUCsr6JXezthGEdLXnwOrjIKGx5XI"",""Round 1!C1:H3""),IMPORTRANGE(""1zr0uYCpJ5izByVOUCsr6JXezthGEdLXnwOrjIKGx5XI"",""Round 1!M1:R3"")}"),"Cathedral Catholic (V)")</f>
        <v>Cathedral Catholic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IFERROR(__xludf.DUMMYFUNCTION("""COMPUTED_VALUE"""),"La Jolla (V)")</f>
        <v>La Jolla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1!I32""))"),"A BP: 40")</f>
        <v>A BP: 40</v>
      </c>
      <c r="B152" t="str">
        <f>IFERROR(__xludf.DUMMYFUNCTION("""COMPUTED_VALUE"""),"Score: 70")</f>
        <v>Score: 70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260")</f>
        <v>Score: 260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1!S32""))"),"B BP: 130")</f>
        <v>B BP: 130</v>
      </c>
      <c r="B153" t="str">
        <f>IFERROR(__xludf.DUMMYFUNCTION("""COMPUTED_VALUE"""),"Jacob Titcomb (11)")</f>
        <v>Jacob Titcomb (11)</v>
      </c>
      <c r="C153" t="str">
        <f>IFERROR(__xludf.DUMMYFUNCTION("""COMPUTED_VALUE"""),"Ryan Shakiba (10)")</f>
        <v>Ryan Shakiba (10)</v>
      </c>
      <c r="D153" t="str">
        <f>IFERROR(__xludf.DUMMYFUNCTION("""COMPUTED_VALUE"""),"Mikayla Nang (11)")</f>
        <v>Mikayla Nang (11)</v>
      </c>
      <c r="E153" t="str">
        <f>IFERROR(__xludf.DUMMYFUNCTION("""COMPUTED_VALUE"""),"Sinead Archdeacon (10)")</f>
        <v>Sinead Archdeacon (10)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IFERROR(__xludf.DUMMYFUNCTION("""COMPUTED_VALUE"""),"Caleb Cruz (11)")</f>
        <v>Caleb Cruz (11)</v>
      </c>
      <c r="I153" t="str">
        <f>IFERROR(__xludf.DUMMYFUNCTION("""COMPUTED_VALUE"""),"Kevin Park (11)")</f>
        <v>Kevin Park (11)</v>
      </c>
      <c r="J153" t="str">
        <f>IFERROR(__xludf.DUMMYFUNCTION("""COMPUTED_VALUE"""),"Richard Chao (11)")</f>
        <v>Richard Chao (11)</v>
      </c>
      <c r="K153" t="str">
        <f>IFERROR(__xludf.DUMMYFUNCTION("""COMPUTED_VALUE"""),"David Smith (11)")</f>
        <v>David Smith (11)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1!C32:H36""),IMPORTRANGE(""1zr0uYCpJ5izByVOUCsr6JXezthGEdLXnwOrjIKGx5XI"",""Round 1!M32:R36"")}"),20.0)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IFERROR(__xludf.DUMMYFUNCTION("""COMPUTED_VALUE"""),0.0)</f>
        <v>0</v>
      </c>
      <c r="C155">
        <f>IFERROR(__xludf.DUMMYFUNCTION("""COMPUTED_VALUE"""),1.0)</f>
        <v>1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IFERROR(__xludf.DUMMYFUNCTION("""COMPUTED_VALUE"""),1.0)</f>
        <v>1</v>
      </c>
      <c r="J155">
        <f>IFERROR(__xludf.DUMMYFUNCTION("""COMPUTED_VALUE"""),1.0)</f>
        <v>1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IFERROR(__xludf.DUMMYFUNCTION("""COMPUTED_VALUE"""),1.0)</f>
        <v>1</v>
      </c>
      <c r="C156">
        <f>IFERROR(__xludf.DUMMYFUNCTION("""COMPUTED_VALUE"""),1.0)</f>
        <v>1</v>
      </c>
      <c r="D156">
        <f>IFERROR(__xludf.DUMMYFUNCTION("""COMPUTED_VALUE"""),0.0)</f>
        <v>0</v>
      </c>
      <c r="E156">
        <f>IFERROR(__xludf.DUMMYFUNCTION("""COMPUTED_VALUE"""),1.0)</f>
        <v>1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IFERROR(__xludf.DUMMYFUNCTION("""COMPUTED_VALUE"""),2.0)</f>
        <v>2</v>
      </c>
      <c r="I156">
        <f>IFERROR(__xludf.DUMMYFUNCTION("""COMPUTED_VALUE"""),6.0)</f>
        <v>6</v>
      </c>
      <c r="J156">
        <f>IFERROR(__xludf.DUMMYFUNCTION("""COMPUTED_VALUE"""),3.0)</f>
        <v>3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IFERROR(__xludf.DUMMYFUNCTION("""COMPUTED_VALUE"""),0.0)</f>
        <v>0</v>
      </c>
      <c r="C157">
        <f>IFERROR(__xludf.DUMMYFUNCTION("""COMPUTED_VALUE"""),3.0)</f>
        <v>3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IFERROR(__xludf.DUMMYFUNCTION("""COMPUTED_VALUE"""),2.0)</f>
        <v>2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IFERROR(__xludf.DUMMYFUNCTION("""COMPUTED_VALUE"""),10.0)</f>
        <v>10</v>
      </c>
      <c r="C158">
        <f>IFERROR(__xludf.DUMMYFUNCTION("""COMPUTED_VALUE"""),10.0)</f>
        <v>10</v>
      </c>
      <c r="D158">
        <f>IFERROR(__xludf.DUMMYFUNCTION("""COMPUTED_VALUE"""),0.0)</f>
        <v>0</v>
      </c>
      <c r="E158">
        <f>IFERROR(__xludf.DUMMYFUNCTION("""COMPUTED_VALUE"""),10.0)</f>
        <v>10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IFERROR(__xludf.DUMMYFUNCTION("""COMPUTED_VALUE"""),20.0)</f>
        <v>20</v>
      </c>
      <c r="I158">
        <f>IFERROR(__xludf.DUMMYFUNCTION("""COMPUTED_VALUE"""),65.0)</f>
        <v>65</v>
      </c>
      <c r="J158">
        <f>IFERROR(__xludf.DUMMYFUNCTION("""COMPUTED_VALUE"""),45.0)</f>
        <v>45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1!W1"")"),"Question: 21")</f>
        <v>Question: 21</v>
      </c>
      <c r="B159" s="7" t="s">
        <v>160</v>
      </c>
    </row>
    <row r="160">
      <c r="A160" s="2"/>
    </row>
    <row r="161">
      <c r="A161" s="2" t="s">
        <v>161</v>
      </c>
      <c r="B161" t="str">
        <f>IFERROR(__xludf.DUMMYFUNCTION("{IMPORTRANGE(""1TVrjNI5RE1VozIr906BhaTKMFP0VPx8aUGpyt_loukE"",""Round 1!C1:H3""),IMPORTRANGE(""1TVrjNI5RE1VozIr906BhaTKMFP0VPx8aUGpyt_loukE"",""Round 1!M1:R3"")}"),"Santa Monica B (V)")</f>
        <v>Santa Monica B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IFERROR(__xludf.DUMMYFUNCTION("""COMPUTED_VALUE"""),"Troy A (V)")</f>
        <v>Troy A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1!I32""))"),"A BP: 120")</f>
        <v>A BP: 120</v>
      </c>
      <c r="B162" t="str">
        <f>IFERROR(__xludf.DUMMYFUNCTION("""COMPUTED_VALUE"""),"Score: 215")</f>
        <v>Score: 215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150")</f>
        <v>Score: 150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1!S32""))"),"B BP: 100")</f>
        <v>B BP: 100</v>
      </c>
      <c r="B163" t="str">
        <f>IFERROR(__xludf.DUMMYFUNCTION("""COMPUTED_VALUE"""),"Kethan Raman (10)")</f>
        <v>Kethan Raman (10)</v>
      </c>
      <c r="C163" t="str">
        <f>IFERROR(__xludf.DUMMYFUNCTION("""COMPUTED_VALUE"""),"Ethan Hopkins (10)")</f>
        <v>Ethan Hopkins (10)</v>
      </c>
      <c r="D163" t="str">
        <f>IFERROR(__xludf.DUMMYFUNCTION("""COMPUTED_VALUE"""),"Jacob Cohen (10)")</f>
        <v>Jacob Cohen (10)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IFERROR(__xludf.DUMMYFUNCTION("""COMPUTED_VALUE"""),"Luke Park (11)")</f>
        <v>Luke Park (11)</v>
      </c>
      <c r="I163" t="str">
        <f>IFERROR(__xludf.DUMMYFUNCTION("""COMPUTED_VALUE"""),"Tyler Kim (11)")</f>
        <v>Tyler Kim (11)</v>
      </c>
      <c r="J163" t="str">
        <f>IFERROR(__xludf.DUMMYFUNCTION("""COMPUTED_VALUE"""),"Henry Tang (10)")</f>
        <v>Henry Tang (10)</v>
      </c>
      <c r="K163" t="str">
        <f>IFERROR(__xludf.DUMMYFUNCTION("""COMPUTED_VALUE"""),"Daniel Shin (10)")</f>
        <v>Daniel Shin (10)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1!C32:H36""),IMPORTRANGE(""1TVrjNI5RE1VozIr906BhaTKMFP0VPx8aUGpyt_loukE"",""Round 1!M32:R36"")}"),20.0)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IFERROR(__xludf.DUMMYFUNCTION("""COMPUTED_VALUE"""),1.0)</f>
        <v>1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IFERROR(__xludf.DUMMYFUNCTION("""COMPUTED_VALUE"""),7.0)</f>
        <v>7</v>
      </c>
      <c r="C166">
        <f>IFERROR(__xludf.DUMMYFUNCTION("""COMPUTED_VALUE"""),1.0)</f>
        <v>1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IFERROR(__xludf.DUMMYFUNCTION("""COMPUTED_VALUE"""),3.0)</f>
        <v>3</v>
      </c>
      <c r="I166">
        <f>IFERROR(__xludf.DUMMYFUNCTION("""COMPUTED_VALUE"""),1.0)</f>
        <v>1</v>
      </c>
      <c r="J166">
        <f>IFERROR(__xludf.DUMMYFUNCTION("""COMPUTED_VALUE"""),2.0)</f>
        <v>2</v>
      </c>
      <c r="K166">
        <f>IFERROR(__xludf.DUMMYFUNCTION("""COMPUTED_VALUE"""),1.0)</f>
        <v>1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IFERROR(__xludf.DUMMYFUNCTION("""COMPUTED_VALUE"""),2.0)</f>
        <v>2</v>
      </c>
      <c r="J167">
        <f>IFERROR(__xludf.DUMMYFUNCTION("""COMPUTED_VALUE"""),0.0)</f>
        <v>0</v>
      </c>
      <c r="K167">
        <f>IFERROR(__xludf.DUMMYFUNCTION("""COMPUTED_VALUE"""),2.0)</f>
        <v>2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IFERROR(__xludf.DUMMYFUNCTION("""COMPUTED_VALUE"""),85.0)</f>
        <v>85</v>
      </c>
      <c r="C168">
        <f>IFERROR(__xludf.DUMMYFUNCTION("""COMPUTED_VALUE"""),10.0)</f>
        <v>10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IFERROR(__xludf.DUMMYFUNCTION("""COMPUTED_VALUE"""),30.0)</f>
        <v>30</v>
      </c>
      <c r="I168">
        <f>IFERROR(__xludf.DUMMYFUNCTION("""COMPUTED_VALUE"""),0.0)</f>
        <v>0</v>
      </c>
      <c r="J168">
        <f>IFERROR(__xludf.DUMMYFUNCTION("""COMPUTED_VALUE"""),20.0)</f>
        <v>20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1!W1"")"),"Question: 21")</f>
        <v>Question: 21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1!C1:H3""),IMPORTRANGE(""1xRz0po-ejgp-QRvMkY44z3u2CePgTccasdyrrVALbmE"",""Round 1!M1:R3"")}"),"Westview A (V)")</f>
        <v>Westview A (V)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IFERROR(__xludf.DUMMYFUNCTION("""COMPUTED_VALUE"""),"Westview A (V)")</f>
        <v>Westview A (V)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1!I32""))"),"A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1!S32""))"),"B BP: 0")</f>
        <v>B BP: 0</v>
      </c>
      <c r="B173" t="str">
        <f>IFERROR(__xludf.DUMMYFUNCTION("""COMPUTED_VALUE"""),"Daniel Jung (12)")</f>
        <v>Daniel Jung (12)</v>
      </c>
      <c r="C173" t="str">
        <f>IFERROR(__xludf.DUMMYFUNCTION("""COMPUTED_VALUE"""),"Junu Song (12)")</f>
        <v>Junu Song (12)</v>
      </c>
      <c r="D173" t="str">
        <f>IFERROR(__xludf.DUMMYFUNCTION("""COMPUTED_VALUE"""),"Shahar Schwartz (12)")</f>
        <v>Shahar Schwartz (12)</v>
      </c>
      <c r="E173" t="str">
        <f>IFERROR(__xludf.DUMMYFUNCTION("""COMPUTED_VALUE"""),"Gary Lin (11)")</f>
        <v>Gary Lin (11)</v>
      </c>
      <c r="F173" t="str">
        <f>IFERROR(__xludf.DUMMYFUNCTION("""COMPUTED_VALUE"""),"Player")</f>
        <v>Player</v>
      </c>
      <c r="G173" t="str">
        <f>IFERROR(__xludf.DUMMYFUNCTION("""COMPUTED_VALUE"""),"Player 6")</f>
        <v>Player 6</v>
      </c>
      <c r="H173" t="str">
        <f>IFERROR(__xludf.DUMMYFUNCTION("""COMPUTED_VALUE"""),"Daniel Jung (12)")</f>
        <v>Daniel Jung (12)</v>
      </c>
      <c r="I173" t="str">
        <f>IFERROR(__xludf.DUMMYFUNCTION("""COMPUTED_VALUE"""),"Gary Lin (11)")</f>
        <v>Gary Lin (11)</v>
      </c>
      <c r="J173" t="str">
        <f>IFERROR(__xludf.DUMMYFUNCTION("""COMPUTED_VALUE"""),"Shahar Schwartz (12)")</f>
        <v>Shahar Schwartz (12)</v>
      </c>
      <c r="K173" t="str">
        <f>IFERROR(__xludf.DUMMYFUNCTION("""COMPUTED_VALUE"""),"Junu Song (12)")</f>
        <v>Junu Song (12)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1!C32:H36""),IMPORTRANGE(""1xRz0po-ejgp-QRvMkY44z3u2CePgTccasdyrrVALbmE"",""Round 1!M32:R36"")}"),20.0)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1!W1"")"),"Question: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9!C1:H3""),IMPORTRANGE(""1JXwZ4AjXctyKvWy9qFKCX518NRYJYhSX9Jii0HPBCUs"",""Round 9!M1:R3"")}"),"Team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9!I32""))"),"A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9!S32""))"),"B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9!C32:H36""),IMPORTRANGE(""1JXwZ4AjXctyKvWy9qFKCX518NRYJYhSX9Jii0HPBCUs"",""Round 9!M32:R36"")}"),20.0)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9!W1"")"),"Question: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9!C1:H3""),IMPORTRANGE(""1GBDUn_ZojNLX5OJCVBEhvJbdm0c55Z7lPcE4L6WH89o"",""Round 9!M1:R3"")}"),"Team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9!I32""))"),"A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9!S32""))"),"B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9!C32:H36""),IMPORTRANGE(""1GBDUn_ZojNLX5OJCVBEhvJbdm0c55Z7lPcE4L6WH89o"",""Round 9!M32:R36"")}"),20.0)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9!W1"")"),"Question: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9!C1:H3""),IMPORTRANGE(""19Dum1qlL_dEwf1AEniLf02Eg9XaNXi1GMkI5M4_Ei6w"",""Round 9!M1:R3"")}"),"Team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9!I32""))"),"A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9!S32""))"),"B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9!C32:H36""),IMPORTRANGE(""19Dum1qlL_dEwf1AEniLf02Eg9XaNXi1GMkI5M4_Ei6w"",""Round 9!M32:R36"")}"),20.0)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9!W1"")"),"Question: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9!C1:H3""),IMPORTRANGE(""18KjuM_F6goZYnozVb7folIb5Hw_mfKQrNdVWKGx6j4s"",""Round 9!M1:R3"")}"),"Oak Valley A (JV)")</f>
        <v>Oak Valley A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IFERROR(__xludf.DUMMYFUNCTION("""COMPUTED_VALUE"""),"La Serna A (JV)")</f>
        <v>La Serna A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9!I32""))"),"A BP: 370")</f>
        <v>A BP: 370</v>
      </c>
      <c r="B32" t="str">
        <f>IFERROR(__xludf.DUMMYFUNCTION("""COMPUTED_VALUE"""),"Score: 530")</f>
        <v>Score: 530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55")</f>
        <v>Score: 55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9!S32""))"),"B BP: 20")</f>
        <v>B BP: 20</v>
      </c>
      <c r="B33" t="str">
        <f>IFERROR(__xludf.DUMMYFUNCTION("""COMPUTED_VALUE"""),"Conner Feng (8)")</f>
        <v>Conner Feng (8)</v>
      </c>
      <c r="C33" t="str">
        <f>IFERROR(__xludf.DUMMYFUNCTION("""COMPUTED_VALUE"""),"Jadon Pandian (7)")</f>
        <v>Jadon Pandian (7)</v>
      </c>
      <c r="D33" t="str">
        <f>IFERROR(__xludf.DUMMYFUNCTION("""COMPUTED_VALUE"""),"Jonas Brown (7)")</f>
        <v>Jonas Brown (7)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IFERROR(__xludf.DUMMYFUNCTION("""COMPUTED_VALUE"""),"Jay Gamez (12)")</f>
        <v>Jay Gamez (12)</v>
      </c>
      <c r="I33" t="str">
        <f>IFERROR(__xludf.DUMMYFUNCTION("""COMPUTED_VALUE"""),"Ian Brennan (12)")</f>
        <v>Ian Brennan (12)</v>
      </c>
      <c r="J33" t="str">
        <f>IFERROR(__xludf.DUMMYFUNCTION("""COMPUTED_VALUE"""),"Cole Aedo (12)")</f>
        <v>Cole Aedo (12)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9!C32:H36""),IMPORTRANGE(""18KjuM_F6goZYnozVb7folIb5Hw_mfKQrNdVWKGx6j4s"",""Round 9!M32:R36"")}"),20.0)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IFERROR(__xludf.DUMMYFUNCTION("""COMPUTED_VALUE"""),1.0)</f>
        <v>1</v>
      </c>
      <c r="C35">
        <f>IFERROR(__xludf.DUMMYFUNCTION("""COMPUTED_VALUE"""),1.0)</f>
        <v>1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IFERROR(__xludf.DUMMYFUNCTION("""COMPUTED_VALUE"""),1.0)</f>
        <v>1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IFERROR(__xludf.DUMMYFUNCTION("""COMPUTED_VALUE"""),9.0)</f>
        <v>9</v>
      </c>
      <c r="C36">
        <f>IFERROR(__xludf.DUMMYFUNCTION("""COMPUTED_VALUE"""),2.0)</f>
        <v>2</v>
      </c>
      <c r="D36">
        <f>IFERROR(__xludf.DUMMYFUNCTION("""COMPUTED_VALUE"""),3.0)</f>
        <v>3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IFERROR(__xludf.DUMMYFUNCTION("""COMPUTED_VALUE"""),1.0)</f>
        <v>1</v>
      </c>
      <c r="J36">
        <f>IFERROR(__xludf.DUMMYFUNCTION("""COMPUTED_VALUE"""),1.0)</f>
        <v>1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IFERROR(__xludf.DUMMYFUNCTION("""COMPUTED_VALUE"""),1.0)</f>
        <v>1</v>
      </c>
      <c r="C37">
        <f>IFERROR(__xludf.DUMMYFUNCTION("""COMPUTED_VALUE"""),0.0)</f>
        <v>0</v>
      </c>
      <c r="D37">
        <f>IFERROR(__xludf.DUMMYFUNCTION("""COMPUTED_VALUE"""),1.0)</f>
        <v>1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IFERROR(__xludf.DUMMYFUNCTION("""COMPUTED_VALUE"""),100.0)</f>
        <v>100</v>
      </c>
      <c r="C38">
        <f>IFERROR(__xludf.DUMMYFUNCTION("""COMPUTED_VALUE"""),35.0)</f>
        <v>35</v>
      </c>
      <c r="D38">
        <f>IFERROR(__xludf.DUMMYFUNCTION("""COMPUTED_VALUE"""),25.0)</f>
        <v>25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IFERROR(__xludf.DUMMYFUNCTION("""COMPUTED_VALUE"""),10.0)</f>
        <v>10</v>
      </c>
      <c r="J38">
        <f>IFERROR(__xludf.DUMMYFUNCTION("""COMPUTED_VALUE"""),25.0)</f>
        <v>25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9!W1"")"),"Question: 21")</f>
        <v>Question: 21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9!C1:H3""),IMPORTRANGE(""1_YEY20HiFjspjicPICCMlL_lQXsksdB6d3m5vzHwuOI"",""Round 9!M1:R3"")}"),"Rancho Bernardo (JV)")</f>
        <v>Rancho Bernardo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A (JV)")</f>
        <v>Black Mountain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9!I32""))"),"A BP: 140")</f>
        <v>A BP: 140</v>
      </c>
      <c r="B42" t="str">
        <f>IFERROR(__xludf.DUMMYFUNCTION("""COMPUTED_VALUE"""),"Score: 230")</f>
        <v>Score: 230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225")</f>
        <v>Score: 225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9!S32""))"),"B BP: 150")</f>
        <v>B BP: 150</v>
      </c>
      <c r="B43" t="str">
        <f>IFERROR(__xludf.DUMMYFUNCTION("""COMPUTED_VALUE"""),"Sandy Tran (12)")</f>
        <v>Sandy Tran (12)</v>
      </c>
      <c r="C43" t="str">
        <f>IFERROR(__xludf.DUMMYFUNCTION("""COMPUTED_VALUE"""),"YungYi Sun (12)")</f>
        <v>YungYi Sun (12)</v>
      </c>
      <c r="D43" t="str">
        <f>IFERROR(__xludf.DUMMYFUNCTION("""COMPUTED_VALUE"""),"Katheryn Garrett (11)")</f>
        <v>Katheryn Garrett (11)</v>
      </c>
      <c r="E43" t="str">
        <f>IFERROR(__xludf.DUMMYFUNCTION("""COMPUTED_VALUE"""),"Patrick Joyce (11)")</f>
        <v>Patrick Joyce (11)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IFERROR(__xludf.DUMMYFUNCTION("""COMPUTED_VALUE"""),"Adarsh Venkateswaran (8)")</f>
        <v>Adarsh Venkateswaran (8)</v>
      </c>
      <c r="I43" t="str">
        <f>IFERROR(__xludf.DUMMYFUNCTION("""COMPUTED_VALUE"""),"Anvit Watwani (7)")</f>
        <v>Anvit Watwani (7)</v>
      </c>
      <c r="J43" t="str">
        <f>IFERROR(__xludf.DUMMYFUNCTION("""COMPUTED_VALUE"""),"Edwin Chang (8)")</f>
        <v>Edwin Chang (8)</v>
      </c>
      <c r="K43" t="str">
        <f>IFERROR(__xludf.DUMMYFUNCTION("""COMPUTED_VALUE"""),"Tanvi Bhide (7)")</f>
        <v>Tanvi Bhide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9!C32:H36""),IMPORTRANGE(""1_YEY20HiFjspjicPICCMlL_lQXsksdB6d3m5vzHwuOI"",""Round 9!M32:R36"")}"),20.0)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IFERROR(__xludf.DUMMYFUNCTION("""COMPUTED_VALUE"""),3.0)</f>
        <v>3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IFERROR(__xludf.DUMMYFUNCTION("""COMPUTED_VALUE"""),1.0)</f>
        <v>1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IFERROR(__xludf.DUMMYFUNCTION("""COMPUTED_VALUE"""),6.0)</f>
        <v>6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IFERROR(__xludf.DUMMYFUNCTION("""COMPUTED_VALUE"""),2.0)</f>
        <v>2</v>
      </c>
      <c r="I46">
        <f>IFERROR(__xludf.DUMMYFUNCTION("""COMPUTED_VALUE"""),1.0)</f>
        <v>1</v>
      </c>
      <c r="J46">
        <f>IFERROR(__xludf.DUMMYFUNCTION("""COMPUTED_VALUE"""),2.0)</f>
        <v>2</v>
      </c>
      <c r="K46">
        <f>IFERROR(__xludf.DUMMYFUNCTION("""COMPUTED_VALUE"""),1.0)</f>
        <v>1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IFERROR(__xludf.DUMMYFUNCTION("""COMPUTED_VALUE"""),3.0)</f>
        <v>3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IFERROR(__xludf.DUMMYFUNCTION("""COMPUTED_VALUE"""),90.0)</f>
        <v>90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IFERROR(__xludf.DUMMYFUNCTION("""COMPUTED_VALUE"""),20.0)</f>
        <v>20</v>
      </c>
      <c r="I48">
        <f>IFERROR(__xludf.DUMMYFUNCTION("""COMPUTED_VALUE"""),25.0)</f>
        <v>25</v>
      </c>
      <c r="J48">
        <f>IFERROR(__xludf.DUMMYFUNCTION("""COMPUTED_VALUE"""),20.0)</f>
        <v>20</v>
      </c>
      <c r="K48">
        <f>IFERROR(__xludf.DUMMYFUNCTION("""COMPUTED_VALUE"""),10.0)</f>
        <v>10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9!W1"")"),"Question: 21")</f>
        <v>Question: 21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9!C1:H3""),IMPORTRANGE(""1SYS5Ef48991ZUgqcGqj51eX2YgqKCzfrEZ_pUY01Lwo"",""Round 9!M1:R3"")}"),"Canyon Crest D (JV)")</f>
        <v>Canyon Crest D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IFERROR(__xludf.DUMMYFUNCTION("""COMPUTED_VALUE"""),"Oak Valley B (JV)")</f>
        <v>Oak Valley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9!I32""))"),"A BP: 150")</f>
        <v>A BP: 150</v>
      </c>
      <c r="B52" t="str">
        <f>IFERROR(__xludf.DUMMYFUNCTION("""COMPUTED_VALUE"""),"Score: 215")</f>
        <v>Score: 215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210")</f>
        <v>Score: 210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9!S32""))"),"B BP: 120")</f>
        <v>B BP: 120</v>
      </c>
      <c r="B53" t="str">
        <f>IFERROR(__xludf.DUMMYFUNCTION("""COMPUTED_VALUE"""),"Tompson Hsu (12)")</f>
        <v>Tompson Hsu (12)</v>
      </c>
      <c r="C53" t="str">
        <f>IFERROR(__xludf.DUMMYFUNCTION("""COMPUTED_VALUE"""),"Demitrius Hong (12)")</f>
        <v>Demitrius Hong (12)</v>
      </c>
      <c r="D53" t="str">
        <f>IFERROR(__xludf.DUMMYFUNCTION("""COMPUTED_VALUE"""),"Kyle Lu (12)")</f>
        <v>Kyle Lu (12)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IFERROR(__xludf.DUMMYFUNCTION("""COMPUTED_VALUE"""),"Rohan Gaikwad (8)")</f>
        <v>Rohan Gaikwad (8)</v>
      </c>
      <c r="I53" t="str">
        <f>IFERROR(__xludf.DUMMYFUNCTION("""COMPUTED_VALUE"""),"John Bruvold (8)")</f>
        <v>John Bruvold (8)</v>
      </c>
      <c r="J53" t="str">
        <f>IFERROR(__xludf.DUMMYFUNCTION("""COMPUTED_VALUE"""),"Amina Aslam-Mir (7)")</f>
        <v>Amina Aslam-Mir (7)</v>
      </c>
      <c r="K53" t="str">
        <f>IFERROR(__xludf.DUMMYFUNCTION("""COMPUTED_VALUE"""),"Ethan Huang (7)")</f>
        <v>Ethan Huang (7)</v>
      </c>
      <c r="L53" t="str">
        <f>IFERROR(__xludf.DUMMYFUNCTION("""COMPUTED_VALUE"""),"Aditi Bandaru (7)")</f>
        <v>Aditi Bandaru (7)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9!C32:H36""),IMPORTRANGE(""1SYS5Ef48991ZUgqcGqj51eX2YgqKCzfrEZ_pUY01Lwo"",""Round 9!M32:R36"")}"),20.0)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IFERROR(__xludf.DUMMYFUNCTION("""COMPUTED_VALUE"""),10.0)</f>
        <v>10</v>
      </c>
      <c r="L54">
        <f>IFERROR(__xludf.DUMMYFUNCTION("""COMPUTED_VALUE"""),10.0)</f>
        <v>10</v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IFERROR(__xludf.DUMMYFUNCTION("""COMPUTED_VALUE"""),2.0)</f>
        <v>2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IFERROR(__xludf.DUMMYFUNCTION("""COMPUTED_VALUE"""),4.0)</f>
        <v>4</v>
      </c>
      <c r="C56">
        <f>IFERROR(__xludf.DUMMYFUNCTION("""COMPUTED_VALUE"""),0.0)</f>
        <v>0</v>
      </c>
      <c r="D56">
        <f>IFERROR(__xludf.DUMMYFUNCTION("""COMPUTED_VALUE"""),1.0)</f>
        <v>1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IFERROR(__xludf.DUMMYFUNCTION("""COMPUTED_VALUE"""),5.0)</f>
        <v>5</v>
      </c>
      <c r="I56">
        <f>IFERROR(__xludf.DUMMYFUNCTION("""COMPUTED_VALUE"""),0.0)</f>
        <v>0</v>
      </c>
      <c r="J56">
        <f>IFERROR(__xludf.DUMMYFUNCTION("""COMPUTED_VALUE"""),3.0)</f>
        <v>3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IFERROR(__xludf.DUMMYFUNCTION("""COMPUTED_VALUE"""),2.0)</f>
        <v>2</v>
      </c>
      <c r="C57">
        <f>IFERROR(__xludf.DUMMYFUNCTION("""COMPUTED_VALUE"""),1.0)</f>
        <v>1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IFERROR(__xludf.DUMMYFUNCTION("""COMPUTED_VALUE"""),1.0)</f>
        <v>1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IFERROR(__xludf.DUMMYFUNCTION("""COMPUTED_VALUE"""),60.0)</f>
        <v>60</v>
      </c>
      <c r="C58">
        <f>IFERROR(__xludf.DUMMYFUNCTION("""COMPUTED_VALUE"""),-5.0)</f>
        <v>-5</v>
      </c>
      <c r="D58">
        <f>IFERROR(__xludf.DUMMYFUNCTION("""COMPUTED_VALUE"""),10.0)</f>
        <v>10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IFERROR(__xludf.DUMMYFUNCTION("""COMPUTED_VALUE"""),60.0)</f>
        <v>60</v>
      </c>
      <c r="I58">
        <f>IFERROR(__xludf.DUMMYFUNCTION("""COMPUTED_VALUE"""),0.0)</f>
        <v>0</v>
      </c>
      <c r="J58">
        <f>IFERROR(__xludf.DUMMYFUNCTION("""COMPUTED_VALUE"""),30.0)</f>
        <v>30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9!W1"")"),"Question: 21")</f>
        <v>Question: 21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9!C1:H3""),IMPORTRANGE(""1UJlRLlhI2Hg_SAQqQOg0JGdwHhiagF7EVAtCX8UOYFc"",""Round 9!M1:R3"")}"),"Scripps Ranch B (JV)")</f>
        <v>Scripps Ranch B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IFERROR(__xludf.DUMMYFUNCTION("""COMPUTED_VALUE"""),"Westview C (JV)")</f>
        <v>Westview C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9!I32""))"),"A BP: 70")</f>
        <v>A BP: 70</v>
      </c>
      <c r="B62" t="str">
        <f>IFERROR(__xludf.DUMMYFUNCTION("""COMPUTED_VALUE"""),"Score: 115")</f>
        <v>Score: 115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260")</f>
        <v>Score: 260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9!S32""))"),"B BP: 130")</f>
        <v>B BP: 130</v>
      </c>
      <c r="B63" t="str">
        <f>IFERROR(__xludf.DUMMYFUNCTION("""COMPUTED_VALUE"""),"Tristan Thai (9)")</f>
        <v>Tristan Thai (9)</v>
      </c>
      <c r="C63" t="str">
        <f>IFERROR(__xludf.DUMMYFUNCTION("""COMPUTED_VALUE"""),"Shabdika Gubba (9)")</f>
        <v>Shabdika Gubba (9)</v>
      </c>
      <c r="D63" t="str">
        <f>IFERROR(__xludf.DUMMYFUNCTION("""COMPUTED_VALUE"""),"Sam Wu (9)")</f>
        <v>Sam Wu (9)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IFERROR(__xludf.DUMMYFUNCTION("""COMPUTED_VALUE"""),"Rohan Kumar (11)")</f>
        <v>Rohan Kumar (11)</v>
      </c>
      <c r="I63" t="str">
        <f>IFERROR(__xludf.DUMMYFUNCTION("""COMPUTED_VALUE"""),"Aiken Wang (9)")</f>
        <v>Aiken Wang (9)</v>
      </c>
      <c r="J63" t="str">
        <f>IFERROR(__xludf.DUMMYFUNCTION("""COMPUTED_VALUE"""),"Radhika Sreelal (10)")</f>
        <v>Radhika Sreelal (10)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9!C32:H36""),IMPORTRANGE(""1UJlRLlhI2Hg_SAQqQOg0JGdwHhiagF7EVAtCX8UOYFc"",""Round 9!M32:R36"")}"),20.0)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IFERROR(__xludf.DUMMYFUNCTION("""COMPUTED_VALUE"""),2.0)</f>
        <v>2</v>
      </c>
      <c r="I65">
        <f>IFERROR(__xludf.DUMMYFUNCTION("""COMPUTED_VALUE"""),1.0)</f>
        <v>1</v>
      </c>
      <c r="J65">
        <f>IFERROR(__xludf.DUMMYFUNCTION("""COMPUTED_VALUE"""),1.0)</f>
        <v>1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IFERROR(__xludf.DUMMYFUNCTION("""COMPUTED_VALUE"""),0.0)</f>
        <v>0</v>
      </c>
      <c r="C66">
        <f>IFERROR(__xludf.DUMMYFUNCTION("""COMPUTED_VALUE"""),1.0)</f>
        <v>1</v>
      </c>
      <c r="D66">
        <f>IFERROR(__xludf.DUMMYFUNCTION("""COMPUTED_VALUE"""),4.0)</f>
        <v>4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IFERROR(__xludf.DUMMYFUNCTION("""COMPUTED_VALUE"""),2.0)</f>
        <v>2</v>
      </c>
      <c r="I66">
        <f>IFERROR(__xludf.DUMMYFUNCTION("""COMPUTED_VALUE"""),4.0)</f>
        <v>4</v>
      </c>
      <c r="J66">
        <f>IFERROR(__xludf.DUMMYFUNCTION("""COMPUTED_VALUE"""),2.0)</f>
        <v>2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IFERROR(__xludf.DUMMYFUNCTION("""COMPUTED_VALUE"""),1.0)</f>
        <v>1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IFERROR(__xludf.DUMMYFUNCTION("""COMPUTED_VALUE"""),1.0)</f>
        <v>1</v>
      </c>
      <c r="J67">
        <f>IFERROR(__xludf.DUMMYFUNCTION("""COMPUTED_VALUE"""),1.0)</f>
        <v>1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IFERROR(__xludf.DUMMYFUNCTION("""COMPUTED_VALUE"""),-5.0)</f>
        <v>-5</v>
      </c>
      <c r="C68">
        <f>IFERROR(__xludf.DUMMYFUNCTION("""COMPUTED_VALUE"""),10.0)</f>
        <v>10</v>
      </c>
      <c r="D68">
        <f>IFERROR(__xludf.DUMMYFUNCTION("""COMPUTED_VALUE"""),40.0)</f>
        <v>40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IFERROR(__xludf.DUMMYFUNCTION("""COMPUTED_VALUE"""),50.0)</f>
        <v>50</v>
      </c>
      <c r="I68">
        <f>IFERROR(__xludf.DUMMYFUNCTION("""COMPUTED_VALUE"""),50.0)</f>
        <v>50</v>
      </c>
      <c r="J68">
        <f>IFERROR(__xludf.DUMMYFUNCTION("""COMPUTED_VALUE"""),30.0)</f>
        <v>30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9!W1"")"),"Question: 21")</f>
        <v>Question: 21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9!C1:H3""),IMPORTRANGE(""1jA96n0qbauznSt6-hkr51AslpxJqfrWgkafVtMV8_xU"",""Round 9!M1:R3"")}"),"Oak Valley C (JV)")</f>
        <v>Oak Valley C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IFERROR(__xludf.DUMMYFUNCTION("""COMPUTED_VALUE"""),"Del Norte (JV)")</f>
        <v>Del Norte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9!I32""))"),"A BP: 90")</f>
        <v>A BP: 90</v>
      </c>
      <c r="B72" t="str">
        <f>IFERROR(__xludf.DUMMYFUNCTION("""COMPUTED_VALUE"""),"Score: 160")</f>
        <v>Score: 160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175")</f>
        <v>Score: 175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9!S32""))"),"B BP: 110")</f>
        <v>B BP: 110</v>
      </c>
      <c r="B73" t="str">
        <f>IFERROR(__xludf.DUMMYFUNCTION("""COMPUTED_VALUE"""),"Saanvi Agarwal (6)")</f>
        <v>Saanvi Agarwal (6)</v>
      </c>
      <c r="C73" t="str">
        <f>IFERROR(__xludf.DUMMYFUNCTION("""COMPUTED_VALUE"""),"Chinmay Ramamurthy (7)")</f>
        <v>Chinmay Ramamurthy (7)</v>
      </c>
      <c r="D73" t="str">
        <f>IFERROR(__xludf.DUMMYFUNCTION("""COMPUTED_VALUE"""),"Tay Kim (7)")</f>
        <v>Tay Kim (7)</v>
      </c>
      <c r="E73" t="str">
        <f>IFERROR(__xludf.DUMMYFUNCTION("""COMPUTED_VALUE"""),"Sarah Feng (6)")</f>
        <v>Sarah Feng (6)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IFERROR(__xludf.DUMMYFUNCTION("""COMPUTED_VALUE"""),"Kyle Nagasawa (11)")</f>
        <v>Kyle Nagasawa (11)</v>
      </c>
      <c r="I73" t="str">
        <f>IFERROR(__xludf.DUMMYFUNCTION("""COMPUTED_VALUE"""),"Kinish Sathish (9)")</f>
        <v>Kinish Sathish (9)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9!C32:H36""),IMPORTRANGE(""1jA96n0qbauznSt6-hkr51AslpxJqfrWgkafVtMV8_xU"",""Round 9!M32:R36"")}"),20.0)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IFERROR(__xludf.DUMMYFUNCTION("""COMPUTED_VALUE"""),1.0)</f>
        <v>1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IFERROR(__xludf.DUMMYFUNCTION("""COMPUTED_VALUE"""),1.0)</f>
        <v>1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IFERROR(__xludf.DUMMYFUNCTION("""COMPUTED_VALUE"""),2.0)</f>
        <v>2</v>
      </c>
      <c r="C76">
        <f>IFERROR(__xludf.DUMMYFUNCTION("""COMPUTED_VALUE"""),2.0)</f>
        <v>2</v>
      </c>
      <c r="D76">
        <f>IFERROR(__xludf.DUMMYFUNCTION("""COMPUTED_VALUE"""),0.0)</f>
        <v>0</v>
      </c>
      <c r="E76">
        <f>IFERROR(__xludf.DUMMYFUNCTION("""COMPUTED_VALUE"""),2.0)</f>
        <v>2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IFERROR(__xludf.DUMMYFUNCTION("""COMPUTED_VALUE"""),2.0)</f>
        <v>2</v>
      </c>
      <c r="I76">
        <f>IFERROR(__xludf.DUMMYFUNCTION("""COMPUTED_VALUE"""),4.0)</f>
        <v>4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IFERROR(__xludf.DUMMYFUNCTION("""COMPUTED_VALUE"""),1.0)</f>
        <v>1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IFERROR(__xludf.DUMMYFUNCTION("""COMPUTED_VALUE"""),1.0)</f>
        <v>1</v>
      </c>
      <c r="I77">
        <f>IFERROR(__xludf.DUMMYFUNCTION("""COMPUTED_VALUE"""),1.0)</f>
        <v>1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IFERROR(__xludf.DUMMYFUNCTION("""COMPUTED_VALUE"""),20.0)</f>
        <v>20</v>
      </c>
      <c r="C78">
        <f>IFERROR(__xludf.DUMMYFUNCTION("""COMPUTED_VALUE"""),15.0)</f>
        <v>15</v>
      </c>
      <c r="D78">
        <f>IFERROR(__xludf.DUMMYFUNCTION("""COMPUTED_VALUE"""),0.0)</f>
        <v>0</v>
      </c>
      <c r="E78">
        <f>IFERROR(__xludf.DUMMYFUNCTION("""COMPUTED_VALUE"""),35.0)</f>
        <v>35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IFERROR(__xludf.DUMMYFUNCTION("""COMPUTED_VALUE"""),15.0)</f>
        <v>15</v>
      </c>
      <c r="I78">
        <f>IFERROR(__xludf.DUMMYFUNCTION("""COMPUTED_VALUE"""),50.0)</f>
        <v>50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9!W1"")"),"Question: 21")</f>
        <v>Question: 21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9!C1:H3""),IMPORTRANGE(""1xw1EOjVhrK1PNJfOYiUsuJNrlpV53SmfJxYsFFolQ3s"",""Round 9!M1:R3"")}"),"Black Mountain B (JV)")</f>
        <v>Black Mountain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IFERROR(__xludf.DUMMYFUNCTION("""COMPUTED_VALUE"""),"La Serna B (JV)")</f>
        <v>La Serna B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9!I32""))"),"A BP: 170")</f>
        <v>A BP: 170</v>
      </c>
      <c r="B82" t="str">
        <f>IFERROR(__xludf.DUMMYFUNCTION("""COMPUTED_VALUE"""),"Score: 305")</f>
        <v>Score: 305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30")</f>
        <v>Score: 30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9!S32""))"),"B BP: 20")</f>
        <v>B BP: 20</v>
      </c>
      <c r="B83" t="str">
        <f>IFERROR(__xludf.DUMMYFUNCTION("""COMPUTED_VALUE"""),"Raina Chatterjee (7)")</f>
        <v>Raina Chatterjee (7)</v>
      </c>
      <c r="C83" t="str">
        <f>IFERROR(__xludf.DUMMYFUNCTION("""COMPUTED_VALUE"""),"Pranay Kulkarni (7)")</f>
        <v>Pranay Kulkarni (7)</v>
      </c>
      <c r="D83" t="str">
        <f>IFERROR(__xludf.DUMMYFUNCTION("""COMPUTED_VALUE"""),"Lauren Yung (8)")</f>
        <v>Lauren Yung (8)</v>
      </c>
      <c r="E83" t="str">
        <f>IFERROR(__xludf.DUMMYFUNCTION("""COMPUTED_VALUE"""),"Anay Sabhnani (7)")</f>
        <v>Anay Sabhnani (7)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IFERROR(__xludf.DUMMYFUNCTION("""COMPUTED_VALUE"""),"Jerred Casillas (12)")</f>
        <v>Jerred Casillas (12)</v>
      </c>
      <c r="I83" t="str">
        <f>IFERROR(__xludf.DUMMYFUNCTION("""COMPUTED_VALUE"""),"Colin Twisselmann (10)")</f>
        <v>Colin Twisselmann (10)</v>
      </c>
      <c r="J83" t="str">
        <f>IFERROR(__xludf.DUMMYFUNCTION("""COMPUTED_VALUE"""),"Liz Carrasco (12)")</f>
        <v>Liz Carrasco (12)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9!C32:H36""),IMPORTRANGE(""1xw1EOjVhrK1PNJfOYiUsuJNrlpV53SmfJxYsFFolQ3s"",""Round 9!M32:R36"")}"),20.0)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IFERROR(__xludf.DUMMYFUNCTION("""COMPUTED_VALUE"""),2.0)</f>
        <v>2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IFERROR(__xludf.DUMMYFUNCTION("""COMPUTED_VALUE"""),2.0)</f>
        <v>2</v>
      </c>
      <c r="C86">
        <f>IFERROR(__xludf.DUMMYFUNCTION("""COMPUTED_VALUE"""),4.0)</f>
        <v>4</v>
      </c>
      <c r="D86">
        <f>IFERROR(__xludf.DUMMYFUNCTION("""COMPUTED_VALUE"""),4.0)</f>
        <v>4</v>
      </c>
      <c r="E86">
        <f>IFERROR(__xludf.DUMMYFUNCTION("""COMPUTED_VALUE"""),1.0)</f>
        <v>1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IFERROR(__xludf.DUMMYFUNCTION("""COMPUTED_VALUE"""),1.0)</f>
        <v>1</v>
      </c>
      <c r="J86">
        <f>IFERROR(__xludf.DUMMYFUNCTION("""COMPUTED_VALUE"""),1.0)</f>
        <v>1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IFERROR(__xludf.DUMMYFUNCTION("""COMPUTED_VALUE"""),1.0)</f>
        <v>1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IFERROR(__xludf.DUMMYFUNCTION("""COMPUTED_VALUE"""),1.0)</f>
        <v>1</v>
      </c>
      <c r="J87">
        <f>IFERROR(__xludf.DUMMYFUNCTION("""COMPUTED_VALUE"""),1.0)</f>
        <v>1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IFERROR(__xludf.DUMMYFUNCTION("""COMPUTED_VALUE"""),20.0)</f>
        <v>20</v>
      </c>
      <c r="C88">
        <f>IFERROR(__xludf.DUMMYFUNCTION("""COMPUTED_VALUE"""),35.0)</f>
        <v>35</v>
      </c>
      <c r="D88">
        <f>IFERROR(__xludf.DUMMYFUNCTION("""COMPUTED_VALUE"""),70.0)</f>
        <v>70</v>
      </c>
      <c r="E88">
        <f>IFERROR(__xludf.DUMMYFUNCTION("""COMPUTED_VALUE"""),10.0)</f>
        <v>10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IFERROR(__xludf.DUMMYFUNCTION("""COMPUTED_VALUE"""),5.0)</f>
        <v>5</v>
      </c>
      <c r="J88">
        <f>IFERROR(__xludf.DUMMYFUNCTION("""COMPUTED_VALUE"""),5.0)</f>
        <v>5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9!W1"")"),"Question: 21")</f>
        <v>Question: 21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9!C1:H3""),IMPORTRANGE(""15wOrdFuJAb1a4MoX5CG4apiBD2jUJ7mBu58Uk-8Mo7s"",""Round 9!M1:R3"")}"),"Team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9!I32""))"),"A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9!S32""))"),"B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9!C32:H36""),IMPORTRANGE(""15wOrdFuJAb1a4MoX5CG4apiBD2jUJ7mBu58Uk-8Mo7s"",""Round 9!M32:R36"")}"),20.0)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9!W1"")"),"Question: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9!C1:H3""),IMPORTRANGE(""1GfJqS1rsy-VutTmPVnm9E2VdinIG-GnQO5b3bhaiX1s"",""Round 9!M1:R3"")}"),"Team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9!I32""))"),"A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9!S32""))"),"B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9!C32:H36""),IMPORTRANGE(""1GfJqS1rsy-VutTmPVnm9E2VdinIG-GnQO5b3bhaiX1s"",""Round 9!M32:R36"")}"),20.0)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9!W1"")"),"Question: 1")</f>
        <v>Question: 1</v>
      </c>
      <c r="B109" s="7" t="s">
        <v>150</v>
      </c>
    </row>
    <row r="110">
      <c r="A110" s="6"/>
    </row>
    <row r="111">
      <c r="A111" s="2" t="s">
        <v>166</v>
      </c>
      <c r="B111" t="str">
        <f>IFERROR(__xludf.DUMMYFUNCTION("{IMPORTRANGE(""17CLUEFflDBSa8dyH5vsXfHme4RV8IhzD-mxe9_c9I5k"",""Round 9!C1:H3""),IMPORTRANGE(""17CLUEFflDBSa8dyH5vsXfHme4RV8IhzD-mxe9_c9I5k"",""Round 9!M1:R3"")}"),"Arcadia (V)")</f>
        <v>Arcadia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IFERROR(__xludf.DUMMYFUNCTION("""COMPUTED_VALUE"""),"Santa Monica A (V)")</f>
        <v>Santa Monica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9!I32""))"),"A BP: 250")</f>
        <v>A BP: 250</v>
      </c>
      <c r="B112" t="str">
        <f>IFERROR(__xludf.DUMMYFUNCTION("""COMPUTED_VALUE"""),"Score: 390")</f>
        <v>Score: 390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180")</f>
        <v>Score: 180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9!S32""))"),"B BP: 110")</f>
        <v>B BP: 110</v>
      </c>
      <c r="B113" t="str">
        <f>IFERROR(__xludf.DUMMYFUNCTION("""COMPUTED_VALUE"""),"Amogh Kulkarni (10)")</f>
        <v>Amogh Kulkarni (10)</v>
      </c>
      <c r="C113" t="str">
        <f>IFERROR(__xludf.DUMMYFUNCTION("""COMPUTED_VALUE"""),"Spencer Cheng (12)")</f>
        <v>Spencer Cheng (12)</v>
      </c>
      <c r="D113" t="str">
        <f>IFERROR(__xludf.DUMMYFUNCTION("""COMPUTED_VALUE"""),"Sanjith Menon (10)")</f>
        <v>Sanjith Menon (10)</v>
      </c>
      <c r="E113" t="str">
        <f>IFERROR(__xludf.DUMMYFUNCTION("""COMPUTED_VALUE"""),"Michael Kwok (10)")</f>
        <v>Michael Kwok (10)</v>
      </c>
      <c r="F113" t="str">
        <f>IFERROR(__xludf.DUMMYFUNCTION("""COMPUTED_VALUE"""),"Ryan Sun (10)")</f>
        <v>Ryan Sun (10)</v>
      </c>
      <c r="G113" t="str">
        <f>IFERROR(__xludf.DUMMYFUNCTION("""COMPUTED_VALUE"""),"Player 6")</f>
        <v>Player 6</v>
      </c>
      <c r="H113" t="str">
        <f>IFERROR(__xludf.DUMMYFUNCTION("""COMPUTED_VALUE"""),"Josh Xu (11)")</f>
        <v>Josh Xu (11)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9!C32:H36""),IMPORTRANGE(""17CLUEFflDBSa8dyH5vsXfHme4RV8IhzD-mxe9_c9I5k"",""Round 9!M32:R36"")}"),20.0)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IFERROR(__xludf.DUMMYFUNCTION("""COMPUTED_VALUE"""),10.0)</f>
        <v>10</v>
      </c>
      <c r="F114">
        <f>IFERROR(__xludf.DUMMYFUNCTION("""COMPUTED_VALUE"""),10.0)</f>
        <v>10</v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IFERROR(__xludf.DUMMYFUNCTION("""COMPUTED_VALUE"""),4.0)</f>
        <v>4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IFERROR(__xludf.DUMMYFUNCTION("""COMPUTED_VALUE"""),2.0)</f>
        <v>2</v>
      </c>
      <c r="G115">
        <f>IFERROR(__xludf.DUMMYFUNCTION("""COMPUTED_VALUE"""),0.0)</f>
        <v>0</v>
      </c>
      <c r="H115">
        <f>IFERROR(__xludf.DUMMYFUNCTION("""COMPUTED_VALUE"""),2.0)</f>
        <v>2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IFERROR(__xludf.DUMMYFUNCTION("""COMPUTED_VALUE"""),4.0)</f>
        <v>4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IFERROR(__xludf.DUMMYFUNCTION("""COMPUTED_VALUE"""),2.0)</f>
        <v>2</v>
      </c>
      <c r="G116">
        <f>IFERROR(__xludf.DUMMYFUNCTION("""COMPUTED_VALUE"""),0.0)</f>
        <v>0</v>
      </c>
      <c r="H116">
        <f>IFERROR(__xludf.DUMMYFUNCTION("""COMPUTED_VALUE"""),4.0)</f>
        <v>4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IFERROR(__xludf.DUMMYFUNCTION("""COMPUTED_VALUE"""),1.0)</f>
        <v>1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IFERROR(__xludf.DUMMYFUNCTION("""COMPUTED_VALUE"""),2.0)</f>
        <v>2</v>
      </c>
      <c r="F117">
        <f>IFERROR(__xludf.DUMMYFUNCTION("""COMPUTED_VALUE"""),1.0)</f>
        <v>1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IFERROR(__xludf.DUMMYFUNCTION("""COMPUTED_VALUE"""),95.0)</f>
        <v>95</v>
      </c>
      <c r="C118">
        <f>IFERROR(__xludf.DUMMYFUNCTION("""COMPUTED_VALUE"""),10.0)</f>
        <v>10</v>
      </c>
      <c r="D118">
        <f>IFERROR(__xludf.DUMMYFUNCTION("""COMPUTED_VALUE"""),0.0)</f>
        <v>0</v>
      </c>
      <c r="E118">
        <f>IFERROR(__xludf.DUMMYFUNCTION("""COMPUTED_VALUE"""),-10.0)</f>
        <v>-10</v>
      </c>
      <c r="F118">
        <f>IFERROR(__xludf.DUMMYFUNCTION("""COMPUTED_VALUE"""),45.0)</f>
        <v>45</v>
      </c>
      <c r="G118">
        <f>IFERROR(__xludf.DUMMYFUNCTION("""COMPUTED_VALUE"""),0.0)</f>
        <v>0</v>
      </c>
      <c r="H118">
        <f>IFERROR(__xludf.DUMMYFUNCTION("""COMPUTED_VALUE"""),70.0)</f>
        <v>70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9!W1"")"),"Question: 21")</f>
        <v>Question: 21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9!C1:H3""),IMPORTRANGE(""1Knt8XDGFY_MP2OzeadT1pDENTLOdk9Ab_Rd9IdW0kzc"",""Round 9!M1:R3"")}"),"Santa Monica B (V)")</f>
        <v>Santa Monica B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IFERROR(__xludf.DUMMYFUNCTION("""COMPUTED_VALUE"""),"Troy A (V)")</f>
        <v>Troy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9!I32""))"),"A BP: 60")</f>
        <v>A BP: 60</v>
      </c>
      <c r="B122" t="str">
        <f>IFERROR(__xludf.DUMMYFUNCTION("""COMPUTED_VALUE"""),"Score: 115")</f>
        <v>Score: 115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270")</f>
        <v>Score: 270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9!S32""))"),"B BP: 140")</f>
        <v>B BP: 140</v>
      </c>
      <c r="B123" t="str">
        <f>IFERROR(__xludf.DUMMYFUNCTION("""COMPUTED_VALUE"""),"Kethan Raman (10)")</f>
        <v>Kethan Raman (10)</v>
      </c>
      <c r="C123" t="str">
        <f>IFERROR(__xludf.DUMMYFUNCTION("""COMPUTED_VALUE"""),"Ethan Hopkins (10)")</f>
        <v>Ethan Hopkins (10)</v>
      </c>
      <c r="D123" t="str">
        <f>IFERROR(__xludf.DUMMYFUNCTION("""COMPUTED_VALUE"""),"Jacob Cohen (10)")</f>
        <v>Jacob Cohen (10)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IFERROR(__xludf.DUMMYFUNCTION("""COMPUTED_VALUE"""),"Daniel Shin (10)")</f>
        <v>Daniel Shin (10)</v>
      </c>
      <c r="I123" t="str">
        <f>IFERROR(__xludf.DUMMYFUNCTION("""COMPUTED_VALUE"""),"Tyler Kim (11)")</f>
        <v>Tyler Kim (11)</v>
      </c>
      <c r="J123" t="str">
        <f>IFERROR(__xludf.DUMMYFUNCTION("""COMPUTED_VALUE"""),"Henry Tang (10)")</f>
        <v>Henry Tang (10)</v>
      </c>
      <c r="K123" t="str">
        <f>IFERROR(__xludf.DUMMYFUNCTION("""COMPUTED_VALUE"""),"Luke Park (11)")</f>
        <v>Luke Park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9!C32:H36""),IMPORTRANGE(""1Knt8XDGFY_MP2OzeadT1pDENTLOdk9Ab_Rd9IdW0kzc"",""Round 9!M32:R36"")}"),20.0)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IFERROR(__xludf.DUMMYFUNCTION("""COMPUTED_VALUE"""),1.0)</f>
        <v>1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IFERROR(__xludf.DUMMYFUNCTION("""COMPUTED_VALUE"""),1.0)</f>
        <v>1</v>
      </c>
      <c r="K125">
        <f>IFERROR(__xludf.DUMMYFUNCTION("""COMPUTED_VALUE"""),1.0)</f>
        <v>1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IFERROR(__xludf.DUMMYFUNCTION("""COMPUTED_VALUE"""),3.0)</f>
        <v>3</v>
      </c>
      <c r="C126">
        <f>IFERROR(__xludf.DUMMYFUNCTION("""COMPUTED_VALUE"""),1.0)</f>
        <v>1</v>
      </c>
      <c r="D126">
        <f>IFERROR(__xludf.DUMMYFUNCTION("""COMPUTED_VALUE"""),1.0)</f>
        <v>1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IFERROR(__xludf.DUMMYFUNCTION("""COMPUTED_VALUE"""),4.0)</f>
        <v>4</v>
      </c>
      <c r="I126">
        <f>IFERROR(__xludf.DUMMYFUNCTION("""COMPUTED_VALUE"""),4.0)</f>
        <v>4</v>
      </c>
      <c r="J126">
        <f>IFERROR(__xludf.DUMMYFUNCTION("""COMPUTED_VALUE"""),0.0)</f>
        <v>0</v>
      </c>
      <c r="K126">
        <f>IFERROR(__xludf.DUMMYFUNCTION("""COMPUTED_VALUE"""),3.0)</f>
        <v>3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IFERROR(__xludf.DUMMYFUNCTION("""COMPUTED_VALUE"""),2.0)</f>
        <v>2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IFERROR(__xludf.DUMMYFUNCTION("""COMPUTED_VALUE"""),1.0)</f>
        <v>1</v>
      </c>
      <c r="J127">
        <f>IFERROR(__xludf.DUMMYFUNCTION("""COMPUTED_VALUE"""),0.0)</f>
        <v>0</v>
      </c>
      <c r="K127">
        <f>IFERROR(__xludf.DUMMYFUNCTION("""COMPUTED_VALUE"""),1.0)</f>
        <v>1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IFERROR(__xludf.DUMMYFUNCTION("""COMPUTED_VALUE"""),35.0)</f>
        <v>35</v>
      </c>
      <c r="C128">
        <f>IFERROR(__xludf.DUMMYFUNCTION("""COMPUTED_VALUE"""),10.0)</f>
        <v>10</v>
      </c>
      <c r="D128">
        <f>IFERROR(__xludf.DUMMYFUNCTION("""COMPUTED_VALUE"""),10.0)</f>
        <v>10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IFERROR(__xludf.DUMMYFUNCTION("""COMPUTED_VALUE"""),40.0)</f>
        <v>40</v>
      </c>
      <c r="I128">
        <f>IFERROR(__xludf.DUMMYFUNCTION("""COMPUTED_VALUE"""),35.0)</f>
        <v>35</v>
      </c>
      <c r="J128">
        <f>IFERROR(__xludf.DUMMYFUNCTION("""COMPUTED_VALUE"""),15.0)</f>
        <v>15</v>
      </c>
      <c r="K128">
        <f>IFERROR(__xludf.DUMMYFUNCTION("""COMPUTED_VALUE"""),40.0)</f>
        <v>40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9!W1"")"),"Question: 21")</f>
        <v>Question: 21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9!C1:H3""),IMPORTRANGE(""16i4gsLDaJasgGgtJt27HweoboYNaal3qpX3MtxIR2f0"",""Round 9!M1:R3"")}"),"Westview B (V)")</f>
        <v>Westview B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IFERROR(__xludf.DUMMYFUNCTION("""COMPUTED_VALUE"""),"Canyon Crest A (V)")</f>
        <v>Canyon Crest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9!I32""))"),"A BP: 200")</f>
        <v>A BP: 200</v>
      </c>
      <c r="B132" t="str">
        <f>IFERROR(__xludf.DUMMYFUNCTION("""COMPUTED_VALUE"""),"Score: 285")</f>
        <v>Score: 285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220")</f>
        <v>Score: 220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9!S32""))"),"B BP: 110")</f>
        <v>B BP: 110</v>
      </c>
      <c r="B133" t="str">
        <f>IFERROR(__xludf.DUMMYFUNCTION("""COMPUTED_VALUE"""),"Nicholas Dai (11)")</f>
        <v>Nicholas Dai (11)</v>
      </c>
      <c r="C133" t="str">
        <f>IFERROR(__xludf.DUMMYFUNCTION("""COMPUTED_VALUE"""),"Rohan Venkateswaran (12)")</f>
        <v>Rohan Venkateswaran (12)</v>
      </c>
      <c r="D133" t="str">
        <f>IFERROR(__xludf.DUMMYFUNCTION("""COMPUTED_VALUE"""),"Andrew Jia (11)")</f>
        <v>Andrew Jia (11)</v>
      </c>
      <c r="E133" t="str">
        <f>IFERROR(__xludf.DUMMYFUNCTION("""COMPUTED_VALUE"""),"Richard Lin (9)")</f>
        <v>Richard Lin (9)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IFERROR(__xludf.DUMMYFUNCTION("""COMPUTED_VALUE"""),"Wesley Zhang (12)")</f>
        <v>Wesley Zhang (12)</v>
      </c>
      <c r="I133" t="str">
        <f>IFERROR(__xludf.DUMMYFUNCTION("""COMPUTED_VALUE"""),"Leo Gu (10)")</f>
        <v>Leo Gu (10)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9!C32:H36""),IMPORTRANGE(""16i4gsLDaJasgGgtJt27HweoboYNaal3qpX3MtxIR2f0"",""Round 9!M32:R36"")}"),20.0)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IFERROR(__xludf.DUMMYFUNCTION("""COMPUTED_VALUE"""),2.0)</f>
        <v>2</v>
      </c>
      <c r="C135">
        <f>IFERROR(__xludf.DUMMYFUNCTION("""COMPUTED_VALUE"""),1.0)</f>
        <v>1</v>
      </c>
      <c r="D135">
        <f>IFERROR(__xludf.DUMMYFUNCTION("""COMPUTED_VALUE"""),2.0)</f>
        <v>2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IFERROR(__xludf.DUMMYFUNCTION("""COMPUTED_VALUE"""),5.0)</f>
        <v>5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IFERROR(__xludf.DUMMYFUNCTION("""COMPUTED_VALUE"""),0.0)</f>
        <v>0</v>
      </c>
      <c r="C136">
        <f>IFERROR(__xludf.DUMMYFUNCTION("""COMPUTED_VALUE"""),3.0)</f>
        <v>3</v>
      </c>
      <c r="D136">
        <f>IFERROR(__xludf.DUMMYFUNCTION("""COMPUTED_VALUE"""),0.0)</f>
        <v>0</v>
      </c>
      <c r="E136">
        <f>IFERROR(__xludf.DUMMYFUNCTION("""COMPUTED_VALUE"""),1.0)</f>
        <v>1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IFERROR(__xludf.DUMMYFUNCTION("""COMPUTED_VALUE"""),3.0)</f>
        <v>3</v>
      </c>
      <c r="I136">
        <f>IFERROR(__xludf.DUMMYFUNCTION("""COMPUTED_VALUE"""),1.0)</f>
        <v>1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IFERROR(__xludf.DUMMYFUNCTION("""COMPUTED_VALUE"""),0.0)</f>
        <v>0</v>
      </c>
      <c r="C137">
        <f>IFERROR(__xludf.DUMMYFUNCTION("""COMPUTED_VALUE"""),2.0)</f>
        <v>2</v>
      </c>
      <c r="D137">
        <f>IFERROR(__xludf.DUMMYFUNCTION("""COMPUTED_VALUE"""),2.0)</f>
        <v>2</v>
      </c>
      <c r="E137">
        <f>IFERROR(__xludf.DUMMYFUNCTION("""COMPUTED_VALUE"""),2.0)</f>
        <v>2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IFERROR(__xludf.DUMMYFUNCTION("""COMPUTED_VALUE"""),1.0)</f>
        <v>1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IFERROR(__xludf.DUMMYFUNCTION("""COMPUTED_VALUE"""),30.0)</f>
        <v>30</v>
      </c>
      <c r="C138">
        <f>IFERROR(__xludf.DUMMYFUNCTION("""COMPUTED_VALUE"""),35.0)</f>
        <v>35</v>
      </c>
      <c r="D138">
        <f>IFERROR(__xludf.DUMMYFUNCTION("""COMPUTED_VALUE"""),20.0)</f>
        <v>20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IFERROR(__xludf.DUMMYFUNCTION("""COMPUTED_VALUE"""),105.0)</f>
        <v>105</v>
      </c>
      <c r="I138">
        <f>IFERROR(__xludf.DUMMYFUNCTION("""COMPUTED_VALUE"""),5.0)</f>
        <v>5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9!W1"")"),"Question: 21")</f>
        <v>Question: 21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9!C1:H3""),IMPORTRANGE(""1KRyI2c190uhOTF270Hsdzh1rgG565QIaE9TymteaGNY"",""Round 9!M1:R3"")}"),"La Jolla (V)")</f>
        <v>La Jolla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IFERROR(__xludf.DUMMYFUNCTION("""COMPUTED_VALUE"""),"Cathedral Catholic (V)")</f>
        <v>Cathedral Catholic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9!I32""))"),"A BP: 120")</f>
        <v>A BP: 120</v>
      </c>
      <c r="B142" t="str">
        <f>IFERROR(__xludf.DUMMYFUNCTION("""COMPUTED_VALUE"""),"Score: 220")</f>
        <v>Score: 220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200")</f>
        <v>Score: 200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9!S32""))"),"B BP: 110")</f>
        <v>B BP: 110</v>
      </c>
      <c r="B143" t="str">
        <f>IFERROR(__xludf.DUMMYFUNCTION("""COMPUTED_VALUE"""),"David Smith (11)")</f>
        <v>David Smith (11)</v>
      </c>
      <c r="C143" t="str">
        <f>IFERROR(__xludf.DUMMYFUNCTION("""COMPUTED_VALUE"""),"Richard Chao (11)")</f>
        <v>Richard Chao (11)</v>
      </c>
      <c r="D143" t="str">
        <f>IFERROR(__xludf.DUMMYFUNCTION("""COMPUTED_VALUE"""),"Kevin Park (11)")</f>
        <v>Kevin Park (11)</v>
      </c>
      <c r="E143" t="str">
        <f>IFERROR(__xludf.DUMMYFUNCTION("""COMPUTED_VALUE"""),"Caleb Cruz (11)")</f>
        <v>Caleb Cruz (11)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IFERROR(__xludf.DUMMYFUNCTION("""COMPUTED_VALUE"""),"Ryan Shakiba (10)")</f>
        <v>Ryan Shakiba (10)</v>
      </c>
      <c r="I143" t="str">
        <f>IFERROR(__xludf.DUMMYFUNCTION("""COMPUTED_VALUE"""),"Sinead Archdeacon (10)")</f>
        <v>Sinead Archdeacon (10)</v>
      </c>
      <c r="J143" t="str">
        <f>IFERROR(__xludf.DUMMYFUNCTION("""COMPUTED_VALUE"""),"Jacob Titcomb (11)")</f>
        <v>Jacob Titcomb (11)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9!C32:H36""),IMPORTRANGE(""1KRyI2c190uhOTF270Hsdzh1rgG565QIaE9TymteaGNY"",""Round 9!M32:R36"")}"),20.0)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IFERROR(__xludf.DUMMYFUNCTION("""COMPUTED_VALUE"""),1.0)</f>
        <v>1</v>
      </c>
      <c r="C145">
        <f>IFERROR(__xludf.DUMMYFUNCTION("""COMPUTED_VALUE"""),0.0)</f>
        <v>0</v>
      </c>
      <c r="D145">
        <f>IFERROR(__xludf.DUMMYFUNCTION("""COMPUTED_VALUE"""),1.0)</f>
        <v>1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IFERROR(__xludf.DUMMYFUNCTION("""COMPUTED_VALUE"""),2.0)</f>
        <v>2</v>
      </c>
      <c r="I145">
        <f>IFERROR(__xludf.DUMMYFUNCTION("""COMPUTED_VALUE"""),1.0)</f>
        <v>1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IFERROR(__xludf.DUMMYFUNCTION("""COMPUTED_VALUE"""),1.0)</f>
        <v>1</v>
      </c>
      <c r="C146">
        <f>IFERROR(__xludf.DUMMYFUNCTION("""COMPUTED_VALUE"""),3.0)</f>
        <v>3</v>
      </c>
      <c r="D146">
        <f>IFERROR(__xludf.DUMMYFUNCTION("""COMPUTED_VALUE"""),4.0)</f>
        <v>4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IFERROR(__xludf.DUMMYFUNCTION("""COMPUTED_VALUE"""),5.0)</f>
        <v>5</v>
      </c>
      <c r="I146">
        <f>IFERROR(__xludf.DUMMYFUNCTION("""COMPUTED_VALUE"""),1.0)</f>
        <v>1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IFERROR(__xludf.DUMMYFUNCTION("""COMPUTED_VALUE"""),2.0)</f>
        <v>2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IFERROR(__xludf.DUMMYFUNCTION("""COMPUTED_VALUE"""),3.0)</f>
        <v>3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IFERROR(__xludf.DUMMYFUNCTION("""COMPUTED_VALUE"""),25.0)</f>
        <v>25</v>
      </c>
      <c r="C148">
        <f>IFERROR(__xludf.DUMMYFUNCTION("""COMPUTED_VALUE"""),30.0)</f>
        <v>30</v>
      </c>
      <c r="D148">
        <f>IFERROR(__xludf.DUMMYFUNCTION("""COMPUTED_VALUE"""),45.0)</f>
        <v>45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IFERROR(__xludf.DUMMYFUNCTION("""COMPUTED_VALUE"""),65.0)</f>
        <v>65</v>
      </c>
      <c r="I148">
        <f>IFERROR(__xludf.DUMMYFUNCTION("""COMPUTED_VALUE"""),25.0)</f>
        <v>25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9!W1"")"),"Question: 21")</f>
        <v>Question: 21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9!C1:H3""),IMPORTRANGE(""1zr0uYCpJ5izByVOUCsr6JXezthGEdLXnwOrjIKGx5XI"",""Round 9!M1:R3"")}"),"Westview A (V)")</f>
        <v>Westview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IFERROR(__xludf.DUMMYFUNCTION("""COMPUTED_VALUE"""),"Canyon Crest B (V)")</f>
        <v>Canyon Crest B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9!I32""))"),"A BP: 320")</f>
        <v>A BP: 320</v>
      </c>
      <c r="B152" t="str">
        <f>IFERROR(__xludf.DUMMYFUNCTION("""COMPUTED_VALUE"""),"Score: 520")</f>
        <v>Score: 520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130")</f>
        <v>Score: 130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9!S32""))"),"B BP: 70")</f>
        <v>B BP: 70</v>
      </c>
      <c r="B153" t="str">
        <f>IFERROR(__xludf.DUMMYFUNCTION("""COMPUTED_VALUE"""),"Shahar Schwartz (12)")</f>
        <v>Shahar Schwartz (12)</v>
      </c>
      <c r="C153" t="str">
        <f>IFERROR(__xludf.DUMMYFUNCTION("""COMPUTED_VALUE"""),"Junu Song (12)")</f>
        <v>Junu Song (12)</v>
      </c>
      <c r="D153" t="str">
        <f>IFERROR(__xludf.DUMMYFUNCTION("""COMPUTED_VALUE"""),"Daniel Jung (12)")</f>
        <v>Daniel Jung (12)</v>
      </c>
      <c r="E153" t="str">
        <f>IFERROR(__xludf.DUMMYFUNCTION("""COMPUTED_VALUE"""),"Gary Lin (11)")</f>
        <v>Gary Lin (11)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IFERROR(__xludf.DUMMYFUNCTION("""COMPUTED_VALUE"""),"Shreyank Kadadi (12)")</f>
        <v>Shreyank Kadadi (12)</v>
      </c>
      <c r="I153" t="str">
        <f>IFERROR(__xludf.DUMMYFUNCTION("""COMPUTED_VALUE"""),"Jonathan Hsieh (12)")</f>
        <v>Jonathan Hsieh (12)</v>
      </c>
      <c r="J153" t="str">
        <f>IFERROR(__xludf.DUMMYFUNCTION("""COMPUTED_VALUE"""),"Kevin Luo (10)")</f>
        <v>Kevin Luo (10)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9!C32:H36""),IMPORTRANGE(""1zr0uYCpJ5izByVOUCsr6JXezthGEdLXnwOrjIKGx5XI"",""Round 9!M32:R36"")}"),20.0)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IFERROR(__xludf.DUMMYFUNCTION("""COMPUTED_VALUE"""),6.0)</f>
        <v>6</v>
      </c>
      <c r="C155">
        <f>IFERROR(__xludf.DUMMYFUNCTION("""COMPUTED_VALUE"""),2.0)</f>
        <v>2</v>
      </c>
      <c r="D155">
        <f>IFERROR(__xludf.DUMMYFUNCTION("""COMPUTED_VALUE"""),0.0)</f>
        <v>0</v>
      </c>
      <c r="E155">
        <f>IFERROR(__xludf.DUMMYFUNCTION("""COMPUTED_VALUE"""),3.0)</f>
        <v>3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IFERROR(__xludf.DUMMYFUNCTION("""COMPUTED_VALUE"""),3.0)</f>
        <v>3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IFERROR(__xludf.DUMMYFUNCTION("""COMPUTED_VALUE"""),3.0)</f>
        <v>3</v>
      </c>
      <c r="C156">
        <f>IFERROR(__xludf.DUMMYFUNCTION("""COMPUTED_VALUE"""),1.0)</f>
        <v>1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IFERROR(__xludf.DUMMYFUNCTION("""COMPUTED_VALUE"""),1.0)</f>
        <v>1</v>
      </c>
      <c r="I156">
        <f>IFERROR(__xludf.DUMMYFUNCTION("""COMPUTED_VALUE"""),1.0)</f>
        <v>1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IFERROR(__xludf.DUMMYFUNCTION("""COMPUTED_VALUE"""),1.0)</f>
        <v>1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IFERROR(__xludf.DUMMYFUNCTION("""COMPUTED_VALUE"""),1.0)</f>
        <v>1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IFERROR(__xludf.DUMMYFUNCTION("""COMPUTED_VALUE"""),115.0)</f>
        <v>115</v>
      </c>
      <c r="C158">
        <f>IFERROR(__xludf.DUMMYFUNCTION("""COMPUTED_VALUE"""),40.0)</f>
        <v>40</v>
      </c>
      <c r="D158">
        <f>IFERROR(__xludf.DUMMYFUNCTION("""COMPUTED_VALUE"""),0.0)</f>
        <v>0</v>
      </c>
      <c r="E158">
        <f>IFERROR(__xludf.DUMMYFUNCTION("""COMPUTED_VALUE"""),45.0)</f>
        <v>45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IFERROR(__xludf.DUMMYFUNCTION("""COMPUTED_VALUE"""),10.0)</f>
        <v>10</v>
      </c>
      <c r="I158">
        <f>IFERROR(__xludf.DUMMYFUNCTION("""COMPUTED_VALUE"""),55.0)</f>
        <v>55</v>
      </c>
      <c r="J158">
        <f>IFERROR(__xludf.DUMMYFUNCTION("""COMPUTED_VALUE"""),-5.0)</f>
        <v>-5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9!W1"")"),"Question: 21")</f>
        <v>Question: 21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9!C1:H3""),IMPORTRANGE(""1TVrjNI5RE1VozIr906BhaTKMFP0VPx8aUGpyt_loukE"",""Round 9!M1:R3"")}"),"Canyon Crest C (V)")</f>
        <v>Canyon Crest C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9!I32""))"),"A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9!S32""))"),"B BP: 0")</f>
        <v>B BP: 0</v>
      </c>
      <c r="B163" t="str">
        <f>IFERROR(__xludf.DUMMYFUNCTION("""COMPUTED_VALUE"""),"Paul Mola (11)")</f>
        <v>Paul Mola (11)</v>
      </c>
      <c r="C163" t="str">
        <f>IFERROR(__xludf.DUMMYFUNCTION("""COMPUTED_VALUE"""),"James Wright (11)")</f>
        <v>James Wright (11)</v>
      </c>
      <c r="D163" t="str">
        <f>IFERROR(__xludf.DUMMYFUNCTION("""COMPUTED_VALUE"""),"Cade McAllister (10)")</f>
        <v>Cade McAllister (10)</v>
      </c>
      <c r="E163" t="str">
        <f>IFERROR(__xludf.DUMMYFUNCTION("""COMPUTED_VALUE"""),"Nithin Chilakapati (10)")</f>
        <v>Nithin Chilakapati (10)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9!C32:H36""),IMPORTRANGE(""1TVrjNI5RE1VozIr906BhaTKMFP0VPx8aUGpyt_loukE"",""Round 9!M32:R36"")}"),20.0)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9!W1"")"),"Question: 1")</f>
        <v>Question: 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9!C1:H3""),IMPORTRANGE(""1xRz0po-ejgp-QRvMkY44z3u2CePgTccasdyrrVALbmE"",""Round 9!M1:R3"")}"),"Team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9!I32""))"),"A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9!S32""))"),"B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9!C32:H36""),IMPORTRANGE(""1xRz0po-ejgp-QRvMkY44z3u2CePgTccasdyrrVALbmE"",""Round 9!M32:R36"")}"),20.0)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9!W1"")"),"Question: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10!C1:H3""),IMPORTRANGE(""1JXwZ4AjXctyKvWy9qFKCX518NRYJYhSX9Jii0HPBCUs"",""Round 10!M1:R3"")}"),"Team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10!I32""))"),"A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10!S32""))"),"B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10!C32:H36""),IMPORTRANGE(""1JXwZ4AjXctyKvWy9qFKCX518NRYJYhSX9Jii0HPBCUs"",""Round 10!M32:R36"")}"),20.0)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10!W1"")"),"Question: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10!C1:H3""),IMPORTRANGE(""1GBDUn_ZojNLX5OJCVBEhvJbdm0c55Z7lPcE4L6WH89o"",""Round 10!M1:R3"")}"),"Team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10!I32""))"),"A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10!S32""))"),"B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10!C32:H36""),IMPORTRANGE(""1GBDUn_ZojNLX5OJCVBEhvJbdm0c55Z7lPcE4L6WH89o"",""Round 10!M32:R36"")}"),20.0)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10!W1"")"),"Question: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10!C1:H3""),IMPORTRANGE(""19Dum1qlL_dEwf1AEniLf02Eg9XaNXi1GMkI5M4_Ei6w"",""Round 10!M1:R3"")}"),"Team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10!I32""))"),"A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10!S32""))"),"B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10!C32:H36""),IMPORTRANGE(""19Dum1qlL_dEwf1AEniLf02Eg9XaNXi1GMkI5M4_Ei6w"",""Round 10!M32:R36"")}"),20.0)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10!W1"")"),"Question: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10!C1:H3""),IMPORTRANGE(""18KjuM_F6goZYnozVb7folIb5Hw_mfKQrNdVWKGx6j4s"",""Round 10!M1:R3"")}"),"Rancho Bernardo (JV)")</f>
        <v>Rancho Bernardo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IFERROR(__xludf.DUMMYFUNCTION("""COMPUTED_VALUE"""),"La Serna A (JV)")</f>
        <v>La Serna A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10!I32""))"),"A BP: 170")</f>
        <v>A BP: 170</v>
      </c>
      <c r="B32" t="str">
        <f>IFERROR(__xludf.DUMMYFUNCTION("""COMPUTED_VALUE"""),"Score: 290")</f>
        <v>Score: 290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200")</f>
        <v>Score: 200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10!S32""))"),"B BP: 110")</f>
        <v>B BP: 110</v>
      </c>
      <c r="B33" t="str">
        <f>IFERROR(__xludf.DUMMYFUNCTION("""COMPUTED_VALUE"""),"Sandy Tran (12)")</f>
        <v>Sandy Tran (12)</v>
      </c>
      <c r="C33" t="str">
        <f>IFERROR(__xludf.DUMMYFUNCTION("""COMPUTED_VALUE"""),"YungYi Sun (12)")</f>
        <v>YungYi Sun (12)</v>
      </c>
      <c r="D33" t="str">
        <f>IFERROR(__xludf.DUMMYFUNCTION("""COMPUTED_VALUE"""),"Katheryn Garrett (11)")</f>
        <v>Katheryn Garrett (11)</v>
      </c>
      <c r="E33" t="str">
        <f>IFERROR(__xludf.DUMMYFUNCTION("""COMPUTED_VALUE"""),"Patrick Joyce (11)")</f>
        <v>Patrick Joyce (11)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IFERROR(__xludf.DUMMYFUNCTION("""COMPUTED_VALUE"""),"Jay Gamez (12)")</f>
        <v>Jay Gamez (12)</v>
      </c>
      <c r="I33" t="str">
        <f>IFERROR(__xludf.DUMMYFUNCTION("""COMPUTED_VALUE"""),"Ian Brennan (12)")</f>
        <v>Ian Brennan (12)</v>
      </c>
      <c r="J33" t="str">
        <f>IFERROR(__xludf.DUMMYFUNCTION("""COMPUTED_VALUE"""),"Cole Aedo (12)")</f>
        <v>Cole Aedo (12)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10!C32:H36""),IMPORTRANGE(""18KjuM_F6goZYnozVb7folIb5Hw_mfKQrNdVWKGx6j4s"",""Round 10!M32:R36"")}"),20.0)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IFERROR(__xludf.DUMMYFUNCTION("""COMPUTED_VALUE"""),0.0)</f>
        <v>0</v>
      </c>
      <c r="C35">
        <f>IFERROR(__xludf.DUMMYFUNCTION("""COMPUTED_VALUE"""),1.0)</f>
        <v>1</v>
      </c>
      <c r="D35">
        <f>IFERROR(__xludf.DUMMYFUNCTION("""COMPUTED_VALUE"""),0.0)</f>
        <v>0</v>
      </c>
      <c r="E35">
        <f>IFERROR(__xludf.DUMMYFUNCTION("""COMPUTED_VALUE"""),1.0)</f>
        <v>1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IFERROR(__xludf.DUMMYFUNCTION("""COMPUTED_VALUE"""),5.0)</f>
        <v>5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IFERROR(__xludf.DUMMYFUNCTION("""COMPUTED_VALUE"""),5.0)</f>
        <v>5</v>
      </c>
      <c r="C36">
        <f>IFERROR(__xludf.DUMMYFUNCTION("""COMPUTED_VALUE"""),2.0)</f>
        <v>2</v>
      </c>
      <c r="D36">
        <f>IFERROR(__xludf.DUMMYFUNCTION("""COMPUTED_VALUE"""),0.0)</f>
        <v>0</v>
      </c>
      <c r="E36">
        <f>IFERROR(__xludf.DUMMYFUNCTION("""COMPUTED_VALUE"""),2.0)</f>
        <v>2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IFERROR(__xludf.DUMMYFUNCTION("""COMPUTED_VALUE"""),2.0)</f>
        <v>2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IFERROR(__xludf.DUMMYFUNCTION("""COMPUTED_VALUE"""),1.0)</f>
        <v>1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IFERROR(__xludf.DUMMYFUNCTION("""COMPUTED_VALUE"""),50.0)</f>
        <v>50</v>
      </c>
      <c r="C38">
        <f>IFERROR(__xludf.DUMMYFUNCTION("""COMPUTED_VALUE"""),35.0)</f>
        <v>35</v>
      </c>
      <c r="D38">
        <f>IFERROR(__xludf.DUMMYFUNCTION("""COMPUTED_VALUE"""),0.0)</f>
        <v>0</v>
      </c>
      <c r="E38">
        <f>IFERROR(__xludf.DUMMYFUNCTION("""COMPUTED_VALUE"""),35.0)</f>
        <v>35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IFERROR(__xludf.DUMMYFUNCTION("""COMPUTED_VALUE"""),-5.0)</f>
        <v>-5</v>
      </c>
      <c r="J38">
        <f>IFERROR(__xludf.DUMMYFUNCTION("""COMPUTED_VALUE"""),95.0)</f>
        <v>95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10!W1"")"),"Question: 21")</f>
        <v>Question: 21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10!C1:H3""),IMPORTRANGE(""1_YEY20HiFjspjicPICCMlL_lQXsksdB6d3m5vzHwuOI"",""Round 10!M1:R3"")}"),"Oak Valley A (JV)")</f>
        <v>Oak Valley A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A (JV)")</f>
        <v>Black Mountain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10!I32""))"),"A BP: 260")</f>
        <v>A BP: 260</v>
      </c>
      <c r="B42" t="str">
        <f>IFERROR(__xludf.DUMMYFUNCTION("""COMPUTED_VALUE"""),"Score: 405")</f>
        <v>Score: 405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190")</f>
        <v>Score: 190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10!S32""))"),"B BP: 100")</f>
        <v>B BP: 100</v>
      </c>
      <c r="B43" t="str">
        <f>IFERROR(__xludf.DUMMYFUNCTION("""COMPUTED_VALUE"""),"Conner Feng (8)")</f>
        <v>Conner Feng (8)</v>
      </c>
      <c r="C43" t="str">
        <f>IFERROR(__xludf.DUMMYFUNCTION("""COMPUTED_VALUE"""),"Jadon Pandian (7)")</f>
        <v>Jadon Pandian (7)</v>
      </c>
      <c r="D43" t="str">
        <f>IFERROR(__xludf.DUMMYFUNCTION("""COMPUTED_VALUE"""),"Jonas Brown (7)")</f>
        <v>Jonas Brown (7)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IFERROR(__xludf.DUMMYFUNCTION("""COMPUTED_VALUE"""),"Adarsh Venkateswaran (8)")</f>
        <v>Adarsh Venkateswaran (8)</v>
      </c>
      <c r="I43" t="str">
        <f>IFERROR(__xludf.DUMMYFUNCTION("""COMPUTED_VALUE"""),"Anvit Watwani (7)")</f>
        <v>Anvit Watwani (7)</v>
      </c>
      <c r="J43" t="str">
        <f>IFERROR(__xludf.DUMMYFUNCTION("""COMPUTED_VALUE"""),"Edwin Chang (8)")</f>
        <v>Edwin Chang (8)</v>
      </c>
      <c r="K43" t="str">
        <f>IFERROR(__xludf.DUMMYFUNCTION("""COMPUTED_VALUE"""),"Tanvi Bhide (7)")</f>
        <v>Tanvi Bhide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10!C32:H36""),IMPORTRANGE(""1_YEY20HiFjspjicPICCMlL_lQXsksdB6d3m5vzHwuOI"",""Round 10!M32:R36"")}"),20.0)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IFERROR(__xludf.DUMMYFUNCTION("""COMPUTED_VALUE"""),2.0)</f>
        <v>2</v>
      </c>
      <c r="C45">
        <f>IFERROR(__xludf.DUMMYFUNCTION("""COMPUTED_VALUE"""),2.0)</f>
        <v>2</v>
      </c>
      <c r="D45">
        <f>IFERROR(__xludf.DUMMYFUNCTION("""COMPUTED_VALUE"""),1.0)</f>
        <v>1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IFERROR(__xludf.DUMMYFUNCTION("""COMPUTED_VALUE"""),1.0)</f>
        <v>1</v>
      </c>
      <c r="I45">
        <f>IFERROR(__xludf.DUMMYFUNCTION("""COMPUTED_VALUE"""),0.0)</f>
        <v>0</v>
      </c>
      <c r="J45">
        <f>IFERROR(__xludf.DUMMYFUNCTION("""COMPUTED_VALUE"""),1.0)</f>
        <v>1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IFERROR(__xludf.DUMMYFUNCTION("""COMPUTED_VALUE"""),4.0)</f>
        <v>4</v>
      </c>
      <c r="C46">
        <f>IFERROR(__xludf.DUMMYFUNCTION("""COMPUTED_VALUE"""),0.0)</f>
        <v>0</v>
      </c>
      <c r="D46">
        <f>IFERROR(__xludf.DUMMYFUNCTION("""COMPUTED_VALUE"""),3.0)</f>
        <v>3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IFERROR(__xludf.DUMMYFUNCTION("""COMPUTED_VALUE"""),3.0)</f>
        <v>3</v>
      </c>
      <c r="I46">
        <f>IFERROR(__xludf.DUMMYFUNCTION("""COMPUTED_VALUE"""),1.0)</f>
        <v>1</v>
      </c>
      <c r="J46">
        <f>IFERROR(__xludf.DUMMYFUNCTION("""COMPUTED_VALUE"""),2.0)</f>
        <v>2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IFERROR(__xludf.DUMMYFUNCTION("""COMPUTED_VALUE"""),70.0)</f>
        <v>70</v>
      </c>
      <c r="C48">
        <f>IFERROR(__xludf.DUMMYFUNCTION("""COMPUTED_VALUE"""),30.0)</f>
        <v>30</v>
      </c>
      <c r="D48">
        <f>IFERROR(__xludf.DUMMYFUNCTION("""COMPUTED_VALUE"""),45.0)</f>
        <v>45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IFERROR(__xludf.DUMMYFUNCTION("""COMPUTED_VALUE"""),45.0)</f>
        <v>45</v>
      </c>
      <c r="I48">
        <f>IFERROR(__xludf.DUMMYFUNCTION("""COMPUTED_VALUE"""),10.0)</f>
        <v>10</v>
      </c>
      <c r="J48">
        <f>IFERROR(__xludf.DUMMYFUNCTION("""COMPUTED_VALUE"""),35.0)</f>
        <v>35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10!W1"")"),"Question: 21")</f>
        <v>Question: 21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10!C1:H3""),IMPORTRANGE(""1SYS5Ef48991ZUgqcGqj51eX2YgqKCzfrEZ_pUY01Lwo"",""Round 10!M1:R3"")}"),"Westview C (JV)")</f>
        <v>Westview C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IFERROR(__xludf.DUMMYFUNCTION("""COMPUTED_VALUE"""),"Oak Valley B (JV)")</f>
        <v>Oak Valley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10!I32""))"),"A BP: 180")</f>
        <v>A BP: 180</v>
      </c>
      <c r="B52" t="str">
        <f>IFERROR(__xludf.DUMMYFUNCTION("""COMPUTED_VALUE"""),"Score: 300")</f>
        <v>Score: 300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210")</f>
        <v>Score: 210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10!S32""))"),"B BP: 140")</f>
        <v>B BP: 140</v>
      </c>
      <c r="B53" t="str">
        <f>IFERROR(__xludf.DUMMYFUNCTION("""COMPUTED_VALUE"""),"Rohan Kumar (11)")</f>
        <v>Rohan Kumar (11)</v>
      </c>
      <c r="C53" t="str">
        <f>IFERROR(__xludf.DUMMYFUNCTION("""COMPUTED_VALUE"""),"Aiken Wang (9)")</f>
        <v>Aiken Wang (9)</v>
      </c>
      <c r="D53" t="str">
        <f>IFERROR(__xludf.DUMMYFUNCTION("""COMPUTED_VALUE"""),"Radhika Sreelal (10)")</f>
        <v>Radhika Sreelal (10)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IFERROR(__xludf.DUMMYFUNCTION("""COMPUTED_VALUE"""),"Rohan Gaikwad (8)")</f>
        <v>Rohan Gaikwad (8)</v>
      </c>
      <c r="I53" t="str">
        <f>IFERROR(__xludf.DUMMYFUNCTION("""COMPUTED_VALUE"""),"John Bruvold (8)")</f>
        <v>John Bruvold (8)</v>
      </c>
      <c r="J53" t="str">
        <f>IFERROR(__xludf.DUMMYFUNCTION("""COMPUTED_VALUE"""),"Amina Aslam-Mir (7)")</f>
        <v>Amina Aslam-Mir (7)</v>
      </c>
      <c r="K53" t="str">
        <f>IFERROR(__xludf.DUMMYFUNCTION("""COMPUTED_VALUE"""),"Ethan Huang (7)")</f>
        <v>Ethan Huang (7)</v>
      </c>
      <c r="L53" t="str">
        <f>IFERROR(__xludf.DUMMYFUNCTION("""COMPUTED_VALUE"""),"Aditi Bandaru (7)")</f>
        <v>Aditi Bandaru (7)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10!C32:H36""),IMPORTRANGE(""1SYS5Ef48991ZUgqcGqj51eX2YgqKCzfrEZ_pUY01Lwo"",""Round 10!M32:R36"")}"),20.0)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IFERROR(__xludf.DUMMYFUNCTION("""COMPUTED_VALUE"""),10.0)</f>
        <v>10</v>
      </c>
      <c r="L54">
        <f>IFERROR(__xludf.DUMMYFUNCTION("""COMPUTED_VALUE"""),10.0)</f>
        <v>10</v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IFERROR(__xludf.DUMMYFUNCTION("""COMPUTED_VALUE"""),1.0)</f>
        <v>1</v>
      </c>
      <c r="C55">
        <f>IFERROR(__xludf.DUMMYFUNCTION("""COMPUTED_VALUE"""),3.0)</f>
        <v>3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IFERROR(__xludf.DUMMYFUNCTION("""COMPUTED_VALUE"""),1.0)</f>
        <v>1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IFERROR(__xludf.DUMMYFUNCTION("""COMPUTED_VALUE"""),0.0)</f>
        <v>0</v>
      </c>
      <c r="C56">
        <f>IFERROR(__xludf.DUMMYFUNCTION("""COMPUTED_VALUE"""),6.0)</f>
        <v>6</v>
      </c>
      <c r="D56">
        <f>IFERROR(__xludf.DUMMYFUNCTION("""COMPUTED_VALUE"""),1.0)</f>
        <v>1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IFERROR(__xludf.DUMMYFUNCTION("""COMPUTED_VALUE"""),3.0)</f>
        <v>3</v>
      </c>
      <c r="I56">
        <f>IFERROR(__xludf.DUMMYFUNCTION("""COMPUTED_VALUE"""),2.0)</f>
        <v>2</v>
      </c>
      <c r="J56">
        <f>IFERROR(__xludf.DUMMYFUNCTION("""COMPUTED_VALUE"""),1.0)</f>
        <v>1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IFERROR(__xludf.DUMMYFUNCTION("""COMPUTED_VALUE"""),1.0)</f>
        <v>1</v>
      </c>
      <c r="C57">
        <f>IFERROR(__xludf.DUMMYFUNCTION("""COMPUTED_VALUE"""),1.0)</f>
        <v>1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IFERROR(__xludf.DUMMYFUNCTION("""COMPUTED_VALUE"""),2.0)</f>
        <v>2</v>
      </c>
      <c r="I57">
        <f>IFERROR(__xludf.DUMMYFUNCTION("""COMPUTED_VALUE"""),1.0)</f>
        <v>1</v>
      </c>
      <c r="J57">
        <f>IFERROR(__xludf.DUMMYFUNCTION("""COMPUTED_VALUE"""),1.0)</f>
        <v>1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IFERROR(__xludf.DUMMYFUNCTION("""COMPUTED_VALUE"""),10.0)</f>
        <v>10</v>
      </c>
      <c r="C58">
        <f>IFERROR(__xludf.DUMMYFUNCTION("""COMPUTED_VALUE"""),100.0)</f>
        <v>100</v>
      </c>
      <c r="D58">
        <f>IFERROR(__xludf.DUMMYFUNCTION("""COMPUTED_VALUE"""),10.0)</f>
        <v>10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IFERROR(__xludf.DUMMYFUNCTION("""COMPUTED_VALUE"""),35.0)</f>
        <v>35</v>
      </c>
      <c r="I58">
        <f>IFERROR(__xludf.DUMMYFUNCTION("""COMPUTED_VALUE"""),15.0)</f>
        <v>15</v>
      </c>
      <c r="J58">
        <f>IFERROR(__xludf.DUMMYFUNCTION("""COMPUTED_VALUE"""),20.0)</f>
        <v>20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10!W1"")"),"Question: 21")</f>
        <v>Question: 21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10!C1:H3""),IMPORTRANGE(""1UJlRLlhI2Hg_SAQqQOg0JGdwHhiagF7EVAtCX8UOYFc"",""Round 10!M1:R3"")}"),"Canyon Crest D (JV)")</f>
        <v>Canyon Crest D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IFERROR(__xludf.DUMMYFUNCTION("""COMPUTED_VALUE"""),"Scripps Ranch B (JV)")</f>
        <v>Scripps Ranch B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10!I32""))"),"A BP: 220")</f>
        <v>A BP: 220</v>
      </c>
      <c r="B62" t="str">
        <f>IFERROR(__xludf.DUMMYFUNCTION("""COMPUTED_VALUE"""),"Score: 370")</f>
        <v>Score: 370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105")</f>
        <v>Score: 105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10!S32""))"),"B BP: 60")</f>
        <v>B BP: 60</v>
      </c>
      <c r="B63" t="str">
        <f>IFERROR(__xludf.DUMMYFUNCTION("""COMPUTED_VALUE"""),"Tompson Hsu (12)")</f>
        <v>Tompson Hsu (12)</v>
      </c>
      <c r="C63" t="str">
        <f>IFERROR(__xludf.DUMMYFUNCTION("""COMPUTED_VALUE"""),"Demitrius Hong (12)")</f>
        <v>Demitrius Hong (12)</v>
      </c>
      <c r="D63" t="str">
        <f>IFERROR(__xludf.DUMMYFUNCTION("""COMPUTED_VALUE"""),"Kyle Lu (12)")</f>
        <v>Kyle Lu (12)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IFERROR(__xludf.DUMMYFUNCTION("""COMPUTED_VALUE"""),"Shabdika Gubba (9)")</f>
        <v>Shabdika Gubba (9)</v>
      </c>
      <c r="I63" t="str">
        <f>IFERROR(__xludf.DUMMYFUNCTION("""COMPUTED_VALUE"""),"Sam Wu (9)")</f>
        <v>Sam Wu (9)</v>
      </c>
      <c r="J63" t="str">
        <f>IFERROR(__xludf.DUMMYFUNCTION("""COMPUTED_VALUE"""),"Tristan Thai (9)")</f>
        <v>Tristan Thai (9)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10!C32:H36""),IMPORTRANGE(""1UJlRLlhI2Hg_SAQqQOg0JGdwHhiagF7EVAtCX8UOYFc"",""Round 10!M32:R36"")}"),20.0)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IFERROR(__xludf.DUMMYFUNCTION("""COMPUTED_VALUE"""),3.0)</f>
        <v>3</v>
      </c>
      <c r="C65">
        <f>IFERROR(__xludf.DUMMYFUNCTION("""COMPUTED_VALUE"""),2.0)</f>
        <v>2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IFERROR(__xludf.DUMMYFUNCTION("""COMPUTED_VALUE"""),1.0)</f>
        <v>1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IFERROR(__xludf.DUMMYFUNCTION("""COMPUTED_VALUE"""),2.0)</f>
        <v>2</v>
      </c>
      <c r="C66">
        <f>IFERROR(__xludf.DUMMYFUNCTION("""COMPUTED_VALUE"""),5.0)</f>
        <v>5</v>
      </c>
      <c r="D66">
        <f>IFERROR(__xludf.DUMMYFUNCTION("""COMPUTED_VALUE"""),1.0)</f>
        <v>1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IFERROR(__xludf.DUMMYFUNCTION("""COMPUTED_VALUE"""),3.0)</f>
        <v>3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IFERROR(__xludf.DUMMYFUNCTION("""COMPUTED_VALUE"""),1.0)</f>
        <v>1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IFERROR(__xludf.DUMMYFUNCTION("""COMPUTED_VALUE"""),65.0)</f>
        <v>65</v>
      </c>
      <c r="C68">
        <f>IFERROR(__xludf.DUMMYFUNCTION("""COMPUTED_VALUE"""),75.0)</f>
        <v>75</v>
      </c>
      <c r="D68">
        <f>IFERROR(__xludf.DUMMYFUNCTION("""COMPUTED_VALUE"""),10.0)</f>
        <v>10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IFERROR(__xludf.DUMMYFUNCTION("""COMPUTED_VALUE"""),45.0)</f>
        <v>45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10!W1"")"),"Question: 21")</f>
        <v>Question: 21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10!C1:H3""),IMPORTRANGE(""1jA96n0qbauznSt6-hkr51AslpxJqfrWgkafVtMV8_xU"",""Round 10!M1:R3"")}"),"Oak Valley C (JV)")</f>
        <v>Oak Valley C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IFERROR(__xludf.DUMMYFUNCTION("""COMPUTED_VALUE"""),"Troy B (JV)")</f>
        <v>Troy B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10!I32""))"),"A BP: 50")</f>
        <v>A BP: 50</v>
      </c>
      <c r="B72" t="str">
        <f>IFERROR(__xludf.DUMMYFUNCTION("""COMPUTED_VALUE"""),"Score: 100")</f>
        <v>Score: 100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275")</f>
        <v>Score: 275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10!S32""))"),"B BP: 140")</f>
        <v>B BP: 140</v>
      </c>
      <c r="B73" t="str">
        <f>IFERROR(__xludf.DUMMYFUNCTION("""COMPUTED_VALUE"""),"Saanvi Agarwal (6)")</f>
        <v>Saanvi Agarwal (6)</v>
      </c>
      <c r="C73" t="str">
        <f>IFERROR(__xludf.DUMMYFUNCTION("""COMPUTED_VALUE"""),"Tay Kim (7)")</f>
        <v>Tay Kim (7)</v>
      </c>
      <c r="D73" t="str">
        <f>IFERROR(__xludf.DUMMYFUNCTION("""COMPUTED_VALUE"""),"Chinmay Ramamurthy (7)")</f>
        <v>Chinmay Ramamurthy (7)</v>
      </c>
      <c r="E73" t="str">
        <f>IFERROR(__xludf.DUMMYFUNCTION("""COMPUTED_VALUE"""),"Sarah Feng (6)")</f>
        <v>Sarah Feng (6)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IFERROR(__xludf.DUMMYFUNCTION("""COMPUTED_VALUE"""),"Juan Manalo (11)")</f>
        <v>Juan Manalo (11)</v>
      </c>
      <c r="I73" t="str">
        <f>IFERROR(__xludf.DUMMYFUNCTION("""COMPUTED_VALUE"""),"Luke Waldo (11)")</f>
        <v>Luke Waldo (11)</v>
      </c>
      <c r="J73" t="str">
        <f>IFERROR(__xludf.DUMMYFUNCTION("""COMPUTED_VALUE"""),"Ryan Salehi (11)")</f>
        <v>Ryan Salehi (11)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10!C32:H36""),IMPORTRANGE(""1jA96n0qbauznSt6-hkr51AslpxJqfrWgkafVtMV8_xU"",""Round 10!M32:R36"")}"),20.0)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IFERROR(__xludf.DUMMYFUNCTION("""COMPUTED_VALUE"""),1.0)</f>
        <v>1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IFERROR(__xludf.DUMMYFUNCTION("""COMPUTED_VALUE"""),2.0)</f>
        <v>2</v>
      </c>
      <c r="I75">
        <f>IFERROR(__xludf.DUMMYFUNCTION("""COMPUTED_VALUE"""),0.0)</f>
        <v>0</v>
      </c>
      <c r="J75">
        <f>IFERROR(__xludf.DUMMYFUNCTION("""COMPUTED_VALUE"""),1.0)</f>
        <v>1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IFERROR(__xludf.DUMMYFUNCTION("""COMPUTED_VALUE"""),1.0)</f>
        <v>1</v>
      </c>
      <c r="C76">
        <f>IFERROR(__xludf.DUMMYFUNCTION("""COMPUTED_VALUE"""),0.0)</f>
        <v>0</v>
      </c>
      <c r="D76">
        <f>IFERROR(__xludf.DUMMYFUNCTION("""COMPUTED_VALUE"""),3.0)</f>
        <v>3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IFERROR(__xludf.DUMMYFUNCTION("""COMPUTED_VALUE"""),2.0)</f>
        <v>2</v>
      </c>
      <c r="I76">
        <f>IFERROR(__xludf.DUMMYFUNCTION("""COMPUTED_VALUE"""),6.0)</f>
        <v>6</v>
      </c>
      <c r="J76">
        <f>IFERROR(__xludf.DUMMYFUNCTION("""COMPUTED_VALUE"""),1.0)</f>
        <v>1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IFERROR(__xludf.DUMMYFUNCTION("""COMPUTED_VALUE"""),1.0)</f>
        <v>1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IFERROR(__xludf.DUMMYFUNCTION("""COMPUTED_VALUE"""),10.0)</f>
        <v>10</v>
      </c>
      <c r="C78">
        <f>IFERROR(__xludf.DUMMYFUNCTION("""COMPUTED_VALUE"""),-5.0)</f>
        <v>-5</v>
      </c>
      <c r="D78">
        <f>IFERROR(__xludf.DUMMYFUNCTION("""COMPUTED_VALUE"""),45.0)</f>
        <v>45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IFERROR(__xludf.DUMMYFUNCTION("""COMPUTED_VALUE"""),50.0)</f>
        <v>50</v>
      </c>
      <c r="I78">
        <f>IFERROR(__xludf.DUMMYFUNCTION("""COMPUTED_VALUE"""),60.0)</f>
        <v>60</v>
      </c>
      <c r="J78">
        <f>IFERROR(__xludf.DUMMYFUNCTION("""COMPUTED_VALUE"""),25.0)</f>
        <v>25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10!W1"")"),"Question: 21")</f>
        <v>Question: 21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10!C1:H3""),IMPORTRANGE(""1xw1EOjVhrK1PNJfOYiUsuJNrlpV53SmfJxYsFFolQ3s"",""Round 10!M1:R3"")}"),"Black Mountain B (JV)")</f>
        <v>Black Mountain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IFERROR(__xludf.DUMMYFUNCTION("""COMPUTED_VALUE"""),"Valley Center (JV)")</f>
        <v>Valley Center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10!I32""))"),"A BP: 70")</f>
        <v>A BP: 70</v>
      </c>
      <c r="B82" t="str">
        <f>IFERROR(__xludf.DUMMYFUNCTION("""COMPUTED_VALUE"""),"Score: 155")</f>
        <v>Score: 155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150")</f>
        <v>Score: 150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10!S32""))"),"B BP: 80")</f>
        <v>B BP: 80</v>
      </c>
      <c r="B83" t="str">
        <f>IFERROR(__xludf.DUMMYFUNCTION("""COMPUTED_VALUE"""),"Raina Chatterjee (7)")</f>
        <v>Raina Chatterjee (7)</v>
      </c>
      <c r="C83" t="str">
        <f>IFERROR(__xludf.DUMMYFUNCTION("""COMPUTED_VALUE"""),"Pranay Kulkarni (7)")</f>
        <v>Pranay Kulkarni (7)</v>
      </c>
      <c r="D83" t="str">
        <f>IFERROR(__xludf.DUMMYFUNCTION("""COMPUTED_VALUE"""),"Lauren Yung (8)")</f>
        <v>Lauren Yung (8)</v>
      </c>
      <c r="E83" t="str">
        <f>IFERROR(__xludf.DUMMYFUNCTION("""COMPUTED_VALUE"""),"Anay Sabhnani (7)")</f>
        <v>Anay Sabhnani (7)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IFERROR(__xludf.DUMMYFUNCTION("""COMPUTED_VALUE"""),"Ava Downey (12)")</f>
        <v>Ava Downey (12)</v>
      </c>
      <c r="I83" t="str">
        <f>IFERROR(__xludf.DUMMYFUNCTION("""COMPUTED_VALUE"""),"Aaron Martinez (11)")</f>
        <v>Aaron Martinez (11)</v>
      </c>
      <c r="J83" t="str">
        <f>IFERROR(__xludf.DUMMYFUNCTION("""COMPUTED_VALUE"""),"Mehreen Sing (12)")</f>
        <v>Mehreen Sing (12)</v>
      </c>
      <c r="K83" t="str">
        <f>IFERROR(__xludf.DUMMYFUNCTION("""COMPUTED_VALUE"""),"Leon Thigh (11)")</f>
        <v>Leon Thigh (11)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10!C32:H36""),IMPORTRANGE(""1xw1EOjVhrK1PNJfOYiUsuJNrlpV53SmfJxYsFFolQ3s"",""Round 10!M32:R36"")}"),20.0)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IFERROR(__xludf.DUMMYFUNCTION("""COMPUTED_VALUE"""),1.0)</f>
        <v>1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IFERROR(__xludf.DUMMYFUNCTION("""COMPUTED_VALUE"""),1.0)</f>
        <v>1</v>
      </c>
      <c r="C86">
        <f>IFERROR(__xludf.DUMMYFUNCTION("""COMPUTED_VALUE"""),4.0)</f>
        <v>4</v>
      </c>
      <c r="D86">
        <f>IFERROR(__xludf.DUMMYFUNCTION("""COMPUTED_VALUE"""),1.0)</f>
        <v>1</v>
      </c>
      <c r="E86">
        <f>IFERROR(__xludf.DUMMYFUNCTION("""COMPUTED_VALUE"""),1.0)</f>
        <v>1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IFERROR(__xludf.DUMMYFUNCTION("""COMPUTED_VALUE"""),1.0)</f>
        <v>1</v>
      </c>
      <c r="I86">
        <f>IFERROR(__xludf.DUMMYFUNCTION("""COMPUTED_VALUE"""),7.0)</f>
        <v>7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IFERROR(__xludf.DUMMYFUNCTION("""COMPUTED_VALUE"""),1.0)</f>
        <v>1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IFERROR(__xludf.DUMMYFUNCTION("""COMPUTED_VALUE"""),1.0)</f>
        <v>1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IFERROR(__xludf.DUMMYFUNCTION("""COMPUTED_VALUE"""),10.0)</f>
        <v>10</v>
      </c>
      <c r="C88">
        <f>IFERROR(__xludf.DUMMYFUNCTION("""COMPUTED_VALUE"""),55.0)</f>
        <v>55</v>
      </c>
      <c r="D88">
        <f>IFERROR(__xludf.DUMMYFUNCTION("""COMPUTED_VALUE"""),10.0)</f>
        <v>10</v>
      </c>
      <c r="E88">
        <f>IFERROR(__xludf.DUMMYFUNCTION("""COMPUTED_VALUE"""),10.0)</f>
        <v>10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IFERROR(__xludf.DUMMYFUNCTION("""COMPUTED_VALUE"""),5.0)</f>
        <v>5</v>
      </c>
      <c r="I88">
        <f>IFERROR(__xludf.DUMMYFUNCTION("""COMPUTED_VALUE"""),70.0)</f>
        <v>70</v>
      </c>
      <c r="J88">
        <f>IFERROR(__xludf.DUMMYFUNCTION("""COMPUTED_VALUE"""),0.0)</f>
        <v>0</v>
      </c>
      <c r="K88">
        <f>IFERROR(__xludf.DUMMYFUNCTION("""COMPUTED_VALUE"""),-5.0)</f>
        <v>-5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10!W1"")"),"Question: 21")</f>
        <v>Question: 21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10!C1:H3""),IMPORTRANGE(""15wOrdFuJAb1a4MoX5CG4apiBD2jUJ7mBu58Uk-8Mo7s"",""Round 10!M1:R3"")}"),"Team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10!I32""))"),"A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10!S32""))"),"B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10!C32:H36""),IMPORTRANGE(""15wOrdFuJAb1a4MoX5CG4apiBD2jUJ7mBu58Uk-8Mo7s"",""Round 10!M32:R36"")}"),20.0)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10!W1"")"),"Question: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10!C1:H3""),IMPORTRANGE(""1GfJqS1rsy-VutTmPVnm9E2VdinIG-GnQO5b3bhaiX1s"",""Round 10!M1:R3"")}"),"Team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10!I32""))"),"A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10!S32""))"),"B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10!C32:H36""),IMPORTRANGE(""1GfJqS1rsy-VutTmPVnm9E2VdinIG-GnQO5b3bhaiX1s"",""Round 10!M32:R36"")}"),20.0)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10!W1"")"),"Question: 1")</f>
        <v>Question: 1</v>
      </c>
      <c r="B109" s="7" t="s">
        <v>150</v>
      </c>
    </row>
    <row r="110">
      <c r="A110" s="6"/>
    </row>
    <row r="111">
      <c r="A111" s="2" t="s">
        <v>166</v>
      </c>
      <c r="B111" t="str">
        <f>IFERROR(__xludf.DUMMYFUNCTION("{IMPORTRANGE(""17CLUEFflDBSa8dyH5vsXfHme4RV8IhzD-mxe9_c9I5k"",""Round 10!C1:H3""),IMPORTRANGE(""17CLUEFflDBSa8dyH5vsXfHme4RV8IhzD-mxe9_c9I5k"",""Round 10!M1:R3"")}"),"Canyon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IFERROR(__xludf.DUMMYFUNCTION("""COMPUTED_VALUE"""),"Westview B (V)")</f>
        <v>Westview B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10!I32""))"),"A BP: 100")</f>
        <v>A BP: 100</v>
      </c>
      <c r="B112" t="str">
        <f>IFERROR(__xludf.DUMMYFUNCTION("""COMPUTED_VALUE"""),"Score: 150")</f>
        <v>Score: 150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400")</f>
        <v>Score: 400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10!S32""))"),"B BP: 230")</f>
        <v>B BP: 230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IFERROR(__xludf.DUMMYFUNCTION("""COMPUTED_VALUE"""),"Nicholas Dai (11)")</f>
        <v>Nicholas Dai (11)</v>
      </c>
      <c r="I113" t="str">
        <f>IFERROR(__xludf.DUMMYFUNCTION("""COMPUTED_VALUE"""),"Rohan Venkateswaran (12)")</f>
        <v>Rohan Venkateswaran (12)</v>
      </c>
      <c r="J113" t="str">
        <f>IFERROR(__xludf.DUMMYFUNCTION("""COMPUTED_VALUE"""),"Andrew Jia (11)")</f>
        <v>Andrew Jia (11)</v>
      </c>
      <c r="K113" t="str">
        <f>IFERROR(__xludf.DUMMYFUNCTION("""COMPUTED_VALUE"""),"Richard Lin (9)")</f>
        <v>Richard Lin (9)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10!C32:H36""),IMPORTRANGE(""17CLUEFflDBSa8dyH5vsXfHme4RV8IhzD-mxe9_c9I5k"",""Round 10!M32:R36"")}"),20.0)</f>
        <v>20</v>
      </c>
      <c r="C114">
        <f>IFERROR(__xludf.DUMMYFUNCTION("""COMPUTED_VALUE"""),20.0)</f>
        <v>20</v>
      </c>
      <c r="D114">
        <f>IFERROR(__xludf.DUMMYFUNCTION("""COMPUTED_VALUE"""),10.0)</f>
        <v>10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IFERROR(__xludf.DUMMYFUNCTION("""COMPUTED_VALUE"""),3.0)</f>
        <v>3</v>
      </c>
      <c r="C115">
        <f>IFERROR(__xludf.DUMMYFUNCTION("""COMPUTED_VALUE"""),1.0)</f>
        <v>1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IFERROR(__xludf.DUMMYFUNCTION("""COMPUTED_VALUE"""),1.0)</f>
        <v>1</v>
      </c>
      <c r="I115">
        <f>IFERROR(__xludf.DUMMYFUNCTION("""COMPUTED_VALUE"""),5.0)</f>
        <v>5</v>
      </c>
      <c r="J115">
        <f>IFERROR(__xludf.DUMMYFUNCTION("""COMPUTED_VALUE"""),1.0)</f>
        <v>1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IFERROR(__xludf.DUMMYFUNCTION("""COMPUTED_VALUE"""),1.0)</f>
        <v>1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IFERROR(__xludf.DUMMYFUNCTION("""COMPUTED_VALUE"""),2.0)</f>
        <v>2</v>
      </c>
      <c r="I116">
        <f>IFERROR(__xludf.DUMMYFUNCTION("""COMPUTED_VALUE"""),2.0)</f>
        <v>2</v>
      </c>
      <c r="J116">
        <f>IFERROR(__xludf.DUMMYFUNCTION("""COMPUTED_VALUE"""),1.0)</f>
        <v>1</v>
      </c>
      <c r="K116">
        <f>IFERROR(__xludf.DUMMYFUNCTION("""COMPUTED_VALUE"""),2.0)</f>
        <v>2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IFERROR(__xludf.DUMMYFUNCTION("""COMPUTED_VALUE"""),4.0)</f>
        <v>4</v>
      </c>
      <c r="C117">
        <f>IFERROR(__xludf.DUMMYFUNCTION("""COMPUTED_VALUE"""),2.0)</f>
        <v>2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IFERROR(__xludf.DUMMYFUNCTION("""COMPUTED_VALUE"""),1.0)</f>
        <v>1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IFERROR(__xludf.DUMMYFUNCTION("""COMPUTED_VALUE"""),35.0)</f>
        <v>35</v>
      </c>
      <c r="C118">
        <f>IFERROR(__xludf.DUMMYFUNCTION("""COMPUTED_VALUE"""),15.0)</f>
        <v>15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IFERROR(__xludf.DUMMYFUNCTION("""COMPUTED_VALUE"""),35.0)</f>
        <v>35</v>
      </c>
      <c r="I118">
        <f>IFERROR(__xludf.DUMMYFUNCTION("""COMPUTED_VALUE"""),90.0)</f>
        <v>90</v>
      </c>
      <c r="J118">
        <f>IFERROR(__xludf.DUMMYFUNCTION("""COMPUTED_VALUE"""),25.0)</f>
        <v>25</v>
      </c>
      <c r="K118">
        <f>IFERROR(__xludf.DUMMYFUNCTION("""COMPUTED_VALUE"""),20.0)</f>
        <v>20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10!W1"")"),"Question: 21")</f>
        <v>Question: 21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10!C1:H3""),IMPORTRANGE(""1Knt8XDGFY_MP2OzeadT1pDENTLOdk9Ab_Rd9IdW0kzc"",""Round 10!M1:R3"")}"),"Canyon Crest C (V)")</f>
        <v>Canyon Crest C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IFERROR(__xludf.DUMMYFUNCTION("""COMPUTED_VALUE"""),"Cathedral Catholic (V)")</f>
        <v>Cathedral Catholic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10!I32""))"),"A BP: 90")</f>
        <v>A BP: 90</v>
      </c>
      <c r="B122" t="str">
        <f>IFERROR(__xludf.DUMMYFUNCTION("""COMPUTED_VALUE"""),"Score: 135")</f>
        <v>Score: 135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140")</f>
        <v>Score: 140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10!S32""))"),"B BP: 70")</f>
        <v>B BP: 70</v>
      </c>
      <c r="B123" t="str">
        <f>IFERROR(__xludf.DUMMYFUNCTION("""COMPUTED_VALUE"""),"Paul Mola (11)")</f>
        <v>Paul Mola (11)</v>
      </c>
      <c r="C123" t="str">
        <f>IFERROR(__xludf.DUMMYFUNCTION("""COMPUTED_VALUE"""),"James Wright (11)")</f>
        <v>James Wright (11)</v>
      </c>
      <c r="D123" t="str">
        <f>IFERROR(__xludf.DUMMYFUNCTION("""COMPUTED_VALUE"""),"Cade McAllister (10)")</f>
        <v>Cade McAllister (10)</v>
      </c>
      <c r="E123" t="str">
        <f>IFERROR(__xludf.DUMMYFUNCTION("""COMPUTED_VALUE"""),"Nithin Chilakapati (10)")</f>
        <v>Nithin Chilakapati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IFERROR(__xludf.DUMMYFUNCTION("""COMPUTED_VALUE"""),"Ryan Shakiba (10)")</f>
        <v>Ryan Shakiba (10)</v>
      </c>
      <c r="I123" t="str">
        <f>IFERROR(__xludf.DUMMYFUNCTION("""COMPUTED_VALUE"""),"Sinead Archdeacon (10)")</f>
        <v>Sinead Archdeacon (10)</v>
      </c>
      <c r="J123" t="str">
        <f>IFERROR(__xludf.DUMMYFUNCTION("""COMPUTED_VALUE"""),"Jacob Titcomb (11)")</f>
        <v>Jacob Titcomb (11)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10!C32:H36""),IMPORTRANGE(""1Knt8XDGFY_MP2OzeadT1pDENTLOdk9Ab_Rd9IdW0kzc"",""Round 10!M32:R36"")}"),20.0)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IFERROR(__xludf.DUMMYFUNCTION("""COMPUTED_VALUE"""),4.0)</f>
        <v>4</v>
      </c>
      <c r="C126">
        <f>IFERROR(__xludf.DUMMYFUNCTION("""COMPUTED_VALUE"""),2.0)</f>
        <v>2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IFERROR(__xludf.DUMMYFUNCTION("""COMPUTED_VALUE"""),1.0)</f>
        <v>1</v>
      </c>
      <c r="I126">
        <f>IFERROR(__xludf.DUMMYFUNCTION("""COMPUTED_VALUE"""),1.0)</f>
        <v>1</v>
      </c>
      <c r="J126">
        <f>IFERROR(__xludf.DUMMYFUNCTION("""COMPUTED_VALUE"""),6.0)</f>
        <v>6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IFERROR(__xludf.DUMMYFUNCTION("""COMPUTED_VALUE"""),2.0)</f>
        <v>2</v>
      </c>
      <c r="C127">
        <f>IFERROR(__xludf.DUMMYFUNCTION("""COMPUTED_VALUE"""),1.0)</f>
        <v>1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IFERROR(__xludf.DUMMYFUNCTION("""COMPUTED_VALUE"""),1.0)</f>
        <v>1</v>
      </c>
      <c r="I127">
        <f>IFERROR(__xludf.DUMMYFUNCTION("""COMPUTED_VALUE"""),0.0)</f>
        <v>0</v>
      </c>
      <c r="J127">
        <f>IFERROR(__xludf.DUMMYFUNCTION("""COMPUTED_VALUE"""),1.0)</f>
        <v>1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IFERROR(__xludf.DUMMYFUNCTION("""COMPUTED_VALUE"""),30.0)</f>
        <v>30</v>
      </c>
      <c r="C128">
        <f>IFERROR(__xludf.DUMMYFUNCTION("""COMPUTED_VALUE"""),15.0)</f>
        <v>15</v>
      </c>
      <c r="D128">
        <f>IFERROR(__xludf.DUMMYFUNCTION("""COMPUTED_VALUE"""),0.0)</f>
        <v>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IFERROR(__xludf.DUMMYFUNCTION("""COMPUTED_VALUE"""),5.0)</f>
        <v>5</v>
      </c>
      <c r="I128">
        <f>IFERROR(__xludf.DUMMYFUNCTION("""COMPUTED_VALUE"""),10.0)</f>
        <v>10</v>
      </c>
      <c r="J128">
        <f>IFERROR(__xludf.DUMMYFUNCTION("""COMPUTED_VALUE"""),55.0)</f>
        <v>55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10!W1"")"),"Question: 21")</f>
        <v>Question: 21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10!C1:H3""),IMPORTRANGE(""16i4gsLDaJasgGgtJt27HweoboYNaal3qpX3MtxIR2f0"",""Round 10!M1:R3"")}"),"Santa Monica A (V)")</f>
        <v>Santa Monica A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IFERROR(__xludf.DUMMYFUNCTION("""COMPUTED_VALUE"""),"Canyon Crest A (V)")</f>
        <v>Canyon Crest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10!I32""))"),"A BP: 90")</f>
        <v>A BP: 90</v>
      </c>
      <c r="B132" t="str">
        <f>IFERROR(__xludf.DUMMYFUNCTION("""COMPUTED_VALUE"""),"Score: 170")</f>
        <v>Score: 170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300")</f>
        <v>Score: 300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10!S32""))"),"B BP: 190")</f>
        <v>B BP: 190</v>
      </c>
      <c r="B133" t="str">
        <f>IFERROR(__xludf.DUMMYFUNCTION("""COMPUTED_VALUE"""),"Josh Xu (11)")</f>
        <v>Josh Xu (11)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IFERROR(__xludf.DUMMYFUNCTION("""COMPUTED_VALUE"""),"Wesley Zhang (12)")</f>
        <v>Wesley Zhang (12)</v>
      </c>
      <c r="I133" t="str">
        <f>IFERROR(__xludf.DUMMYFUNCTION("""COMPUTED_VALUE"""),"Leo Gu (10)")</f>
        <v>Leo Gu (10)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10!C32:H36""),IMPORTRANGE(""16i4gsLDaJasgGgtJt27HweoboYNaal3qpX3MtxIR2f0"",""Round 10!M32:R36"")}"),20.0)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IFERROR(__xludf.DUMMYFUNCTION("""COMPUTED_VALUE"""),2.0)</f>
        <v>2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IFERROR(__xludf.DUMMYFUNCTION("""COMPUTED_VALUE"""),1.0)</f>
        <v>1</v>
      </c>
      <c r="I135">
        <f>IFERROR(__xludf.DUMMYFUNCTION("""COMPUTED_VALUE"""),1.0)</f>
        <v>1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IFERROR(__xludf.DUMMYFUNCTION("""COMPUTED_VALUE"""),5.0)</f>
        <v>5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IFERROR(__xludf.DUMMYFUNCTION("""COMPUTED_VALUE"""),4.0)</f>
        <v>4</v>
      </c>
      <c r="I136">
        <f>IFERROR(__xludf.DUMMYFUNCTION("""COMPUTED_VALUE"""),5.0)</f>
        <v>5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IFERROR(__xludf.DUMMYFUNCTION("""COMPUTED_VALUE"""),2.0)</f>
        <v>2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IFERROR(__xludf.DUMMYFUNCTION("""COMPUTED_VALUE"""),80.0)</f>
        <v>80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IFERROR(__xludf.DUMMYFUNCTION("""COMPUTED_VALUE"""),45.0)</f>
        <v>45</v>
      </c>
      <c r="I138">
        <f>IFERROR(__xludf.DUMMYFUNCTION("""COMPUTED_VALUE"""),65.0)</f>
        <v>65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10!W1"")"),"Question: 21")</f>
        <v>Question: 21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10!C1:H3""),IMPORTRANGE(""1KRyI2c190uhOTF270Hsdzh1rgG565QIaE9TymteaGNY"",""Round 10!M1:R3"")}"),"La Jolla (V)")</f>
        <v>La Jolla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IFERROR(__xludf.DUMMYFUNCTION("""COMPUTED_VALUE"""),"Troy A (V)")</f>
        <v>Troy A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10!I32""))"),"A BP: 180")</f>
        <v>A BP: 180</v>
      </c>
      <c r="B142" t="str">
        <f>IFERROR(__xludf.DUMMYFUNCTION("""COMPUTED_VALUE"""),"Score: 290")</f>
        <v>Score: 290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120")</f>
        <v>Score: 120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10!S32""))"),"B BP: 60")</f>
        <v>B BP: 60</v>
      </c>
      <c r="B143" t="str">
        <f>IFERROR(__xludf.DUMMYFUNCTION("""COMPUTED_VALUE"""),"David Smith (11)")</f>
        <v>David Smith (11)</v>
      </c>
      <c r="C143" t="str">
        <f>IFERROR(__xludf.DUMMYFUNCTION("""COMPUTED_VALUE"""),"Richard Chao (11)")</f>
        <v>Richard Chao (11)</v>
      </c>
      <c r="D143" t="str">
        <f>IFERROR(__xludf.DUMMYFUNCTION("""COMPUTED_VALUE"""),"Kevin Park (11)")</f>
        <v>Kevin Park (11)</v>
      </c>
      <c r="E143" t="str">
        <f>IFERROR(__xludf.DUMMYFUNCTION("""COMPUTED_VALUE"""),"Caleb Cruz (11)")</f>
        <v>Caleb Cruz (11)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IFERROR(__xludf.DUMMYFUNCTION("""COMPUTED_VALUE"""),"Luke Park (11)")</f>
        <v>Luke Park (11)</v>
      </c>
      <c r="I143" t="str">
        <f>IFERROR(__xludf.DUMMYFUNCTION("""COMPUTED_VALUE"""),"Tyler Kim (11)")</f>
        <v>Tyler Kim (11)</v>
      </c>
      <c r="J143" t="str">
        <f>IFERROR(__xludf.DUMMYFUNCTION("""COMPUTED_VALUE"""),"Henry Tang (10)")</f>
        <v>Henry Tang (10)</v>
      </c>
      <c r="K143" t="str">
        <f>IFERROR(__xludf.DUMMYFUNCTION("""COMPUTED_VALUE"""),"Daniel Shin (10)")</f>
        <v>Daniel Shin (10)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10!C32:H36""),IMPORTRANGE(""1KRyI2c190uhOTF270Hsdzh1rgG565QIaE9TymteaGNY"",""Round 10!M32:R36"")}"),20.0)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IFERROR(__xludf.DUMMYFUNCTION("""COMPUTED_VALUE"""),1.0)</f>
        <v>1</v>
      </c>
      <c r="E145">
        <f>IFERROR(__xludf.DUMMYFUNCTION("""COMPUTED_VALUE"""),1.0)</f>
        <v>1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IFERROR(__xludf.DUMMYFUNCTION("""COMPUTED_VALUE"""),0.0)</f>
        <v>0</v>
      </c>
      <c r="C146">
        <f>IFERROR(__xludf.DUMMYFUNCTION("""COMPUTED_VALUE"""),2.0)</f>
        <v>2</v>
      </c>
      <c r="D146">
        <f>IFERROR(__xludf.DUMMYFUNCTION("""COMPUTED_VALUE"""),4.0)</f>
        <v>4</v>
      </c>
      <c r="E146">
        <f>IFERROR(__xludf.DUMMYFUNCTION("""COMPUTED_VALUE"""),3.0)</f>
        <v>3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IFERROR(__xludf.DUMMYFUNCTION("""COMPUTED_VALUE"""),2.0)</f>
        <v>2</v>
      </c>
      <c r="I146">
        <f>IFERROR(__xludf.DUMMYFUNCTION("""COMPUTED_VALUE"""),1.0)</f>
        <v>1</v>
      </c>
      <c r="J146">
        <f>IFERROR(__xludf.DUMMYFUNCTION("""COMPUTED_VALUE"""),3.0)</f>
        <v>3</v>
      </c>
      <c r="K146">
        <f>IFERROR(__xludf.DUMMYFUNCTION("""COMPUTED_VALUE"""),1.0)</f>
        <v>1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IFERROR(__xludf.DUMMYFUNCTION("""COMPUTED_VALUE"""),2.0)</f>
        <v>2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IFERROR(__xludf.DUMMYFUNCTION("""COMPUTED_VALUE"""),2.0)</f>
        <v>2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IFERROR(__xludf.DUMMYFUNCTION("""COMPUTED_VALUE"""),0.0)</f>
        <v>0</v>
      </c>
      <c r="C148">
        <f>IFERROR(__xludf.DUMMYFUNCTION("""COMPUTED_VALUE"""),20.0)</f>
        <v>20</v>
      </c>
      <c r="D148">
        <f>IFERROR(__xludf.DUMMYFUNCTION("""COMPUTED_VALUE"""),45.0)</f>
        <v>45</v>
      </c>
      <c r="E148">
        <f>IFERROR(__xludf.DUMMYFUNCTION("""COMPUTED_VALUE"""),45.0)</f>
        <v>45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IFERROR(__xludf.DUMMYFUNCTION("""COMPUTED_VALUE"""),20.0)</f>
        <v>20</v>
      </c>
      <c r="I148">
        <f>IFERROR(__xludf.DUMMYFUNCTION("""COMPUTED_VALUE"""),0.0)</f>
        <v>0</v>
      </c>
      <c r="J148">
        <f>IFERROR(__xludf.DUMMYFUNCTION("""COMPUTED_VALUE"""),30.0)</f>
        <v>30</v>
      </c>
      <c r="K148">
        <f>IFERROR(__xludf.DUMMYFUNCTION("""COMPUTED_VALUE"""),10.0)</f>
        <v>10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10!W1"")"),"Question: 21")</f>
        <v>Question: 21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10!C1:H3""),IMPORTRANGE(""1zr0uYCpJ5izByVOUCsr6JXezthGEdLXnwOrjIKGx5XI"",""Round 10!M1:R3"")}"),"Westview A (V)")</f>
        <v>Westview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IFERROR(__xludf.DUMMYFUNCTION("""COMPUTED_VALUE"""),"Arcadia (V)")</f>
        <v>Arcadia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10!I32""))"),"A BP: 290")</f>
        <v>A BP: 290</v>
      </c>
      <c r="B152" t="str">
        <f>IFERROR(__xludf.DUMMYFUNCTION("""COMPUTED_VALUE"""),"Score: 450")</f>
        <v>Score: 450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125")</f>
        <v>Score: 125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10!S32""))"),"B BP: 80")</f>
        <v>B BP: 80</v>
      </c>
      <c r="B153" t="str">
        <f>IFERROR(__xludf.DUMMYFUNCTION("""COMPUTED_VALUE"""),"Shahar Schwartz (12)")</f>
        <v>Shahar Schwartz (12)</v>
      </c>
      <c r="C153" t="str">
        <f>IFERROR(__xludf.DUMMYFUNCTION("""COMPUTED_VALUE"""),"Junu Song (12)")</f>
        <v>Junu Song (12)</v>
      </c>
      <c r="D153" t="str">
        <f>IFERROR(__xludf.DUMMYFUNCTION("""COMPUTED_VALUE"""),"Daniel Jung (12)")</f>
        <v>Daniel Jung (12)</v>
      </c>
      <c r="E153" t="str">
        <f>IFERROR(__xludf.DUMMYFUNCTION("""COMPUTED_VALUE"""),"Gary Lin (11)")</f>
        <v>Gary Lin (11)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IFERROR(__xludf.DUMMYFUNCTION("""COMPUTED_VALUE"""),"Amogh Kulkarni (10)")</f>
        <v>Amogh Kulkarni (10)</v>
      </c>
      <c r="I153" t="str">
        <f>IFERROR(__xludf.DUMMYFUNCTION("""COMPUTED_VALUE"""),"Spencer Cheng (12)")</f>
        <v>Spencer Cheng (12)</v>
      </c>
      <c r="J153" t="str">
        <f>IFERROR(__xludf.DUMMYFUNCTION("""COMPUTED_VALUE"""),"Ryan Sun (10)")</f>
        <v>Ryan Sun (10)</v>
      </c>
      <c r="K153" t="str">
        <f>IFERROR(__xludf.DUMMYFUNCTION("""COMPUTED_VALUE"""),"Michael Kwok (10)")</f>
        <v>Michael Kwok (10)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10!C32:H36""),IMPORTRANGE(""1zr0uYCpJ5izByVOUCsr6JXezthGEdLXnwOrjIKGx5XI"",""Round 10!M32:R36"")}"),20.0)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IFERROR(__xludf.DUMMYFUNCTION("""COMPUTED_VALUE"""),6.0)</f>
        <v>6</v>
      </c>
      <c r="C155">
        <f>IFERROR(__xludf.DUMMYFUNCTION("""COMPUTED_VALUE"""),2.0)</f>
        <v>2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IFERROR(__xludf.DUMMYFUNCTION("""COMPUTED_VALUE"""),2.0)</f>
        <v>2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IFERROR(__xludf.DUMMYFUNCTION("""COMPUTED_VALUE"""),2.0)</f>
        <v>2</v>
      </c>
      <c r="C156">
        <f>IFERROR(__xludf.DUMMYFUNCTION("""COMPUTED_VALUE"""),2.0)</f>
        <v>2</v>
      </c>
      <c r="D156">
        <f>IFERROR(__xludf.DUMMYFUNCTION("""COMPUTED_VALUE"""),2.0)</f>
        <v>2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IFERROR(__xludf.DUMMYFUNCTION("""COMPUTED_VALUE"""),1.0)</f>
        <v>1</v>
      </c>
      <c r="I156">
        <f>IFERROR(__xludf.DUMMYFUNCTION("""COMPUTED_VALUE"""),0.0)</f>
        <v>0</v>
      </c>
      <c r="J156">
        <f>IFERROR(__xludf.DUMMYFUNCTION("""COMPUTED_VALUE"""),1.0)</f>
        <v>1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IFERROR(__xludf.DUMMYFUNCTION("""COMPUTED_VALUE"""),2.0)</f>
        <v>2</v>
      </c>
      <c r="C157">
        <f>IFERROR(__xludf.DUMMYFUNCTION("""COMPUTED_VALUE"""),2.0)</f>
        <v>2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IFERROR(__xludf.DUMMYFUNCTION("""COMPUTED_VALUE"""),1.0)</f>
        <v>1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IFERROR(__xludf.DUMMYFUNCTION("""COMPUTED_VALUE"""),100.0)</f>
        <v>100</v>
      </c>
      <c r="C158">
        <f>IFERROR(__xludf.DUMMYFUNCTION("""COMPUTED_VALUE"""),40.0)</f>
        <v>40</v>
      </c>
      <c r="D158">
        <f>IFERROR(__xludf.DUMMYFUNCTION("""COMPUTED_VALUE"""),20.0)</f>
        <v>20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IFERROR(__xludf.DUMMYFUNCTION("""COMPUTED_VALUE"""),10.0)</f>
        <v>10</v>
      </c>
      <c r="I158">
        <f>IFERROR(__xludf.DUMMYFUNCTION("""COMPUTED_VALUE"""),30.0)</f>
        <v>30</v>
      </c>
      <c r="J158">
        <f>IFERROR(__xludf.DUMMYFUNCTION("""COMPUTED_VALUE"""),5.0)</f>
        <v>5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10!W1"")"),"Question: 21")</f>
        <v>Question: 21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10!C1:H3""),IMPORTRANGE(""1TVrjNI5RE1VozIr906BhaTKMFP0VPx8aUGpyt_loukE"",""Round 10!M1:R3"")}"),"Team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10!I32""))"),"A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10!S32""))"),"B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10!C32:H36""),IMPORTRANGE(""1TVrjNI5RE1VozIr906BhaTKMFP0VPx8aUGpyt_loukE"",""Round 10!M32:R36"")}"),20.0)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10!W1"")"),"Question: 1")</f>
        <v>Question: 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10!C1:H3""),IMPORTRANGE(""1xRz0po-ejgp-QRvMkY44z3u2CePgTccasdyrrVALbmE"",""Round 10!M1:R3"")}"),"Team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10!I32""))"),"A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10!S32""))"),"B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10!C32:H36""),IMPORTRANGE(""1xRz0po-ejgp-QRvMkY44z3u2CePgTccasdyrrVALbmE"",""Round 10!M32:R36"")}"),20.0)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10!W1"")"),"Question: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11!C1:H3""),IMPORTRANGE(""1JXwZ4AjXctyKvWy9qFKCX518NRYJYhSX9Jii0HPBCUs"",""Round 11!M1:R3"")}"),"Westview C (JV)")</f>
        <v>Westview C (JV)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IFERROR(__xludf.DUMMYFUNCTION("""COMPUTED_VALUE"""),"Oak Valley A (JV)")</f>
        <v>Oak Valley A (JV)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11!I32""))"),"A BP: 180")</f>
        <v>A BP: 180</v>
      </c>
      <c r="B2" t="str">
        <f>IFERROR(__xludf.DUMMYFUNCTION("""COMPUTED_VALUE"""),"Score: 245")</f>
        <v>Score: 245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420")</f>
        <v>Score: 420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11!S32""))"),"B BP: 290")</f>
        <v>B BP: 290</v>
      </c>
      <c r="B3" t="str">
        <f>IFERROR(__xludf.DUMMYFUNCTION("""COMPUTED_VALUE"""),"Rohan Kumar (11)")</f>
        <v>Rohan Kumar (11)</v>
      </c>
      <c r="C3" t="str">
        <f>IFERROR(__xludf.DUMMYFUNCTION("""COMPUTED_VALUE"""),"Aiken Wang (9)")</f>
        <v>Aiken Wang (9)</v>
      </c>
      <c r="D3" t="str">
        <f>IFERROR(__xludf.DUMMYFUNCTION("""COMPUTED_VALUE"""),"Radhika Sreelal (10)")</f>
        <v>Radhika Sreelal (10)</v>
      </c>
      <c r="E3" t="str">
        <f>IFERROR(__xludf.DUMMYFUNCTION("""COMPUTED_VALUE"""),"Jonathan D.")</f>
        <v>Jonathan D.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IFERROR(__xludf.DUMMYFUNCTION("""COMPUTED_VALUE"""),"Conner Feng (8)")</f>
        <v>Conner Feng (8)</v>
      </c>
      <c r="I3" t="str">
        <f>IFERROR(__xludf.DUMMYFUNCTION("""COMPUTED_VALUE"""),"Jadon Pandian (7)")</f>
        <v>Jadon Pandian (7)</v>
      </c>
      <c r="J3" t="str">
        <f>IFERROR(__xludf.DUMMYFUNCTION("""COMPUTED_VALUE"""),"Jonas Brown (7)")</f>
        <v>Jonas Brown (7)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11!C32:H36""),IMPORTRANGE(""1JXwZ4AjXctyKvWy9qFKCX518NRYJYhSX9Jii0HPBCUs"",""Round 11!M32:R36"")}"),20.0)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IFERROR(__xludf.DUMMYFUNCTION("""COMPUTED_VALUE"""),1.0)</f>
        <v>1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IFERROR(__xludf.DUMMYFUNCTION("""COMPUTED_VALUE"""),1.0)</f>
        <v>1</v>
      </c>
      <c r="I5">
        <f>IFERROR(__xludf.DUMMYFUNCTION("""COMPUTED_VALUE"""),0.0)</f>
        <v>0</v>
      </c>
      <c r="J5">
        <f>IFERROR(__xludf.DUMMYFUNCTION("""COMPUTED_VALUE"""),1.0)</f>
        <v>1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IFERROR(__xludf.DUMMYFUNCTION("""COMPUTED_VALUE"""),3.0)</f>
        <v>3</v>
      </c>
      <c r="C6">
        <f>IFERROR(__xludf.DUMMYFUNCTION("""COMPUTED_VALUE"""),2.0)</f>
        <v>2</v>
      </c>
      <c r="D6">
        <f>IFERROR(__xludf.DUMMYFUNCTION("""COMPUTED_VALUE"""),0.0)</f>
        <v>0</v>
      </c>
      <c r="E6">
        <f>IFERROR(__xludf.DUMMYFUNCTION("""COMPUTED_VALUE"""),1.0)</f>
        <v>1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IFERROR(__xludf.DUMMYFUNCTION("""COMPUTED_VALUE"""),9.0)</f>
        <v>9</v>
      </c>
      <c r="I6">
        <f>IFERROR(__xludf.DUMMYFUNCTION("""COMPUTED_VALUE"""),0.0)</f>
        <v>0</v>
      </c>
      <c r="J6">
        <f>IFERROR(__xludf.DUMMYFUNCTION("""COMPUTED_VALUE"""),1.0)</f>
        <v>1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IFERROR(__xludf.DUMMYFUNCTION("""COMPUTED_VALUE"""),1.0)</f>
        <v>1</v>
      </c>
      <c r="C7">
        <f>IFERROR(__xludf.DUMMYFUNCTION("""COMPUTED_VALUE"""),0.0)</f>
        <v>0</v>
      </c>
      <c r="D7">
        <f>IFERROR(__xludf.DUMMYFUNCTION("""COMPUTED_VALUE"""),1.0)</f>
        <v>1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IFERROR(__xludf.DUMMYFUNCTION("""COMPUTED_VALUE"""),25.0)</f>
        <v>25</v>
      </c>
      <c r="C8">
        <f>IFERROR(__xludf.DUMMYFUNCTION("""COMPUTED_VALUE"""),35.0)</f>
        <v>35</v>
      </c>
      <c r="D8">
        <f>IFERROR(__xludf.DUMMYFUNCTION("""COMPUTED_VALUE"""),-5.0)</f>
        <v>-5</v>
      </c>
      <c r="E8">
        <f>IFERROR(__xludf.DUMMYFUNCTION("""COMPUTED_VALUE"""),10.0)</f>
        <v>10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IFERROR(__xludf.DUMMYFUNCTION("""COMPUTED_VALUE"""),105.0)</f>
        <v>105</v>
      </c>
      <c r="I8">
        <f>IFERROR(__xludf.DUMMYFUNCTION("""COMPUTED_VALUE"""),0.0)</f>
        <v>0</v>
      </c>
      <c r="J8">
        <f>IFERROR(__xludf.DUMMYFUNCTION("""COMPUTED_VALUE"""),25.0)</f>
        <v>25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11!W1"")"),"Question: 21")</f>
        <v>Question: 21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11!C1:H3""),IMPORTRANGE(""1GBDUn_ZojNLX5OJCVBEhvJbdm0c55Z7lPcE4L6WH89o"",""Round 11!M1:R3"")}"),"Team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11!I32""))"),"A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11!S32""))"),"B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11!C32:H36""),IMPORTRANGE(""1GBDUn_ZojNLX5OJCVBEhvJbdm0c55Z7lPcE4L6WH89o"",""Round 11!M32:R36"")}"),20.0)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11!W1"")"),"Question: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11!C1:H3""),IMPORTRANGE(""19Dum1qlL_dEwf1AEniLf02Eg9XaNXi1GMkI5M4_Ei6w"",""Round 11!M1:R3"")}"),"Team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11!I32""))"),"A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11!S32""))"),"B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11!C32:H36""),IMPORTRANGE(""19Dum1qlL_dEwf1AEniLf02Eg9XaNXi1GMkI5M4_Ei6w"",""Round 11!M32:R36"")}"),20.0)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11!W1"")"),"Question: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11!C1:H3""),IMPORTRANGE(""18KjuM_F6goZYnozVb7folIb5Hw_mfKQrNdVWKGx6j4s"",""Round 11!M1:R3"")}"),"Team A")</f>
        <v>Team A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IFERROR(__xludf.DUMMYFUNCTION("""COMPUTED_VALUE"""),"Team B")</f>
        <v>Team B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11!I32""))"),"A BP: 0")</f>
        <v>A BP: 0</v>
      </c>
      <c r="B32" t="str">
        <f>IFERROR(__xludf.DUMMYFUNCTION("""COMPUTED_VALUE"""),"Score: 0")</f>
        <v>Score: 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0")</f>
        <v>Score: 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11!S32""))"),"B BP: 0")</f>
        <v>B BP: 0</v>
      </c>
      <c r="B33" t="str">
        <f>IFERROR(__xludf.DUMMYFUNCTION("""COMPUTED_VALUE"""),"Player 1")</f>
        <v>Player 1</v>
      </c>
      <c r="C33" t="str">
        <f>IFERROR(__xludf.DUMMYFUNCTION("""COMPUTED_VALUE"""),"Player 2")</f>
        <v>Player 2</v>
      </c>
      <c r="D33" t="str">
        <f>IFERROR(__xludf.DUMMYFUNCTION("""COMPUTED_VALUE"""),"Player 3")</f>
        <v>Player 3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IFERROR(__xludf.DUMMYFUNCTION("""COMPUTED_VALUE"""),"Player 1")</f>
        <v>Player 1</v>
      </c>
      <c r="I33" t="str">
        <f>IFERROR(__xludf.DUMMYFUNCTION("""COMPUTED_VALUE"""),"Player 2")</f>
        <v>Player 2</v>
      </c>
      <c r="J33" t="str">
        <f>IFERROR(__xludf.DUMMYFUNCTION("""COMPUTED_VALUE"""),"Player 3")</f>
        <v>Player 3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11!C32:H36""),IMPORTRANGE(""18KjuM_F6goZYnozVb7folIb5Hw_mfKQrNdVWKGx6j4s"",""Round 11!M32:R36"")}"),20.0)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IFERROR(__xludf.DUMMYFUNCTION("""COMPUTED_VALUE"""),0.0)</f>
        <v>0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IFERROR(__xludf.DUMMYFUNCTION("""COMPUTED_VALUE"""),0.0)</f>
        <v>0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IFERROR(__xludf.DUMMYFUNCTION("""COMPUTED_VALUE"""),0.0)</f>
        <v>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IFERROR(__xludf.DUMMYFUNCTION("""COMPUTED_VALUE"""),0.0)</f>
        <v>0</v>
      </c>
      <c r="J38">
        <f>IFERROR(__xludf.DUMMYFUNCTION("""COMPUTED_VALUE"""),0.0)</f>
        <v>0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11!W1"")"),"Question: 1")</f>
        <v>Question: 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11!C1:H3""),IMPORTRANGE(""1_YEY20HiFjspjicPICCMlL_lQXsksdB6d3m5vzHwuOI"",""Round 11!M1:R3"")}"),"Team A")</f>
        <v>Team A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IFERROR(__xludf.DUMMYFUNCTION("""COMPUTED_VALUE"""),"Team B")</f>
        <v>Team B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11!I32""))"),"A BP: 0")</f>
        <v>A BP: 0</v>
      </c>
      <c r="B42" t="str">
        <f>IFERROR(__xludf.DUMMYFUNCTION("""COMPUTED_VALUE"""),"Score: 0")</f>
        <v>Score: 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0")</f>
        <v>Score: 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11!S32""))"),"B BP: 0")</f>
        <v>B BP: 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IFERROR(__xludf.DUMMYFUNCTION("""COMPUTED_VALUE"""),"Player 1")</f>
        <v>Player 1</v>
      </c>
      <c r="I43" t="str">
        <f>IFERROR(__xludf.DUMMYFUNCTION("""COMPUTED_VALUE"""),"Player 2")</f>
        <v>Player 2</v>
      </c>
      <c r="J43" t="str">
        <f>IFERROR(__xludf.DUMMYFUNCTION("""COMPUTED_VALUE"""),"Player 3")</f>
        <v>Player 3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11!C32:H36""),IMPORTRANGE(""1_YEY20HiFjspjicPICCMlL_lQXsksdB6d3m5vzHwuOI"",""Round 11!M32:R36"")}"),20.0)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11!W1"")"),"Question: 1")</f>
        <v>Question: 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11!C1:H3""),IMPORTRANGE(""1SYS5Ef48991ZUgqcGqj51eX2YgqKCzfrEZ_pUY01Lwo"",""Round 11!M1:R3"")}"),"Team A")</f>
        <v>Team A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IFERROR(__xludf.DUMMYFUNCTION("""COMPUTED_VALUE"""),"Team B")</f>
        <v>Team B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11!I32""))"),"A BP: 0")</f>
        <v>A BP: 0</v>
      </c>
      <c r="B52" t="str">
        <f>IFERROR(__xludf.DUMMYFUNCTION("""COMPUTED_VALUE"""),"Score: 0")</f>
        <v>Score: 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0")</f>
        <v>Score: 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11!S32""))"),"B BP: 0")</f>
        <v>B BP: 0</v>
      </c>
      <c r="B53" t="str">
        <f>IFERROR(__xludf.DUMMYFUNCTION("""COMPUTED_VALUE"""),"Player 1")</f>
        <v>Player 1</v>
      </c>
      <c r="C53" t="str">
        <f>IFERROR(__xludf.DUMMYFUNCTION("""COMPUTED_VALUE"""),"Player 2")</f>
        <v>Player 2</v>
      </c>
      <c r="D53" t="str">
        <f>IFERROR(__xludf.DUMMYFUNCTION("""COMPUTED_VALUE"""),"Player 3")</f>
        <v>Player 3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IFERROR(__xludf.DUMMYFUNCTION("""COMPUTED_VALUE"""),"Player 1")</f>
        <v>Player 1</v>
      </c>
      <c r="I53" t="str">
        <f>IFERROR(__xludf.DUMMYFUNCTION("""COMPUTED_VALUE"""),"Player 2")</f>
        <v>Player 2</v>
      </c>
      <c r="J53" t="str">
        <f>IFERROR(__xludf.DUMMYFUNCTION("""COMPUTED_VALUE"""),"Player 3")</f>
        <v>Player 3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11!C32:H36""),IMPORTRANGE(""1SYS5Ef48991ZUgqcGqj51eX2YgqKCzfrEZ_pUY01Lwo"",""Round 11!M32:R36"")}"),20.0)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IFERROR(__xludf.DUMMYFUNCTION("""COMPUTED_VALUE"""),0.0)</f>
        <v>0</v>
      </c>
      <c r="C56">
        <f>IFERROR(__xludf.DUMMYFUNCTION("""COMPUTED_VALUE"""),0.0)</f>
        <v>0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IFERROR(__xludf.DUMMYFUNCTION("""COMPUTED_VALUE"""),0.0)</f>
        <v>0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IFERROR(__xludf.DUMMYFUNCTION("""COMPUTED_VALUE"""),0.0)</f>
        <v>0</v>
      </c>
      <c r="I58">
        <f>IFERROR(__xludf.DUMMYFUNCTION("""COMPUTED_VALUE"""),0.0)</f>
        <v>0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11!W1"")"),"Question: 1")</f>
        <v>Question: 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11!C1:H3""),IMPORTRANGE(""1UJlRLlhI2Hg_SAQqQOg0JGdwHhiagF7EVAtCX8UOYFc"",""Round 11!M1:R3"")}"),"Team A")</f>
        <v>Team A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IFERROR(__xludf.DUMMYFUNCTION("""COMPUTED_VALUE"""),"Team B")</f>
        <v>Team B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11!I32""))"),"A BP: 0")</f>
        <v>A BP: 0</v>
      </c>
      <c r="B62" t="str">
        <f>IFERROR(__xludf.DUMMYFUNCTION("""COMPUTED_VALUE"""),"Score: 0")</f>
        <v>Score: 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0")</f>
        <v>Score: 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11!S32""))"),"B BP: 0")</f>
        <v>B BP: 0</v>
      </c>
      <c r="B63" t="str">
        <f>IFERROR(__xludf.DUMMYFUNCTION("""COMPUTED_VALUE"""),"Player 1")</f>
        <v>Player 1</v>
      </c>
      <c r="C63" t="str">
        <f>IFERROR(__xludf.DUMMYFUNCTION("""COMPUTED_VALUE"""),"Player 2")</f>
        <v>Player 2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IFERROR(__xludf.DUMMYFUNCTION("""COMPUTED_VALUE"""),"Player 1")</f>
        <v>Player 1</v>
      </c>
      <c r="I63" t="str">
        <f>IFERROR(__xludf.DUMMYFUNCTION("""COMPUTED_VALUE"""),"Player 2")</f>
        <v>Player 2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11!C32:H36""),IMPORTRANGE(""1UJlRLlhI2Hg_SAQqQOg0JGdwHhiagF7EVAtCX8UOYFc"",""Round 11!M32:R36"")}"),20.0)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IFERROR(__xludf.DUMMYFUNCTION("""COMPUTED_VALUE"""),0.0)</f>
        <v>0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11!W1"")"),"Question: 1")</f>
        <v>Question: 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11!C1:H3""),IMPORTRANGE(""1jA96n0qbauznSt6-hkr51AslpxJqfrWgkafVtMV8_xU"",""Round 11!M1:R3"")}"),"Team A")</f>
        <v>Team A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IFERROR(__xludf.DUMMYFUNCTION("""COMPUTED_VALUE"""),"Team B")</f>
        <v>Team B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11!I32""))"),"A BP: 0")</f>
        <v>A BP: 0</v>
      </c>
      <c r="B72" t="str">
        <f>IFERROR(__xludf.DUMMYFUNCTION("""COMPUTED_VALUE"""),"Score: 0")</f>
        <v>Score: 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0")</f>
        <v>Score: 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11!S32""))"),"B BP: 0")</f>
        <v>B BP: 0</v>
      </c>
      <c r="B73" t="str">
        <f>IFERROR(__xludf.DUMMYFUNCTION("""COMPUTED_VALUE"""),"Player 1")</f>
        <v>Player 1</v>
      </c>
      <c r="C73" t="str">
        <f>IFERROR(__xludf.DUMMYFUNCTION("""COMPUTED_VALUE"""),"Player 2")</f>
        <v>Player 2</v>
      </c>
      <c r="D73" t="str">
        <f>IFERROR(__xludf.DUMMYFUNCTION("""COMPUTED_VALUE"""),"Player 3")</f>
        <v>Player 3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IFERROR(__xludf.DUMMYFUNCTION("""COMPUTED_VALUE"""),"Player 1")</f>
        <v>Player 1</v>
      </c>
      <c r="I73" t="str">
        <f>IFERROR(__xludf.DUMMYFUNCTION("""COMPUTED_VALUE"""),"Player 2")</f>
        <v>Player 2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11!C32:H36""),IMPORTRANGE(""1jA96n0qbauznSt6-hkr51AslpxJqfrWgkafVtMV8_xU"",""Round 11!M32:R36"")}"),20.0)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IFERROR(__xludf.DUMMYFUNCTION("""COMPUTED_VALUE"""),0.0)</f>
        <v>0</v>
      </c>
      <c r="C76">
        <f>IFERROR(__xludf.DUMMYFUNCTION("""COMPUTED_VALUE"""),0.0)</f>
        <v>0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IFERROR(__xludf.DUMMYFUNCTION("""COMPUTED_VALUE"""),0.0)</f>
        <v>0</v>
      </c>
      <c r="C78">
        <f>IFERROR(__xludf.DUMMYFUNCTION("""COMPUTED_VALUE"""),0.0)</f>
        <v>0</v>
      </c>
      <c r="D78">
        <f>IFERROR(__xludf.DUMMYFUNCTION("""COMPUTED_VALUE"""),0.0)</f>
        <v>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IFERROR(__xludf.DUMMYFUNCTION("""COMPUTED_VALUE"""),0.0)</f>
        <v>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11!W1"")"),"Question: 1")</f>
        <v>Question: 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11!C1:H3""),IMPORTRANGE(""1xw1EOjVhrK1PNJfOYiUsuJNrlpV53SmfJxYsFFolQ3s"",""Round 11!M1:R3"")}"),"Team A")</f>
        <v>Team A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IFERROR(__xludf.DUMMYFUNCTION("""COMPUTED_VALUE"""),"Team B")</f>
        <v>Team B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11!I32""))"),"A BP: 0")</f>
        <v>A BP: 0</v>
      </c>
      <c r="B82" t="str">
        <f>IFERROR(__xludf.DUMMYFUNCTION("""COMPUTED_VALUE"""),"Score: 0")</f>
        <v>Score: 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0")</f>
        <v>Score: 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11!S32""))"),"B BP: 0")</f>
        <v>B BP: 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IFERROR(__xludf.DUMMYFUNCTION("""COMPUTED_VALUE"""),"Player 3")</f>
        <v>Player 3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IFERROR(__xludf.DUMMYFUNCTION("""COMPUTED_VALUE"""),"Player 1")</f>
        <v>Player 1</v>
      </c>
      <c r="I83" t="str">
        <f>IFERROR(__xludf.DUMMYFUNCTION("""COMPUTED_VALUE"""),"Player 2")</f>
        <v>Player 2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11!C32:H36""),IMPORTRANGE(""1xw1EOjVhrK1PNJfOYiUsuJNrlpV53SmfJxYsFFolQ3s"",""Round 11!M32:R36"")}"),20.0)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IFERROR(__xludf.DUMMYFUNCTION("""COMPUTED_VALUE"""),0.0)</f>
        <v>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11!W1"")"),"Question: 1")</f>
        <v>Question: 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11!C1:H3""),IMPORTRANGE(""15wOrdFuJAb1a4MoX5CG4apiBD2jUJ7mBu58Uk-8Mo7s"",""Round 11!M1:R3"")}"),"Team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11!I32""))"),"A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11!S32""))"),"B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11!C32:H36""),IMPORTRANGE(""15wOrdFuJAb1a4MoX5CG4apiBD2jUJ7mBu58Uk-8Mo7s"",""Round 11!M32:R36"")}"),20.0)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11!W1"")"),"Question: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11!C1:H3""),IMPORTRANGE(""1GfJqS1rsy-VutTmPVnm9E2VdinIG-GnQO5b3bhaiX1s"",""Round 11!M1:R3"")}"),"Team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11!I32""))"),"A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11!S32""))"),"B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11!C32:H36""),IMPORTRANGE(""1GfJqS1rsy-VutTmPVnm9E2VdinIG-GnQO5b3bhaiX1s"",""Round 11!M32:R36"")}"),20.0)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11!W1"")"),"Question: 1")</f>
        <v>Question: 1</v>
      </c>
      <c r="B109" s="7" t="s">
        <v>150</v>
      </c>
    </row>
    <row r="110">
      <c r="A110" s="6"/>
    </row>
    <row r="111">
      <c r="A111" s="2" t="s">
        <v>166</v>
      </c>
      <c r="B111" t="str">
        <f>IFERROR(__xludf.DUMMYFUNCTION("{IMPORTRANGE(""17CLUEFflDBSa8dyH5vsXfHme4RV8IhzD-mxe9_c9I5k"",""Round 11!C1:H3""),IMPORTRANGE(""17CLUEFflDBSa8dyH5vsXfHme4RV8IhzD-mxe9_c9I5k"",""Round 11!M1:R3"")}"),"Team A")</f>
        <v>Team A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IFERROR(__xludf.DUMMYFUNCTION("""COMPUTED_VALUE"""),"Team B")</f>
        <v>Team B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11!I32""))"),"A BP: 0")</f>
        <v>A BP: 0</v>
      </c>
      <c r="B112" t="str">
        <f>IFERROR(__xludf.DUMMYFUNCTION("""COMPUTED_VALUE"""),"Score: 0")</f>
        <v>Score: 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0")</f>
        <v>Score: 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11!S32""))"),"B BP: 0")</f>
        <v>B BP: 0</v>
      </c>
      <c r="B113" t="str">
        <f>IFERROR(__xludf.DUMMYFUNCTION("""COMPUTED_VALUE"""),"Player 1")</f>
        <v>Player 1</v>
      </c>
      <c r="C113" t="str">
        <f>IFERROR(__xludf.DUMMYFUNCTION("""COMPUTED_VALUE"""),"Player 2")</f>
        <v>Player 2</v>
      </c>
      <c r="D113" t="str">
        <f>IFERROR(__xludf.DUMMYFUNCTION("""COMPUTED_VALUE"""),"Player 3")</f>
        <v>Player 3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IFERROR(__xludf.DUMMYFUNCTION("""COMPUTED_VALUE"""),"Player 1")</f>
        <v>Player 1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11!C32:H36""),IMPORTRANGE(""17CLUEFflDBSa8dyH5vsXfHme4RV8IhzD-mxe9_c9I5k"",""Round 11!M32:R36"")}"),20.0)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IFERROR(__xludf.DUMMYFUNCTION("""COMPUTED_VALUE"""),0.0)</f>
        <v>0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IFERROR(__xludf.DUMMYFUNCTION("""COMPUTED_VALUE"""),0.0)</f>
        <v>0</v>
      </c>
      <c r="C116">
        <f>IFERROR(__xludf.DUMMYFUNCTION("""COMPUTED_VALUE"""),0.0)</f>
        <v>0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IFERROR(__xludf.DUMMYFUNCTION("""COMPUTED_VALUE"""),0.0)</f>
        <v>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IFERROR(__xludf.DUMMYFUNCTION("""COMPUTED_VALUE"""),0.0)</f>
        <v>0</v>
      </c>
      <c r="C118">
        <f>IFERROR(__xludf.DUMMYFUNCTION("""COMPUTED_VALUE"""),0.0)</f>
        <v>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IFERROR(__xludf.DUMMYFUNCTION("""COMPUTED_VALUE"""),0.0)</f>
        <v>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11!W1"")"),"Question: 1")</f>
        <v>Question: 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11!C1:H3""),IMPORTRANGE(""1Knt8XDGFY_MP2OzeadT1pDENTLOdk9Ab_Rd9IdW0kzc"",""Round 11!M1:R3"")}"),"Westview A (V)")</f>
        <v>Westview A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IFERROR(__xludf.DUMMYFUNCTION("""COMPUTED_VALUE"""),"Arcadia (V)")</f>
        <v>Arcadia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11!I32""))"),"A BP: 240")</f>
        <v>A BP: 240</v>
      </c>
      <c r="B122" t="str">
        <f>IFERROR(__xludf.DUMMYFUNCTION("""COMPUTED_VALUE"""),"Score: 350")</f>
        <v>Score: 350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310")</f>
        <v>Score: 310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11!S32""))"),"B BP: 190")</f>
        <v>B BP: 190</v>
      </c>
      <c r="B123" t="str">
        <f>IFERROR(__xludf.DUMMYFUNCTION("""COMPUTED_VALUE"""),"Shahar Schwartz (12)")</f>
        <v>Shahar Schwartz (12)</v>
      </c>
      <c r="C123" t="str">
        <f>IFERROR(__xludf.DUMMYFUNCTION("""COMPUTED_VALUE"""),"Junu Song (12)")</f>
        <v>Junu Song (12)</v>
      </c>
      <c r="D123" t="str">
        <f>IFERROR(__xludf.DUMMYFUNCTION("""COMPUTED_VALUE"""),"Daniel Jung (12)")</f>
        <v>Daniel Jung (12)</v>
      </c>
      <c r="E123" t="str">
        <f>IFERROR(__xludf.DUMMYFUNCTION("""COMPUTED_VALUE"""),"Gary Lin (11)")</f>
        <v>Gary Lin (11)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IFERROR(__xludf.DUMMYFUNCTION("""COMPUTED_VALUE"""),"Amogh Kulkarni (10)")</f>
        <v>Amogh Kulkarni (10)</v>
      </c>
      <c r="I123" t="str">
        <f>IFERROR(__xludf.DUMMYFUNCTION("""COMPUTED_VALUE"""),"Spencer Cheng (12)")</f>
        <v>Spencer Cheng (12)</v>
      </c>
      <c r="J123" t="str">
        <f>IFERROR(__xludf.DUMMYFUNCTION("""COMPUTED_VALUE"""),"Ryan Sun (10)")</f>
        <v>Ryan Sun (10)</v>
      </c>
      <c r="K123" t="str">
        <f>IFERROR(__xludf.DUMMYFUNCTION("""COMPUTED_VALUE"""),"Michael Kwok (10)")</f>
        <v>Michael Kwok (10)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11!C32:H36""),IMPORTRANGE(""1Knt8XDGFY_MP2OzeadT1pDENTLOdk9Ab_Rd9IdW0kzc"",""Round 11!M32:R36"")}"),20.0)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IFERROR(__xludf.DUMMYFUNCTION("""COMPUTED_VALUE"""),3.0)</f>
        <v>3</v>
      </c>
      <c r="C125">
        <f>IFERROR(__xludf.DUMMYFUNCTION("""COMPUTED_VALUE"""),1.0)</f>
        <v>1</v>
      </c>
      <c r="D125">
        <f>IFERROR(__xludf.DUMMYFUNCTION("""COMPUTED_VALUE"""),0.0)</f>
        <v>0</v>
      </c>
      <c r="E125">
        <f>IFERROR(__xludf.DUMMYFUNCTION("""COMPUTED_VALUE"""),2.0)</f>
        <v>2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IFERROR(__xludf.DUMMYFUNCTION("""COMPUTED_VALUE"""),3.0)</f>
        <v>3</v>
      </c>
      <c r="I125">
        <f>IFERROR(__xludf.DUMMYFUNCTION("""COMPUTED_VALUE"""),0.0)</f>
        <v>0</v>
      </c>
      <c r="J125">
        <f>IFERROR(__xludf.DUMMYFUNCTION("""COMPUTED_VALUE"""),2.0)</f>
        <v>2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IFERROR(__xludf.DUMMYFUNCTION("""COMPUTED_VALUE"""),3.0)</f>
        <v>3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IFERROR(__xludf.DUMMYFUNCTION("""COMPUTED_VALUE"""),1.0)</f>
        <v>1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IFERROR(__xludf.DUMMYFUNCTION("""COMPUTED_VALUE"""),3.0)</f>
        <v>3</v>
      </c>
      <c r="I126">
        <f>IFERROR(__xludf.DUMMYFUNCTION("""COMPUTED_VALUE"""),1.0)</f>
        <v>1</v>
      </c>
      <c r="J126">
        <f>IFERROR(__xludf.DUMMYFUNCTION("""COMPUTED_VALUE"""),1.0)</f>
        <v>1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IFERROR(__xludf.DUMMYFUNCTION("""COMPUTED_VALUE"""),2.0)</f>
        <v>2</v>
      </c>
      <c r="C127">
        <f>IFERROR(__xludf.DUMMYFUNCTION("""COMPUTED_VALUE"""),1.0)</f>
        <v>1</v>
      </c>
      <c r="D127">
        <f>IFERROR(__xludf.DUMMYFUNCTION("""COMPUTED_VALUE"""),0.0)</f>
        <v>0</v>
      </c>
      <c r="E127">
        <f>IFERROR(__xludf.DUMMYFUNCTION("""COMPUTED_VALUE"""),1.0)</f>
        <v>1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IFERROR(__xludf.DUMMYFUNCTION("""COMPUTED_VALUE"""),1.0)</f>
        <v>1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IFERROR(__xludf.DUMMYFUNCTION("""COMPUTED_VALUE"""),65.0)</f>
        <v>65</v>
      </c>
      <c r="C128">
        <f>IFERROR(__xludf.DUMMYFUNCTION("""COMPUTED_VALUE"""),10.0)</f>
        <v>10</v>
      </c>
      <c r="D128">
        <f>IFERROR(__xludf.DUMMYFUNCTION("""COMPUTED_VALUE"""),0.0)</f>
        <v>0</v>
      </c>
      <c r="E128">
        <f>IFERROR(__xludf.DUMMYFUNCTION("""COMPUTED_VALUE"""),35.0)</f>
        <v>35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IFERROR(__xludf.DUMMYFUNCTION("""COMPUTED_VALUE"""),75.0)</f>
        <v>75</v>
      </c>
      <c r="I128">
        <f>IFERROR(__xludf.DUMMYFUNCTION("""COMPUTED_VALUE"""),10.0)</f>
        <v>10</v>
      </c>
      <c r="J128">
        <f>IFERROR(__xludf.DUMMYFUNCTION("""COMPUTED_VALUE"""),35.0)</f>
        <v>35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11!W1"")"),"Question: 21")</f>
        <v>Question: 21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11!C1:H3""),IMPORTRANGE(""16i4gsLDaJasgGgtJt27HweoboYNaal3qpX3MtxIR2f0"",""Round 11!M1:R3"")}"),"Team A")</f>
        <v>Team A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IFERROR(__xludf.DUMMYFUNCTION("""COMPUTED_VALUE"""),"Team B")</f>
        <v>Team B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11!I32""))"),"A BP: 0")</f>
        <v>A BP: 0</v>
      </c>
      <c r="B132" t="str">
        <f>IFERROR(__xludf.DUMMYFUNCTION("""COMPUTED_VALUE"""),"Score: 0")</f>
        <v>Score: 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0")</f>
        <v>Score: 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11!S32""))"),"B BP: 0")</f>
        <v>B BP: 0</v>
      </c>
      <c r="B133" t="str">
        <f>IFERROR(__xludf.DUMMYFUNCTION("""COMPUTED_VALUE"""),"Player 1")</f>
        <v>Player 1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IFERROR(__xludf.DUMMYFUNCTION("""COMPUTED_VALUE"""),"Player 1")</f>
        <v>Player 1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11!C32:H36""),IMPORTRANGE(""16i4gsLDaJasgGgtJt27HweoboYNaal3qpX3MtxIR2f0"",""Round 11!M32:R36"")}"),20.0)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IFERROR(__xludf.DUMMYFUNCTION("""COMPUTED_VALUE"""),0.0)</f>
        <v>0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IFERROR(__xludf.DUMMYFUNCTION("""COMPUTED_VALUE"""),0.0)</f>
        <v>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11!W1"")"),"Question: 1")</f>
        <v>Question: 1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11!C1:H3""),IMPORTRANGE(""1KRyI2c190uhOTF270Hsdzh1rgG565QIaE9TymteaGNY"",""Round 11!M1:R3"")}"),"Team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IFERROR(__xludf.DUMMYFUNCTION("""COMPUTED_VALUE"""),"Team B")</f>
        <v>Team B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11!I32""))"),"A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11!S32""))"),"B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IFERROR(__xludf.DUMMYFUNCTION("""COMPUTED_VALUE"""),"Player 1")</f>
        <v>Player 1</v>
      </c>
      <c r="I143" t="str">
        <f>IFERROR(__xludf.DUMMYFUNCTION("""COMPUTED_VALUE"""),"Player 2")</f>
        <v>Player 2</v>
      </c>
      <c r="J143" t="str">
        <f>IFERROR(__xludf.DUMMYFUNCTION("""COMPUTED_VALUE"""),"Player 3")</f>
        <v>Player 3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11!C32:H36""),IMPORTRANGE(""1KRyI2c190uhOTF270Hsdzh1rgG565QIaE9TymteaGNY"",""Round 11!M32:R36"")}"),20.0)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11!W1"")"),"Question: 1")</f>
        <v>Question: 1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11!C1:H3""),IMPORTRANGE(""1zr0uYCpJ5izByVOUCsr6JXezthGEdLXnwOrjIKGx5XI"",""Round 11!M1:R3"")}"),"Team A")</f>
        <v>Team A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IFERROR(__xludf.DUMMYFUNCTION("""COMPUTED_VALUE"""),"Team B")</f>
        <v>Team B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11!I32""))"),"A BP: 0")</f>
        <v>A BP: 0</v>
      </c>
      <c r="B152" t="str">
        <f>IFERROR(__xludf.DUMMYFUNCTION("""COMPUTED_VALUE"""),"Score: 0")</f>
        <v>Score: 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0")</f>
        <v>Score: 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11!S32""))"),"B BP: 0")</f>
        <v>B BP: 0</v>
      </c>
      <c r="B153" t="str">
        <f>IFERROR(__xludf.DUMMYFUNCTION("""COMPUTED_VALUE"""),"Player 1")</f>
        <v>Player 1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IFERROR(__xludf.DUMMYFUNCTION("""COMPUTED_VALUE"""),"Player 1")</f>
        <v>Player 1</v>
      </c>
      <c r="I153" t="str">
        <f>IFERROR(__xludf.DUMMYFUNCTION("""COMPUTED_VALUE"""),"Player 2")</f>
        <v>Player 2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11!C32:H36""),IMPORTRANGE(""1zr0uYCpJ5izByVOUCsr6JXezthGEdLXnwOrjIKGx5XI"",""Round 11!M32:R36"")}"),20.0)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IFERROR(__xludf.DUMMYFUNCTION("""COMPUTED_VALUE"""),0.0)</f>
        <v>0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IFERROR(__xludf.DUMMYFUNCTION("""COMPUTED_VALUE"""),0.0)</f>
        <v>0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IFERROR(__xludf.DUMMYFUNCTION("""COMPUTED_VALUE"""),0.0)</f>
        <v>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IFERROR(__xludf.DUMMYFUNCTION("""COMPUTED_VALUE"""),0.0)</f>
        <v>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11!W1"")"),"Question: 1")</f>
        <v>Question: 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11!C1:H3""),IMPORTRANGE(""1TVrjNI5RE1VozIr906BhaTKMFP0VPx8aUGpyt_loukE"",""Round 11!M1:R3"")}"),"Team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11!I32""))"),"A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11!S32""))"),"B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11!C32:H36""),IMPORTRANGE(""1TVrjNI5RE1VozIr906BhaTKMFP0VPx8aUGpyt_loukE"",""Round 11!M32:R36"")}"),20.0)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11!W1"")"),"Question: 1")</f>
        <v>Question: 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11!C1:H3""),IMPORTRANGE(""1xRz0po-ejgp-QRvMkY44z3u2CePgTccasdyrrVALbmE"",""Round 11!M1:R3"")}"),"Team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11!I32""))"),"A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11!S32""))"),"B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11!C32:H36""),IMPORTRANGE(""1xRz0po-ejgp-QRvMkY44z3u2CePgTccasdyrrVALbmE"",""Round 11!M32:R36"")}"),20.0)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11!W1"")"),"Question: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12!C1:H3""),IMPORTRANGE(""1JXwZ4AjXctyKvWy9qFKCX518NRYJYhSX9Jii0HPBCUs"",""Round 12!M1:R3"")}"),"Team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12!I32""))"),"A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12!S32""))"),"B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12!C32:H36""),IMPORTRANGE(""1JXwZ4AjXctyKvWy9qFKCX518NRYJYhSX9Jii0HPBCUs"",""Round 12!M32:R36"")}"),20.0)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12!W1"")"),"Question: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12!C1:H3""),IMPORTRANGE(""1GBDUn_ZojNLX5OJCVBEhvJbdm0c55Z7lPcE4L6WH89o"",""Round 12!M1:R3"")}"),"Team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12!I32""))"),"A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12!S32""))"),"B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12!C32:H36""),IMPORTRANGE(""1GBDUn_ZojNLX5OJCVBEhvJbdm0c55Z7lPcE4L6WH89o"",""Round 12!M32:R36"")}"),20.0)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12!W1"")"),"Question: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12!C1:H3""),IMPORTRANGE(""19Dum1qlL_dEwf1AEniLf02Eg9XaNXi1GMkI5M4_Ei6w"",""Round 12!M1:R3"")}"),"Team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12!I32""))"),"A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12!S32""))"),"B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12!C32:H36""),IMPORTRANGE(""19Dum1qlL_dEwf1AEniLf02Eg9XaNXi1GMkI5M4_Ei6w"",""Round 12!M32:R36"")}"),20.0)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12!W1"")"),"Question: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12!C1:H3""),IMPORTRANGE(""18KjuM_F6goZYnozVb7folIb5Hw_mfKQrNdVWKGx6j4s"",""Round 12!M1:R3"")}"),"Team A")</f>
        <v>Team A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IFERROR(__xludf.DUMMYFUNCTION("""COMPUTED_VALUE"""),"Team B")</f>
        <v>Team B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12!I32""))"),"A BP: 0")</f>
        <v>A BP: 0</v>
      </c>
      <c r="B32" t="str">
        <f>IFERROR(__xludf.DUMMYFUNCTION("""COMPUTED_VALUE"""),"Score: 0")</f>
        <v>Score: 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0")</f>
        <v>Score: 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12!S32""))"),"B BP: 0")</f>
        <v>B BP: 0</v>
      </c>
      <c r="B33" t="str">
        <f>IFERROR(__xludf.DUMMYFUNCTION("""COMPUTED_VALUE"""),"Player 1")</f>
        <v>Player 1</v>
      </c>
      <c r="C33" t="str">
        <f>IFERROR(__xludf.DUMMYFUNCTION("""COMPUTED_VALUE"""),"Player 2")</f>
        <v>Player 2</v>
      </c>
      <c r="D33" t="str">
        <f>IFERROR(__xludf.DUMMYFUNCTION("""COMPUTED_VALUE"""),"Player 3")</f>
        <v>Player 3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IFERROR(__xludf.DUMMYFUNCTION("""COMPUTED_VALUE"""),"Player 1")</f>
        <v>Player 1</v>
      </c>
      <c r="I33" t="str">
        <f>IFERROR(__xludf.DUMMYFUNCTION("""COMPUTED_VALUE"""),"Player 2")</f>
        <v>Player 2</v>
      </c>
      <c r="J33" t="str">
        <f>IFERROR(__xludf.DUMMYFUNCTION("""COMPUTED_VALUE"""),"Player 3")</f>
        <v>Player 3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12!C32:H36""),IMPORTRANGE(""18KjuM_F6goZYnozVb7folIb5Hw_mfKQrNdVWKGx6j4s"",""Round 12!M32:R36"")}"),20.0)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IFERROR(__xludf.DUMMYFUNCTION("""COMPUTED_VALUE"""),0.0)</f>
        <v>0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IFERROR(__xludf.DUMMYFUNCTION("""COMPUTED_VALUE"""),0.0)</f>
        <v>0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IFERROR(__xludf.DUMMYFUNCTION("""COMPUTED_VALUE"""),0.0)</f>
        <v>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IFERROR(__xludf.DUMMYFUNCTION("""COMPUTED_VALUE"""),0.0)</f>
        <v>0</v>
      </c>
      <c r="J38">
        <f>IFERROR(__xludf.DUMMYFUNCTION("""COMPUTED_VALUE"""),0.0)</f>
        <v>0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12!W1"")"),"Question: 1")</f>
        <v>Question: 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12!C1:H3""),IMPORTRANGE(""1_YEY20HiFjspjicPICCMlL_lQXsksdB6d3m5vzHwuOI"",""Round 12!M1:R3"")}"),"Team A")</f>
        <v>Team A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IFERROR(__xludf.DUMMYFUNCTION("""COMPUTED_VALUE"""),"Team B")</f>
        <v>Team B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12!I32""))"),"A BP: 0")</f>
        <v>A BP: 0</v>
      </c>
      <c r="B42" t="str">
        <f>IFERROR(__xludf.DUMMYFUNCTION("""COMPUTED_VALUE"""),"Score: 0")</f>
        <v>Score: 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0")</f>
        <v>Score: 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12!S32""))"),"B BP: 0")</f>
        <v>B BP: 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IFERROR(__xludf.DUMMYFUNCTION("""COMPUTED_VALUE"""),"Player 1")</f>
        <v>Player 1</v>
      </c>
      <c r="I43" t="str">
        <f>IFERROR(__xludf.DUMMYFUNCTION("""COMPUTED_VALUE"""),"Player 2")</f>
        <v>Player 2</v>
      </c>
      <c r="J43" t="str">
        <f>IFERROR(__xludf.DUMMYFUNCTION("""COMPUTED_VALUE"""),"Player 3")</f>
        <v>Player 3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12!C32:H36""),IMPORTRANGE(""1_YEY20HiFjspjicPICCMlL_lQXsksdB6d3m5vzHwuOI"",""Round 12!M32:R36"")}"),20.0)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12!W1"")"),"Question: 1")</f>
        <v>Question: 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12!C1:H3""),IMPORTRANGE(""1SYS5Ef48991ZUgqcGqj51eX2YgqKCzfrEZ_pUY01Lwo"",""Round 12!M1:R3"")}"),"Team A")</f>
        <v>Team A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IFERROR(__xludf.DUMMYFUNCTION("""COMPUTED_VALUE"""),"Team B")</f>
        <v>Team B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12!I32""))"),"A BP: 0")</f>
        <v>A BP: 0</v>
      </c>
      <c r="B52" t="str">
        <f>IFERROR(__xludf.DUMMYFUNCTION("""COMPUTED_VALUE"""),"Score: 0")</f>
        <v>Score: 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0")</f>
        <v>Score: 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12!S32""))"),"B BP: 0")</f>
        <v>B BP: 0</v>
      </c>
      <c r="B53" t="str">
        <f>IFERROR(__xludf.DUMMYFUNCTION("""COMPUTED_VALUE"""),"Player 1")</f>
        <v>Player 1</v>
      </c>
      <c r="C53" t="str">
        <f>IFERROR(__xludf.DUMMYFUNCTION("""COMPUTED_VALUE"""),"Player 2")</f>
        <v>Player 2</v>
      </c>
      <c r="D53" t="str">
        <f>IFERROR(__xludf.DUMMYFUNCTION("""COMPUTED_VALUE"""),"Player 3")</f>
        <v>Player 3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IFERROR(__xludf.DUMMYFUNCTION("""COMPUTED_VALUE"""),"Player 1")</f>
        <v>Player 1</v>
      </c>
      <c r="I53" t="str">
        <f>IFERROR(__xludf.DUMMYFUNCTION("""COMPUTED_VALUE"""),"Player 2")</f>
        <v>Player 2</v>
      </c>
      <c r="J53" t="str">
        <f>IFERROR(__xludf.DUMMYFUNCTION("""COMPUTED_VALUE"""),"Player 3")</f>
        <v>Player 3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12!C32:H36""),IMPORTRANGE(""1SYS5Ef48991ZUgqcGqj51eX2YgqKCzfrEZ_pUY01Lwo"",""Round 12!M32:R36"")}"),20.0)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IFERROR(__xludf.DUMMYFUNCTION("""COMPUTED_VALUE"""),0.0)</f>
        <v>0</v>
      </c>
      <c r="C56">
        <f>IFERROR(__xludf.DUMMYFUNCTION("""COMPUTED_VALUE"""),0.0)</f>
        <v>0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IFERROR(__xludf.DUMMYFUNCTION("""COMPUTED_VALUE"""),0.0)</f>
        <v>0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IFERROR(__xludf.DUMMYFUNCTION("""COMPUTED_VALUE"""),0.0)</f>
        <v>0</v>
      </c>
      <c r="I58">
        <f>IFERROR(__xludf.DUMMYFUNCTION("""COMPUTED_VALUE"""),0.0)</f>
        <v>0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12!W1"")"),"Question: 1")</f>
        <v>Question: 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12!C1:H3""),IMPORTRANGE(""1UJlRLlhI2Hg_SAQqQOg0JGdwHhiagF7EVAtCX8UOYFc"",""Round 12!M1:R3"")}"),"Team A")</f>
        <v>Team A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IFERROR(__xludf.DUMMYFUNCTION("""COMPUTED_VALUE"""),"Team B")</f>
        <v>Team B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12!I32""))"),"A BP: 0")</f>
        <v>A BP: 0</v>
      </c>
      <c r="B62" t="str">
        <f>IFERROR(__xludf.DUMMYFUNCTION("""COMPUTED_VALUE"""),"Score: 0")</f>
        <v>Score: 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0")</f>
        <v>Score: 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12!S32""))"),"B BP: 0")</f>
        <v>B BP: 0</v>
      </c>
      <c r="B63" t="str">
        <f>IFERROR(__xludf.DUMMYFUNCTION("""COMPUTED_VALUE"""),"Player 1")</f>
        <v>Player 1</v>
      </c>
      <c r="C63" t="str">
        <f>IFERROR(__xludf.DUMMYFUNCTION("""COMPUTED_VALUE"""),"Player 2")</f>
        <v>Player 2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IFERROR(__xludf.DUMMYFUNCTION("""COMPUTED_VALUE"""),"Player 1")</f>
        <v>Player 1</v>
      </c>
      <c r="I63" t="str">
        <f>IFERROR(__xludf.DUMMYFUNCTION("""COMPUTED_VALUE"""),"Player 2")</f>
        <v>Player 2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12!C32:H36""),IMPORTRANGE(""1UJlRLlhI2Hg_SAQqQOg0JGdwHhiagF7EVAtCX8UOYFc"",""Round 12!M32:R36"")}"),20.0)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IFERROR(__xludf.DUMMYFUNCTION("""COMPUTED_VALUE"""),0.0)</f>
        <v>0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12!W1"")"),"Question: 1")</f>
        <v>Question: 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12!C1:H3""),IMPORTRANGE(""1jA96n0qbauznSt6-hkr51AslpxJqfrWgkafVtMV8_xU"",""Round 12!M1:R3"")}"),"Team A")</f>
        <v>Team A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IFERROR(__xludf.DUMMYFUNCTION("""COMPUTED_VALUE"""),"Team B")</f>
        <v>Team B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12!I32""))"),"A BP: 0")</f>
        <v>A BP: 0</v>
      </c>
      <c r="B72" t="str">
        <f>IFERROR(__xludf.DUMMYFUNCTION("""COMPUTED_VALUE"""),"Score: 0")</f>
        <v>Score: 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0")</f>
        <v>Score: 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12!S32""))"),"B BP: 0")</f>
        <v>B BP: 0</v>
      </c>
      <c r="B73" t="str">
        <f>IFERROR(__xludf.DUMMYFUNCTION("""COMPUTED_VALUE"""),"Player 1")</f>
        <v>Player 1</v>
      </c>
      <c r="C73" t="str">
        <f>IFERROR(__xludf.DUMMYFUNCTION("""COMPUTED_VALUE"""),"Player 2")</f>
        <v>Player 2</v>
      </c>
      <c r="D73" t="str">
        <f>IFERROR(__xludf.DUMMYFUNCTION("""COMPUTED_VALUE"""),"Player 3")</f>
        <v>Player 3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IFERROR(__xludf.DUMMYFUNCTION("""COMPUTED_VALUE"""),"Player 1")</f>
        <v>Player 1</v>
      </c>
      <c r="I73" t="str">
        <f>IFERROR(__xludf.DUMMYFUNCTION("""COMPUTED_VALUE"""),"Player 2")</f>
        <v>Player 2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12!C32:H36""),IMPORTRANGE(""1jA96n0qbauznSt6-hkr51AslpxJqfrWgkafVtMV8_xU"",""Round 12!M32:R36"")}"),20.0)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IFERROR(__xludf.DUMMYFUNCTION("""COMPUTED_VALUE"""),0.0)</f>
        <v>0</v>
      </c>
      <c r="C76">
        <f>IFERROR(__xludf.DUMMYFUNCTION("""COMPUTED_VALUE"""),0.0)</f>
        <v>0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IFERROR(__xludf.DUMMYFUNCTION("""COMPUTED_VALUE"""),0.0)</f>
        <v>0</v>
      </c>
      <c r="C78">
        <f>IFERROR(__xludf.DUMMYFUNCTION("""COMPUTED_VALUE"""),0.0)</f>
        <v>0</v>
      </c>
      <c r="D78">
        <f>IFERROR(__xludf.DUMMYFUNCTION("""COMPUTED_VALUE"""),0.0)</f>
        <v>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IFERROR(__xludf.DUMMYFUNCTION("""COMPUTED_VALUE"""),0.0)</f>
        <v>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12!W1"")"),"Question: 1")</f>
        <v>Question: 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12!C1:H3""),IMPORTRANGE(""1xw1EOjVhrK1PNJfOYiUsuJNrlpV53SmfJxYsFFolQ3s"",""Round 12!M1:R3"")}"),"Team A")</f>
        <v>Team A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IFERROR(__xludf.DUMMYFUNCTION("""COMPUTED_VALUE"""),"Team B")</f>
        <v>Team B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12!I32""))"),"A BP: 0")</f>
        <v>A BP: 0</v>
      </c>
      <c r="B82" t="str">
        <f>IFERROR(__xludf.DUMMYFUNCTION("""COMPUTED_VALUE"""),"Score: 0")</f>
        <v>Score: 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0")</f>
        <v>Score: 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12!S32""))"),"B BP: 0")</f>
        <v>B BP: 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IFERROR(__xludf.DUMMYFUNCTION("""COMPUTED_VALUE"""),"Player 3")</f>
        <v>Player 3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IFERROR(__xludf.DUMMYFUNCTION("""COMPUTED_VALUE"""),"Player 1")</f>
        <v>Player 1</v>
      </c>
      <c r="I83" t="str">
        <f>IFERROR(__xludf.DUMMYFUNCTION("""COMPUTED_VALUE"""),"Player 2")</f>
        <v>Player 2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12!C32:H36""),IMPORTRANGE(""1xw1EOjVhrK1PNJfOYiUsuJNrlpV53SmfJxYsFFolQ3s"",""Round 12!M32:R36"")}"),20.0)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IFERROR(__xludf.DUMMYFUNCTION("""COMPUTED_VALUE"""),0.0)</f>
        <v>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12!W1"")"),"Question: 1")</f>
        <v>Question: 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12!C1:H3""),IMPORTRANGE(""15wOrdFuJAb1a4MoX5CG4apiBD2jUJ7mBu58Uk-8Mo7s"",""Round 12!M1:R3"")}"),"Team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12!I32""))"),"A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12!S32""))"),"B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12!C32:H36""),IMPORTRANGE(""15wOrdFuJAb1a4MoX5CG4apiBD2jUJ7mBu58Uk-8Mo7s"",""Round 12!M32:R36"")}"),20.0)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12!W1"")"),"Question: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12!C1:H3""),IMPORTRANGE(""1GfJqS1rsy-VutTmPVnm9E2VdinIG-GnQO5b3bhaiX1s"",""Round 12!M1:R3"")}"),"Team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12!I32""))"),"A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12!S32""))"),"B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12!C32:H36""),IMPORTRANGE(""1GfJqS1rsy-VutTmPVnm9E2VdinIG-GnQO5b3bhaiX1s"",""Round 12!M32:R36"")}"),20.0)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12!W1"")"),"Question: 1")</f>
        <v>Question: 1</v>
      </c>
      <c r="B109" s="7" t="s">
        <v>150</v>
      </c>
    </row>
    <row r="110">
      <c r="A110" s="6"/>
    </row>
    <row r="111">
      <c r="A111" s="2" t="s">
        <v>166</v>
      </c>
      <c r="B111" t="str">
        <f>IFERROR(__xludf.DUMMYFUNCTION("{IMPORTRANGE(""17CLUEFflDBSa8dyH5vsXfHme4RV8IhzD-mxe9_c9I5k"",""Round 12!C1:H3""),IMPORTRANGE(""17CLUEFflDBSa8dyH5vsXfHme4RV8IhzD-mxe9_c9I5k"",""Round 12!M1:R3"")}"),"Team A")</f>
        <v>Team A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IFERROR(__xludf.DUMMYFUNCTION("""COMPUTED_VALUE"""),"Team B")</f>
        <v>Team B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12!I32""))"),"A BP: 0")</f>
        <v>A BP: 0</v>
      </c>
      <c r="B112" t="str">
        <f>IFERROR(__xludf.DUMMYFUNCTION("""COMPUTED_VALUE"""),"Score: 0")</f>
        <v>Score: 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0")</f>
        <v>Score: 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12!S32""))"),"B BP: 0")</f>
        <v>B BP: 0</v>
      </c>
      <c r="B113" t="str">
        <f>IFERROR(__xludf.DUMMYFUNCTION("""COMPUTED_VALUE"""),"Player 1")</f>
        <v>Player 1</v>
      </c>
      <c r="C113" t="str">
        <f>IFERROR(__xludf.DUMMYFUNCTION("""COMPUTED_VALUE"""),"Player 2")</f>
        <v>Player 2</v>
      </c>
      <c r="D113" t="str">
        <f>IFERROR(__xludf.DUMMYFUNCTION("""COMPUTED_VALUE"""),"Player 3")</f>
        <v>Player 3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IFERROR(__xludf.DUMMYFUNCTION("""COMPUTED_VALUE"""),"Player 1")</f>
        <v>Player 1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12!C32:H36""),IMPORTRANGE(""17CLUEFflDBSa8dyH5vsXfHme4RV8IhzD-mxe9_c9I5k"",""Round 12!M32:R36"")}"),20.0)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IFERROR(__xludf.DUMMYFUNCTION("""COMPUTED_VALUE"""),0.0)</f>
        <v>0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IFERROR(__xludf.DUMMYFUNCTION("""COMPUTED_VALUE"""),0.0)</f>
        <v>0</v>
      </c>
      <c r="C116">
        <f>IFERROR(__xludf.DUMMYFUNCTION("""COMPUTED_VALUE"""),0.0)</f>
        <v>0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IFERROR(__xludf.DUMMYFUNCTION("""COMPUTED_VALUE"""),0.0)</f>
        <v>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IFERROR(__xludf.DUMMYFUNCTION("""COMPUTED_VALUE"""),0.0)</f>
        <v>0</v>
      </c>
      <c r="C118">
        <f>IFERROR(__xludf.DUMMYFUNCTION("""COMPUTED_VALUE"""),0.0)</f>
        <v>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IFERROR(__xludf.DUMMYFUNCTION("""COMPUTED_VALUE"""),0.0)</f>
        <v>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12!W1"")"),"Question: 1")</f>
        <v>Question: 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12!C1:H3""),IMPORTRANGE(""1Knt8XDGFY_MP2OzeadT1pDENTLOdk9Ab_Rd9IdW0kzc"",""Round 12!M1:R3"")}"),"Team A")</f>
        <v>Team A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IFERROR(__xludf.DUMMYFUNCTION("""COMPUTED_VALUE"""),"Team B")</f>
        <v>Team B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12!I32""))"),"A BP: 0")</f>
        <v>A BP: 0</v>
      </c>
      <c r="B122" t="str">
        <f>IFERROR(__xludf.DUMMYFUNCTION("""COMPUTED_VALUE"""),"Score: 0")</f>
        <v>Score: 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0")</f>
        <v>Score: 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12!S32""))"),"B BP: 0")</f>
        <v>B BP: 0</v>
      </c>
      <c r="B123" t="str">
        <f>IFERROR(__xludf.DUMMYFUNCTION("""COMPUTED_VALUE"""),"Player 1")</f>
        <v>Player 1</v>
      </c>
      <c r="C123" t="str">
        <f>IFERROR(__xludf.DUMMYFUNCTION("""COMPUTED_VALUE"""),"Player 2")</f>
        <v>Player 2</v>
      </c>
      <c r="D123" t="str">
        <f>IFERROR(__xludf.DUMMYFUNCTION("""COMPUTED_VALUE"""),"Player 3")</f>
        <v>Player 3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IFERROR(__xludf.DUMMYFUNCTION("""COMPUTED_VALUE"""),"Player 1")</f>
        <v>Player 1</v>
      </c>
      <c r="I123" t="str">
        <f>IFERROR(__xludf.DUMMYFUNCTION("""COMPUTED_VALUE"""),"Player 2")</f>
        <v>Player 2</v>
      </c>
      <c r="J123" t="str">
        <f>IFERROR(__xludf.DUMMYFUNCTION("""COMPUTED_VALUE"""),"Player 3")</f>
        <v>Player 3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12!C32:H36""),IMPORTRANGE(""1Knt8XDGFY_MP2OzeadT1pDENTLOdk9Ab_Rd9IdW0kzc"",""Round 12!M32:R36"")}"),20.0)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IFERROR(__xludf.DUMMYFUNCTION("""COMPUTED_VALUE"""),0.0)</f>
        <v>0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IFERROR(__xludf.DUMMYFUNCTION("""COMPUTED_VALUE"""),0.0)</f>
        <v>0</v>
      </c>
      <c r="J126">
        <f>IFERROR(__xludf.DUMMYFUNCTION("""COMPUTED_VALUE"""),0.0)</f>
        <v>0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IFERROR(__xludf.DUMMYFUNCTION("""COMPUTED_VALUE"""),0.0)</f>
        <v>0</v>
      </c>
      <c r="C128">
        <f>IFERROR(__xludf.DUMMYFUNCTION("""COMPUTED_VALUE"""),0.0)</f>
        <v>0</v>
      </c>
      <c r="D128">
        <f>IFERROR(__xludf.DUMMYFUNCTION("""COMPUTED_VALUE"""),0.0)</f>
        <v>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IFERROR(__xludf.DUMMYFUNCTION("""COMPUTED_VALUE"""),0.0)</f>
        <v>0</v>
      </c>
      <c r="I128">
        <f>IFERROR(__xludf.DUMMYFUNCTION("""COMPUTED_VALUE"""),0.0)</f>
        <v>0</v>
      </c>
      <c r="J128">
        <f>IFERROR(__xludf.DUMMYFUNCTION("""COMPUTED_VALUE"""),0.0)</f>
        <v>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12!W1"")"),"Question: 1")</f>
        <v>Question: 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12!C1:H3""),IMPORTRANGE(""16i4gsLDaJasgGgtJt27HweoboYNaal3qpX3MtxIR2f0"",""Round 12!M1:R3"")}"),"Team A")</f>
        <v>Team A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IFERROR(__xludf.DUMMYFUNCTION("""COMPUTED_VALUE"""),"Team B")</f>
        <v>Team B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12!I32""))"),"A BP: 0")</f>
        <v>A BP: 0</v>
      </c>
      <c r="B132" t="str">
        <f>IFERROR(__xludf.DUMMYFUNCTION("""COMPUTED_VALUE"""),"Score: 0")</f>
        <v>Score: 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0")</f>
        <v>Score: 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12!S32""))"),"B BP: 0")</f>
        <v>B BP: 0</v>
      </c>
      <c r="B133" t="str">
        <f>IFERROR(__xludf.DUMMYFUNCTION("""COMPUTED_VALUE"""),"Player 1")</f>
        <v>Player 1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IFERROR(__xludf.DUMMYFUNCTION("""COMPUTED_VALUE"""),"Player 1")</f>
        <v>Player 1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12!C32:H36""),IMPORTRANGE(""16i4gsLDaJasgGgtJt27HweoboYNaal3qpX3MtxIR2f0"",""Round 12!M32:R36"")}"),20.0)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IFERROR(__xludf.DUMMYFUNCTION("""COMPUTED_VALUE"""),0.0)</f>
        <v>0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IFERROR(__xludf.DUMMYFUNCTION("""COMPUTED_VALUE"""),0.0)</f>
        <v>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12!W1"")"),"Question: 1")</f>
        <v>Question: 1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12!C1:H3""),IMPORTRANGE(""1KRyI2c190uhOTF270Hsdzh1rgG565QIaE9TymteaGNY"",""Round 12!M1:R3"")}"),"Team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IFERROR(__xludf.DUMMYFUNCTION("""COMPUTED_VALUE"""),"Team B")</f>
        <v>Team B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12!I32""))"),"A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12!S32""))"),"B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IFERROR(__xludf.DUMMYFUNCTION("""COMPUTED_VALUE"""),"Player 1")</f>
        <v>Player 1</v>
      </c>
      <c r="I143" t="str">
        <f>IFERROR(__xludf.DUMMYFUNCTION("""COMPUTED_VALUE"""),"Player 2")</f>
        <v>Player 2</v>
      </c>
      <c r="J143" t="str">
        <f>IFERROR(__xludf.DUMMYFUNCTION("""COMPUTED_VALUE"""),"Player 3")</f>
        <v>Player 3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12!C32:H36""),IMPORTRANGE(""1KRyI2c190uhOTF270Hsdzh1rgG565QIaE9TymteaGNY"",""Round 12!M32:R36"")}"),20.0)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12!W1"")"),"Question: 1")</f>
        <v>Question: 1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12!C1:H3""),IMPORTRANGE(""1zr0uYCpJ5izByVOUCsr6JXezthGEdLXnwOrjIKGx5XI"",""Round 12!M1:R3"")}"),"Team A")</f>
        <v>Team A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IFERROR(__xludf.DUMMYFUNCTION("""COMPUTED_VALUE"""),"Team B")</f>
        <v>Team B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12!I32""))"),"A BP: 0")</f>
        <v>A BP: 0</v>
      </c>
      <c r="B152" t="str">
        <f>IFERROR(__xludf.DUMMYFUNCTION("""COMPUTED_VALUE"""),"Score: 0")</f>
        <v>Score: 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0")</f>
        <v>Score: 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12!S32""))"),"B BP: 0")</f>
        <v>B BP: 0</v>
      </c>
      <c r="B153" t="str">
        <f>IFERROR(__xludf.DUMMYFUNCTION("""COMPUTED_VALUE"""),"Player 1")</f>
        <v>Player 1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IFERROR(__xludf.DUMMYFUNCTION("""COMPUTED_VALUE"""),"Player 1")</f>
        <v>Player 1</v>
      </c>
      <c r="I153" t="str">
        <f>IFERROR(__xludf.DUMMYFUNCTION("""COMPUTED_VALUE"""),"Player 2")</f>
        <v>Player 2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12!C32:H36""),IMPORTRANGE(""1zr0uYCpJ5izByVOUCsr6JXezthGEdLXnwOrjIKGx5XI"",""Round 12!M32:R36"")}"),20.0)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IFERROR(__xludf.DUMMYFUNCTION("""COMPUTED_VALUE"""),0.0)</f>
        <v>0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IFERROR(__xludf.DUMMYFUNCTION("""COMPUTED_VALUE"""),0.0)</f>
        <v>0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IFERROR(__xludf.DUMMYFUNCTION("""COMPUTED_VALUE"""),0.0)</f>
        <v>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IFERROR(__xludf.DUMMYFUNCTION("""COMPUTED_VALUE"""),0.0)</f>
        <v>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12!W1"")"),"Question: 1")</f>
        <v>Question: 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12!C1:H3""),IMPORTRANGE(""1TVrjNI5RE1VozIr906BhaTKMFP0VPx8aUGpyt_loukE"",""Round 12!M1:R3"")}"),"Team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12!I32""))"),"A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12!S32""))"),"B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12!C32:H36""),IMPORTRANGE(""1TVrjNI5RE1VozIr906BhaTKMFP0VPx8aUGpyt_loukE"",""Round 12!M32:R36"")}"),20.0)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12!W1"")"),"Question: 1")</f>
        <v>Question: 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12!C1:H3""),IMPORTRANGE(""1xRz0po-ejgp-QRvMkY44z3u2CePgTccasdyrrVALbmE"",""Round 12!M1:R3"")}"),"Team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12!I32""))"),"A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12!S32""))"),"B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12!C32:H36""),IMPORTRANGE(""1xRz0po-ejgp-QRvMkY44z3u2CePgTccasdyrrVALbmE"",""Round 12!M32:R36"")}"),20.0)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12!W1"")"),"Question: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13!C1:H3""),IMPORTRANGE(""1JXwZ4AjXctyKvWy9qFKCX518NRYJYhSX9Jii0HPBCUs"",""Round 13!M1:R3"")}"),"Team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13!I32""))"),"A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13!S32""))"),"B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13!C32:H36""),IMPORTRANGE(""1JXwZ4AjXctyKvWy9qFKCX518NRYJYhSX9Jii0HPBCUs"",""Round 13!M32:R36"")}"),20.0)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13!W1"")"),"Question: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13!C1:H3""),IMPORTRANGE(""1GBDUn_ZojNLX5OJCVBEhvJbdm0c55Z7lPcE4L6WH89o"",""Round 13!M1:R3"")}"),"Team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13!I32""))"),"A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13!S32""))"),"B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13!C32:H36""),IMPORTRANGE(""1GBDUn_ZojNLX5OJCVBEhvJbdm0c55Z7lPcE4L6WH89o"",""Round 13!M32:R36"")}"),20.0)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13!W1"")"),"Question: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13!C1:H3""),IMPORTRANGE(""19Dum1qlL_dEwf1AEniLf02Eg9XaNXi1GMkI5M4_Ei6w"",""Round 13!M1:R3"")}"),"Team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13!I32""))"),"A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13!S32""))"),"B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13!C32:H36""),IMPORTRANGE(""19Dum1qlL_dEwf1AEniLf02Eg9XaNXi1GMkI5M4_Ei6w"",""Round 13!M32:R36"")}"),20.0)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13!W1"")"),"Question: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13!C1:H3""),IMPORTRANGE(""18KjuM_F6goZYnozVb7folIb5Hw_mfKQrNdVWKGx6j4s"",""Round 13!M1:R3"")}"),"Team A")</f>
        <v>Team A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IFERROR(__xludf.DUMMYFUNCTION("""COMPUTED_VALUE"""),"Team B")</f>
        <v>Team B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13!I32""))"),"A BP: 0")</f>
        <v>A BP: 0</v>
      </c>
      <c r="B32" t="str">
        <f>IFERROR(__xludf.DUMMYFUNCTION("""COMPUTED_VALUE"""),"Score: 0")</f>
        <v>Score: 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0")</f>
        <v>Score: 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13!S32""))"),"B BP: 0")</f>
        <v>B BP: 0</v>
      </c>
      <c r="B33" t="str">
        <f>IFERROR(__xludf.DUMMYFUNCTION("""COMPUTED_VALUE"""),"Player 1")</f>
        <v>Player 1</v>
      </c>
      <c r="C33" t="str">
        <f>IFERROR(__xludf.DUMMYFUNCTION("""COMPUTED_VALUE"""),"Player 2")</f>
        <v>Player 2</v>
      </c>
      <c r="D33" t="str">
        <f>IFERROR(__xludf.DUMMYFUNCTION("""COMPUTED_VALUE"""),"Player 3")</f>
        <v>Player 3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IFERROR(__xludf.DUMMYFUNCTION("""COMPUTED_VALUE"""),"Player 1")</f>
        <v>Player 1</v>
      </c>
      <c r="I33" t="str">
        <f>IFERROR(__xludf.DUMMYFUNCTION("""COMPUTED_VALUE"""),"Player 2")</f>
        <v>Player 2</v>
      </c>
      <c r="J33" t="str">
        <f>IFERROR(__xludf.DUMMYFUNCTION("""COMPUTED_VALUE"""),"Player 3")</f>
        <v>Player 3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13!C32:H36""),IMPORTRANGE(""18KjuM_F6goZYnozVb7folIb5Hw_mfKQrNdVWKGx6j4s"",""Round 13!M32:R36"")}"),20.0)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IFERROR(__xludf.DUMMYFUNCTION("""COMPUTED_VALUE"""),0.0)</f>
        <v>0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IFERROR(__xludf.DUMMYFUNCTION("""COMPUTED_VALUE"""),0.0)</f>
        <v>0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IFERROR(__xludf.DUMMYFUNCTION("""COMPUTED_VALUE"""),0.0)</f>
        <v>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IFERROR(__xludf.DUMMYFUNCTION("""COMPUTED_VALUE"""),0.0)</f>
        <v>0</v>
      </c>
      <c r="J38">
        <f>IFERROR(__xludf.DUMMYFUNCTION("""COMPUTED_VALUE"""),0.0)</f>
        <v>0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13!W1"")"),"Question: 1")</f>
        <v>Question: 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13!C1:H3""),IMPORTRANGE(""1_YEY20HiFjspjicPICCMlL_lQXsksdB6d3m5vzHwuOI"",""Round 13!M1:R3"")}"),"Team A")</f>
        <v>Team A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IFERROR(__xludf.DUMMYFUNCTION("""COMPUTED_VALUE"""),"Team B")</f>
        <v>Team B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13!I32""))"),"A BP: 0")</f>
        <v>A BP: 0</v>
      </c>
      <c r="B42" t="str">
        <f>IFERROR(__xludf.DUMMYFUNCTION("""COMPUTED_VALUE"""),"Score: 0")</f>
        <v>Score: 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0")</f>
        <v>Score: 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13!S32""))"),"B BP: 0")</f>
        <v>B BP: 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IFERROR(__xludf.DUMMYFUNCTION("""COMPUTED_VALUE"""),"Player 1")</f>
        <v>Player 1</v>
      </c>
      <c r="I43" t="str">
        <f>IFERROR(__xludf.DUMMYFUNCTION("""COMPUTED_VALUE"""),"Player 2")</f>
        <v>Player 2</v>
      </c>
      <c r="J43" t="str">
        <f>IFERROR(__xludf.DUMMYFUNCTION("""COMPUTED_VALUE"""),"Player 3")</f>
        <v>Player 3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13!C32:H36""),IMPORTRANGE(""1_YEY20HiFjspjicPICCMlL_lQXsksdB6d3m5vzHwuOI"",""Round 13!M32:R36"")}"),20.0)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13!W1"")"),"Question: 1")</f>
        <v>Question: 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13!C1:H3""),IMPORTRANGE(""1SYS5Ef48991ZUgqcGqj51eX2YgqKCzfrEZ_pUY01Lwo"",""Round 13!M1:R3"")}"),"Team A")</f>
        <v>Team A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IFERROR(__xludf.DUMMYFUNCTION("""COMPUTED_VALUE"""),"Team B")</f>
        <v>Team B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13!I32""))"),"A BP: 0")</f>
        <v>A BP: 0</v>
      </c>
      <c r="B52" t="str">
        <f>IFERROR(__xludf.DUMMYFUNCTION("""COMPUTED_VALUE"""),"Score: 0")</f>
        <v>Score: 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0")</f>
        <v>Score: 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13!S32""))"),"B BP: 0")</f>
        <v>B BP: 0</v>
      </c>
      <c r="B53" t="str">
        <f>IFERROR(__xludf.DUMMYFUNCTION("""COMPUTED_VALUE"""),"Player 1")</f>
        <v>Player 1</v>
      </c>
      <c r="C53" t="str">
        <f>IFERROR(__xludf.DUMMYFUNCTION("""COMPUTED_VALUE"""),"Player 2")</f>
        <v>Player 2</v>
      </c>
      <c r="D53" t="str">
        <f>IFERROR(__xludf.DUMMYFUNCTION("""COMPUTED_VALUE"""),"Player 3")</f>
        <v>Player 3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IFERROR(__xludf.DUMMYFUNCTION("""COMPUTED_VALUE"""),"Player 1")</f>
        <v>Player 1</v>
      </c>
      <c r="I53" t="str">
        <f>IFERROR(__xludf.DUMMYFUNCTION("""COMPUTED_VALUE"""),"Player 2")</f>
        <v>Player 2</v>
      </c>
      <c r="J53" t="str">
        <f>IFERROR(__xludf.DUMMYFUNCTION("""COMPUTED_VALUE"""),"Player 3")</f>
        <v>Player 3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13!C32:H36""),IMPORTRANGE(""1SYS5Ef48991ZUgqcGqj51eX2YgqKCzfrEZ_pUY01Lwo"",""Round 13!M32:R36"")}"),20.0)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IFERROR(__xludf.DUMMYFUNCTION("""COMPUTED_VALUE"""),0.0)</f>
        <v>0</v>
      </c>
      <c r="C56">
        <f>IFERROR(__xludf.DUMMYFUNCTION("""COMPUTED_VALUE"""),0.0)</f>
        <v>0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IFERROR(__xludf.DUMMYFUNCTION("""COMPUTED_VALUE"""),0.0)</f>
        <v>0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IFERROR(__xludf.DUMMYFUNCTION("""COMPUTED_VALUE"""),0.0)</f>
        <v>0</v>
      </c>
      <c r="I58">
        <f>IFERROR(__xludf.DUMMYFUNCTION("""COMPUTED_VALUE"""),0.0)</f>
        <v>0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13!W1"")"),"Question: 1")</f>
        <v>Question: 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13!C1:H3""),IMPORTRANGE(""1UJlRLlhI2Hg_SAQqQOg0JGdwHhiagF7EVAtCX8UOYFc"",""Round 13!M1:R3"")}"),"Team A")</f>
        <v>Team A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IFERROR(__xludf.DUMMYFUNCTION("""COMPUTED_VALUE"""),"Team B")</f>
        <v>Team B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13!I32""))"),"A BP: 0")</f>
        <v>A BP: 0</v>
      </c>
      <c r="B62" t="str">
        <f>IFERROR(__xludf.DUMMYFUNCTION("""COMPUTED_VALUE"""),"Score: 0")</f>
        <v>Score: 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0")</f>
        <v>Score: 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13!S32""))"),"B BP: 0")</f>
        <v>B BP: 0</v>
      </c>
      <c r="B63" t="str">
        <f>IFERROR(__xludf.DUMMYFUNCTION("""COMPUTED_VALUE"""),"Player 1")</f>
        <v>Player 1</v>
      </c>
      <c r="C63" t="str">
        <f>IFERROR(__xludf.DUMMYFUNCTION("""COMPUTED_VALUE"""),"Player 2")</f>
        <v>Player 2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IFERROR(__xludf.DUMMYFUNCTION("""COMPUTED_VALUE"""),"Player 1")</f>
        <v>Player 1</v>
      </c>
      <c r="I63" t="str">
        <f>IFERROR(__xludf.DUMMYFUNCTION("""COMPUTED_VALUE"""),"Player 2")</f>
        <v>Player 2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13!C32:H36""),IMPORTRANGE(""1UJlRLlhI2Hg_SAQqQOg0JGdwHhiagF7EVAtCX8UOYFc"",""Round 13!M32:R36"")}"),20.0)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IFERROR(__xludf.DUMMYFUNCTION("""COMPUTED_VALUE"""),0.0)</f>
        <v>0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13!W1"")"),"Question: 1")</f>
        <v>Question: 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13!C1:H3""),IMPORTRANGE(""1jA96n0qbauznSt6-hkr51AslpxJqfrWgkafVtMV8_xU"",""Round 13!M1:R3"")}"),"Team A")</f>
        <v>Team A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IFERROR(__xludf.DUMMYFUNCTION("""COMPUTED_VALUE"""),"Team B")</f>
        <v>Team B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13!I32""))"),"A BP: 0")</f>
        <v>A BP: 0</v>
      </c>
      <c r="B72" t="str">
        <f>IFERROR(__xludf.DUMMYFUNCTION("""COMPUTED_VALUE"""),"Score: 0")</f>
        <v>Score: 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0")</f>
        <v>Score: 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13!S32""))"),"B BP: 0")</f>
        <v>B BP: 0</v>
      </c>
      <c r="B73" t="str">
        <f>IFERROR(__xludf.DUMMYFUNCTION("""COMPUTED_VALUE"""),"Player 1")</f>
        <v>Player 1</v>
      </c>
      <c r="C73" t="str">
        <f>IFERROR(__xludf.DUMMYFUNCTION("""COMPUTED_VALUE"""),"Player 2")</f>
        <v>Player 2</v>
      </c>
      <c r="D73" t="str">
        <f>IFERROR(__xludf.DUMMYFUNCTION("""COMPUTED_VALUE"""),"Player 3")</f>
        <v>Player 3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IFERROR(__xludf.DUMMYFUNCTION("""COMPUTED_VALUE"""),"Player 1")</f>
        <v>Player 1</v>
      </c>
      <c r="I73" t="str">
        <f>IFERROR(__xludf.DUMMYFUNCTION("""COMPUTED_VALUE"""),"Player 2")</f>
        <v>Player 2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13!C32:H36""),IMPORTRANGE(""1jA96n0qbauznSt6-hkr51AslpxJqfrWgkafVtMV8_xU"",""Round 13!M32:R36"")}"),20.0)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IFERROR(__xludf.DUMMYFUNCTION("""COMPUTED_VALUE"""),0.0)</f>
        <v>0</v>
      </c>
      <c r="C76">
        <f>IFERROR(__xludf.DUMMYFUNCTION("""COMPUTED_VALUE"""),0.0)</f>
        <v>0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IFERROR(__xludf.DUMMYFUNCTION("""COMPUTED_VALUE"""),0.0)</f>
        <v>0</v>
      </c>
      <c r="C78">
        <f>IFERROR(__xludf.DUMMYFUNCTION("""COMPUTED_VALUE"""),0.0)</f>
        <v>0</v>
      </c>
      <c r="D78">
        <f>IFERROR(__xludf.DUMMYFUNCTION("""COMPUTED_VALUE"""),0.0)</f>
        <v>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IFERROR(__xludf.DUMMYFUNCTION("""COMPUTED_VALUE"""),0.0)</f>
        <v>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13!W1"")"),"Question: 1")</f>
        <v>Question: 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13!C1:H3""),IMPORTRANGE(""1xw1EOjVhrK1PNJfOYiUsuJNrlpV53SmfJxYsFFolQ3s"",""Round 13!M1:R3"")}"),"Team A")</f>
        <v>Team A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IFERROR(__xludf.DUMMYFUNCTION("""COMPUTED_VALUE"""),"Team B")</f>
        <v>Team B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13!I32""))"),"A BP: 0")</f>
        <v>A BP: 0</v>
      </c>
      <c r="B82" t="str">
        <f>IFERROR(__xludf.DUMMYFUNCTION("""COMPUTED_VALUE"""),"Score: 0")</f>
        <v>Score: 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0")</f>
        <v>Score: 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13!S32""))"),"B BP: 0")</f>
        <v>B BP: 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IFERROR(__xludf.DUMMYFUNCTION("""COMPUTED_VALUE"""),"Player 3")</f>
        <v>Player 3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IFERROR(__xludf.DUMMYFUNCTION("""COMPUTED_VALUE"""),"Player 1")</f>
        <v>Player 1</v>
      </c>
      <c r="I83" t="str">
        <f>IFERROR(__xludf.DUMMYFUNCTION("""COMPUTED_VALUE"""),"Player 2")</f>
        <v>Player 2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13!C32:H36""),IMPORTRANGE(""1xw1EOjVhrK1PNJfOYiUsuJNrlpV53SmfJxYsFFolQ3s"",""Round 13!M32:R36"")}"),20.0)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IFERROR(__xludf.DUMMYFUNCTION("""COMPUTED_VALUE"""),0.0)</f>
        <v>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13!W1"")"),"Question: 1")</f>
        <v>Question: 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13!C1:H3""),IMPORTRANGE(""15wOrdFuJAb1a4MoX5CG4apiBD2jUJ7mBu58Uk-8Mo7s"",""Round 13!M1:R3"")}"),"Team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13!I32""))"),"A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13!S32""))"),"B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13!C32:H36""),IMPORTRANGE(""15wOrdFuJAb1a4MoX5CG4apiBD2jUJ7mBu58Uk-8Mo7s"",""Round 13!M32:R36"")}"),20.0)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13!W1"")"),"Question: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13!C1:H3""),IMPORTRANGE(""1GfJqS1rsy-VutTmPVnm9E2VdinIG-GnQO5b3bhaiX1s"",""Round 13!M1:R3"")}"),"Team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13!I32""))"),"A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13!S32""))"),"B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13!C32:H36""),IMPORTRANGE(""1GfJqS1rsy-VutTmPVnm9E2VdinIG-GnQO5b3bhaiX1s"",""Round 13!M32:R36"")}"),20.0)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13!W1"")"),"Question: 1")</f>
        <v>Question: 1</v>
      </c>
      <c r="B109" s="7" t="s">
        <v>150</v>
      </c>
    </row>
    <row r="110">
      <c r="A110" s="6"/>
    </row>
    <row r="111">
      <c r="A111" s="2" t="s">
        <v>166</v>
      </c>
      <c r="B111" t="str">
        <f>IFERROR(__xludf.DUMMYFUNCTION("{IMPORTRANGE(""17CLUEFflDBSa8dyH5vsXfHme4RV8IhzD-mxe9_c9I5k"",""Round 13!C1:H3""),IMPORTRANGE(""17CLUEFflDBSa8dyH5vsXfHme4RV8IhzD-mxe9_c9I5k"",""Round 13!M1:R3"")}"),"Team A")</f>
        <v>Team A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IFERROR(__xludf.DUMMYFUNCTION("""COMPUTED_VALUE"""),"Team B")</f>
        <v>Team B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13!I32""))"),"A BP: 0")</f>
        <v>A BP: 0</v>
      </c>
      <c r="B112" t="str">
        <f>IFERROR(__xludf.DUMMYFUNCTION("""COMPUTED_VALUE"""),"Score: 0")</f>
        <v>Score: 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0")</f>
        <v>Score: 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13!S32""))"),"B BP: 0")</f>
        <v>B BP: 0</v>
      </c>
      <c r="B113" t="str">
        <f>IFERROR(__xludf.DUMMYFUNCTION("""COMPUTED_VALUE"""),"Player 1")</f>
        <v>Player 1</v>
      </c>
      <c r="C113" t="str">
        <f>IFERROR(__xludf.DUMMYFUNCTION("""COMPUTED_VALUE"""),"Player 2")</f>
        <v>Player 2</v>
      </c>
      <c r="D113" t="str">
        <f>IFERROR(__xludf.DUMMYFUNCTION("""COMPUTED_VALUE"""),"Player 3")</f>
        <v>Player 3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IFERROR(__xludf.DUMMYFUNCTION("""COMPUTED_VALUE"""),"Player 1")</f>
        <v>Player 1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13!C32:H36""),IMPORTRANGE(""17CLUEFflDBSa8dyH5vsXfHme4RV8IhzD-mxe9_c9I5k"",""Round 13!M32:R36"")}"),20.0)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IFERROR(__xludf.DUMMYFUNCTION("""COMPUTED_VALUE"""),0.0)</f>
        <v>0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IFERROR(__xludf.DUMMYFUNCTION("""COMPUTED_VALUE"""),0.0)</f>
        <v>0</v>
      </c>
      <c r="C116">
        <f>IFERROR(__xludf.DUMMYFUNCTION("""COMPUTED_VALUE"""),0.0)</f>
        <v>0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IFERROR(__xludf.DUMMYFUNCTION("""COMPUTED_VALUE"""),0.0)</f>
        <v>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IFERROR(__xludf.DUMMYFUNCTION("""COMPUTED_VALUE"""),0.0)</f>
        <v>0</v>
      </c>
      <c r="C118">
        <f>IFERROR(__xludf.DUMMYFUNCTION("""COMPUTED_VALUE"""),0.0)</f>
        <v>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IFERROR(__xludf.DUMMYFUNCTION("""COMPUTED_VALUE"""),0.0)</f>
        <v>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13!W1"")"),"Question: 1")</f>
        <v>Question: 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13!C1:H3""),IMPORTRANGE(""1Knt8XDGFY_MP2OzeadT1pDENTLOdk9Ab_Rd9IdW0kzc"",""Round 13!M1:R3"")}"),"Team A")</f>
        <v>Team A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IFERROR(__xludf.DUMMYFUNCTION("""COMPUTED_VALUE"""),"Team B")</f>
        <v>Team B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13!I32""))"),"A BP: 0")</f>
        <v>A BP: 0</v>
      </c>
      <c r="B122" t="str">
        <f>IFERROR(__xludf.DUMMYFUNCTION("""COMPUTED_VALUE"""),"Score: 0")</f>
        <v>Score: 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0")</f>
        <v>Score: 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13!S32""))"),"B BP: 0")</f>
        <v>B BP: 0</v>
      </c>
      <c r="B123" t="str">
        <f>IFERROR(__xludf.DUMMYFUNCTION("""COMPUTED_VALUE"""),"Player 1")</f>
        <v>Player 1</v>
      </c>
      <c r="C123" t="str">
        <f>IFERROR(__xludf.DUMMYFUNCTION("""COMPUTED_VALUE"""),"Player 2")</f>
        <v>Player 2</v>
      </c>
      <c r="D123" t="str">
        <f>IFERROR(__xludf.DUMMYFUNCTION("""COMPUTED_VALUE"""),"Player 3")</f>
        <v>Player 3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IFERROR(__xludf.DUMMYFUNCTION("""COMPUTED_VALUE"""),"Player 1")</f>
        <v>Player 1</v>
      </c>
      <c r="I123" t="str">
        <f>IFERROR(__xludf.DUMMYFUNCTION("""COMPUTED_VALUE"""),"Player 2")</f>
        <v>Player 2</v>
      </c>
      <c r="J123" t="str">
        <f>IFERROR(__xludf.DUMMYFUNCTION("""COMPUTED_VALUE"""),"Player 3")</f>
        <v>Player 3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13!C32:H36""),IMPORTRANGE(""1Knt8XDGFY_MP2OzeadT1pDENTLOdk9Ab_Rd9IdW0kzc"",""Round 13!M32:R36"")}"),20.0)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IFERROR(__xludf.DUMMYFUNCTION("""COMPUTED_VALUE"""),0.0)</f>
        <v>0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IFERROR(__xludf.DUMMYFUNCTION("""COMPUTED_VALUE"""),0.0)</f>
        <v>0</v>
      </c>
      <c r="J126">
        <f>IFERROR(__xludf.DUMMYFUNCTION("""COMPUTED_VALUE"""),0.0)</f>
        <v>0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IFERROR(__xludf.DUMMYFUNCTION("""COMPUTED_VALUE"""),0.0)</f>
        <v>0</v>
      </c>
      <c r="C128">
        <f>IFERROR(__xludf.DUMMYFUNCTION("""COMPUTED_VALUE"""),0.0)</f>
        <v>0</v>
      </c>
      <c r="D128">
        <f>IFERROR(__xludf.DUMMYFUNCTION("""COMPUTED_VALUE"""),0.0)</f>
        <v>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IFERROR(__xludf.DUMMYFUNCTION("""COMPUTED_VALUE"""),0.0)</f>
        <v>0</v>
      </c>
      <c r="I128">
        <f>IFERROR(__xludf.DUMMYFUNCTION("""COMPUTED_VALUE"""),0.0)</f>
        <v>0</v>
      </c>
      <c r="J128">
        <f>IFERROR(__xludf.DUMMYFUNCTION("""COMPUTED_VALUE"""),0.0)</f>
        <v>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13!W1"")"),"Question: 1")</f>
        <v>Question: 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13!C1:H3""),IMPORTRANGE(""16i4gsLDaJasgGgtJt27HweoboYNaal3qpX3MtxIR2f0"",""Round 13!M1:R3"")}"),"Team A")</f>
        <v>Team A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IFERROR(__xludf.DUMMYFUNCTION("""COMPUTED_VALUE"""),"Team B")</f>
        <v>Team B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13!I32""))"),"A BP: 0")</f>
        <v>A BP: 0</v>
      </c>
      <c r="B132" t="str">
        <f>IFERROR(__xludf.DUMMYFUNCTION("""COMPUTED_VALUE"""),"Score: 0")</f>
        <v>Score: 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0")</f>
        <v>Score: 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13!S32""))"),"B BP: 0")</f>
        <v>B BP: 0</v>
      </c>
      <c r="B133" t="str">
        <f>IFERROR(__xludf.DUMMYFUNCTION("""COMPUTED_VALUE"""),"Player 1")</f>
        <v>Player 1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IFERROR(__xludf.DUMMYFUNCTION("""COMPUTED_VALUE"""),"Player 1")</f>
        <v>Player 1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13!C32:H36""),IMPORTRANGE(""16i4gsLDaJasgGgtJt27HweoboYNaal3qpX3MtxIR2f0"",""Round 13!M32:R36"")}"),20.0)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IFERROR(__xludf.DUMMYFUNCTION("""COMPUTED_VALUE"""),0.0)</f>
        <v>0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IFERROR(__xludf.DUMMYFUNCTION("""COMPUTED_VALUE"""),0.0)</f>
        <v>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13!W1"")"),"Question: 1")</f>
        <v>Question: 1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13!C1:H3""),IMPORTRANGE(""1KRyI2c190uhOTF270Hsdzh1rgG565QIaE9TymteaGNY"",""Round 13!M1:R3"")}"),"Team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IFERROR(__xludf.DUMMYFUNCTION("""COMPUTED_VALUE"""),"Team B")</f>
        <v>Team B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13!I32""))"),"A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13!S32""))"),"B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IFERROR(__xludf.DUMMYFUNCTION("""COMPUTED_VALUE"""),"Player 1")</f>
        <v>Player 1</v>
      </c>
      <c r="I143" t="str">
        <f>IFERROR(__xludf.DUMMYFUNCTION("""COMPUTED_VALUE"""),"Player 2")</f>
        <v>Player 2</v>
      </c>
      <c r="J143" t="str">
        <f>IFERROR(__xludf.DUMMYFUNCTION("""COMPUTED_VALUE"""),"Player 3")</f>
        <v>Player 3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13!C32:H36""),IMPORTRANGE(""1KRyI2c190uhOTF270Hsdzh1rgG565QIaE9TymteaGNY"",""Round 13!M32:R36"")}"),20.0)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13!W1"")"),"Question: 1")</f>
        <v>Question: 1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13!C1:H3""),IMPORTRANGE(""1zr0uYCpJ5izByVOUCsr6JXezthGEdLXnwOrjIKGx5XI"",""Round 13!M1:R3"")}"),"Team A")</f>
        <v>Team A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IFERROR(__xludf.DUMMYFUNCTION("""COMPUTED_VALUE"""),"Team B")</f>
        <v>Team B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13!I32""))"),"A BP: 0")</f>
        <v>A BP: 0</v>
      </c>
      <c r="B152" t="str">
        <f>IFERROR(__xludf.DUMMYFUNCTION("""COMPUTED_VALUE"""),"Score: 0")</f>
        <v>Score: 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0")</f>
        <v>Score: 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13!S32""))"),"B BP: 0")</f>
        <v>B BP: 0</v>
      </c>
      <c r="B153" t="str">
        <f>IFERROR(__xludf.DUMMYFUNCTION("""COMPUTED_VALUE"""),"Player 1")</f>
        <v>Player 1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IFERROR(__xludf.DUMMYFUNCTION("""COMPUTED_VALUE"""),"Player 1")</f>
        <v>Player 1</v>
      </c>
      <c r="I153" t="str">
        <f>IFERROR(__xludf.DUMMYFUNCTION("""COMPUTED_VALUE"""),"Player 2")</f>
        <v>Player 2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13!C32:H36""),IMPORTRANGE(""1zr0uYCpJ5izByVOUCsr6JXezthGEdLXnwOrjIKGx5XI"",""Round 13!M32:R36"")}"),20.0)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IFERROR(__xludf.DUMMYFUNCTION("""COMPUTED_VALUE"""),0.0)</f>
        <v>0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IFERROR(__xludf.DUMMYFUNCTION("""COMPUTED_VALUE"""),0.0)</f>
        <v>0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IFERROR(__xludf.DUMMYFUNCTION("""COMPUTED_VALUE"""),0.0)</f>
        <v>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IFERROR(__xludf.DUMMYFUNCTION("""COMPUTED_VALUE"""),0.0)</f>
        <v>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13!W1"")"),"Question: 1")</f>
        <v>Question: 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13!C1:H3""),IMPORTRANGE(""1TVrjNI5RE1VozIr906BhaTKMFP0VPx8aUGpyt_loukE"",""Round 13!M1:R3"")}"),"Team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13!I32""))"),"A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13!S32""))"),"B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13!C32:H36""),IMPORTRANGE(""1TVrjNI5RE1VozIr906BhaTKMFP0VPx8aUGpyt_loukE"",""Round 13!M32:R36"")}"),20.0)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13!W1"")"),"Question: 1")</f>
        <v>Question: 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13!C1:H3""),IMPORTRANGE(""1xRz0po-ejgp-QRvMkY44z3u2CePgTccasdyrrVALbmE"",""Round 13!M1:R3"")}"),"Team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13!I32""))"),"A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13!S32""))"),"B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13!C32:H36""),IMPORTRANGE(""1xRz0po-ejgp-QRvMkY44z3u2CePgTccasdyrrVALbmE"",""Round 13!M32:R36"")}"),20.0)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13!W1"")"),"Question: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/>
    </row>
    <row r="2">
      <c r="A2" s="6"/>
    </row>
    <row r="3">
      <c r="A3" s="6"/>
    </row>
    <row r="4">
      <c r="A4" s="2"/>
    </row>
    <row r="5">
      <c r="A5" s="2"/>
    </row>
    <row r="6">
      <c r="A6" s="2"/>
    </row>
    <row r="7">
      <c r="A7" s="2"/>
    </row>
    <row r="8">
      <c r="A8" s="2"/>
    </row>
    <row r="9">
      <c r="A9" s="6"/>
    </row>
    <row r="10">
      <c r="A10" s="2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/>
    </row>
    <row r="2">
      <c r="A2" s="6"/>
    </row>
    <row r="3">
      <c r="A3" s="6"/>
    </row>
    <row r="4">
      <c r="A4" s="2"/>
    </row>
    <row r="5">
      <c r="A5" s="2"/>
    </row>
    <row r="6">
      <c r="A6" s="2"/>
    </row>
    <row r="7">
      <c r="A7" s="2"/>
    </row>
    <row r="8">
      <c r="A8" s="2"/>
    </row>
    <row r="9">
      <c r="A9" s="6"/>
    </row>
    <row r="10">
      <c r="A10" s="2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/>
    </row>
    <row r="2">
      <c r="A2" s="6"/>
    </row>
    <row r="3">
      <c r="A3" s="6"/>
    </row>
    <row r="4">
      <c r="A4" s="2"/>
    </row>
    <row r="5">
      <c r="A5" s="2"/>
    </row>
    <row r="6">
      <c r="A6" s="2"/>
    </row>
    <row r="7">
      <c r="A7" s="2"/>
    </row>
    <row r="8">
      <c r="A8" s="2"/>
    </row>
    <row r="9">
      <c r="A9" s="6"/>
    </row>
    <row r="10">
      <c r="A10" s="2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/>
    </row>
    <row r="2">
      <c r="A2" s="6"/>
    </row>
    <row r="3">
      <c r="A3" s="6"/>
    </row>
    <row r="4">
      <c r="A4" s="2"/>
    </row>
    <row r="5">
      <c r="A5" s="2"/>
    </row>
    <row r="6">
      <c r="A6" s="2"/>
    </row>
    <row r="7">
      <c r="A7" s="2"/>
    </row>
    <row r="8">
      <c r="A8" s="2"/>
    </row>
    <row r="9">
      <c r="A9" s="6"/>
    </row>
    <row r="10">
      <c r="A10" s="2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/>
    </row>
    <row r="2">
      <c r="A2" s="6"/>
    </row>
    <row r="3">
      <c r="A3" s="6"/>
    </row>
    <row r="4">
      <c r="A4" s="2"/>
    </row>
    <row r="5">
      <c r="A5" s="2"/>
    </row>
    <row r="6">
      <c r="A6" s="2"/>
    </row>
    <row r="7">
      <c r="A7" s="2"/>
    </row>
    <row r="8">
      <c r="A8" s="2"/>
    </row>
    <row r="9">
      <c r="A9" s="6"/>
    </row>
    <row r="10">
      <c r="A10" s="2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3</v>
      </c>
      <c r="C1" s="1" t="s">
        <v>4</v>
      </c>
      <c r="D1" s="1" t="s">
        <v>5</v>
      </c>
      <c r="E1" s="4" t="s">
        <v>6</v>
      </c>
      <c r="F1" s="1"/>
    </row>
    <row r="2">
      <c r="A2" s="1" t="s">
        <v>7</v>
      </c>
      <c r="B2" s="3" t="s">
        <v>8</v>
      </c>
      <c r="C2" s="1" t="s">
        <v>9</v>
      </c>
      <c r="D2" s="3" t="s">
        <v>10</v>
      </c>
      <c r="E2" s="3" t="s">
        <v>11</v>
      </c>
      <c r="F2" s="1"/>
    </row>
    <row r="3">
      <c r="A3" s="1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4" t="s">
        <v>17</v>
      </c>
    </row>
    <row r="4">
      <c r="A4" s="1" t="s">
        <v>18</v>
      </c>
      <c r="B4" s="3" t="s">
        <v>19</v>
      </c>
      <c r="C4" s="3" t="s">
        <v>20</v>
      </c>
      <c r="D4" s="3" t="s">
        <v>21</v>
      </c>
      <c r="E4" s="1"/>
      <c r="F4" s="1"/>
    </row>
    <row r="5">
      <c r="A5" s="1" t="s">
        <v>22</v>
      </c>
      <c r="B5" s="3" t="s">
        <v>23</v>
      </c>
      <c r="C5" s="3" t="s">
        <v>24</v>
      </c>
      <c r="D5" s="3" t="s">
        <v>25</v>
      </c>
      <c r="E5" s="1"/>
      <c r="F5" s="1"/>
    </row>
    <row r="6">
      <c r="A6" s="1" t="s">
        <v>26</v>
      </c>
      <c r="B6" s="3" t="s">
        <v>27</v>
      </c>
      <c r="C6" s="3" t="s">
        <v>28</v>
      </c>
      <c r="D6" s="5" t="s">
        <v>29</v>
      </c>
      <c r="E6" s="1"/>
      <c r="F6" s="1"/>
    </row>
    <row r="7">
      <c r="A7" s="1" t="s">
        <v>30</v>
      </c>
      <c r="B7" s="3" t="s">
        <v>31</v>
      </c>
      <c r="C7" s="3" t="s">
        <v>32</v>
      </c>
      <c r="D7" s="3" t="s">
        <v>33</v>
      </c>
      <c r="E7" s="3" t="s">
        <v>34</v>
      </c>
      <c r="F7" s="1"/>
    </row>
    <row r="8">
      <c r="A8" s="1" t="s">
        <v>35</v>
      </c>
      <c r="B8" s="1" t="s">
        <v>36</v>
      </c>
      <c r="C8" s="1" t="s">
        <v>37</v>
      </c>
      <c r="D8" s="1" t="s">
        <v>38</v>
      </c>
      <c r="E8" s="4" t="s">
        <v>39</v>
      </c>
      <c r="F8" s="1"/>
    </row>
    <row r="9">
      <c r="A9" s="1" t="s">
        <v>40</v>
      </c>
      <c r="B9" s="1" t="s">
        <v>41</v>
      </c>
      <c r="C9" s="1" t="s">
        <v>42</v>
      </c>
      <c r="D9" s="1" t="s">
        <v>43</v>
      </c>
      <c r="E9" s="1"/>
      <c r="F9" s="1"/>
    </row>
    <row r="10">
      <c r="A10" s="1" t="s">
        <v>44</v>
      </c>
      <c r="B10" s="1" t="s">
        <v>45</v>
      </c>
      <c r="C10" s="1" t="s">
        <v>46</v>
      </c>
      <c r="D10" s="1" t="s">
        <v>47</v>
      </c>
      <c r="E10" s="1"/>
      <c r="F10" s="1"/>
    </row>
    <row r="11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</row>
    <row r="12">
      <c r="A12" s="1" t="s">
        <v>54</v>
      </c>
      <c r="B12" s="1" t="s">
        <v>55</v>
      </c>
      <c r="C12" s="1" t="s">
        <v>56</v>
      </c>
      <c r="D12" s="1" t="s">
        <v>57</v>
      </c>
      <c r="E12" s="4" t="s">
        <v>58</v>
      </c>
      <c r="F12" s="1"/>
    </row>
    <row r="13">
      <c r="A13" s="1" t="s">
        <v>59</v>
      </c>
      <c r="B13" s="1" t="s">
        <v>60</v>
      </c>
      <c r="C13" s="1" t="s">
        <v>61</v>
      </c>
      <c r="D13" s="1" t="s">
        <v>62</v>
      </c>
      <c r="E13" s="4" t="s">
        <v>63</v>
      </c>
      <c r="F13" s="1"/>
    </row>
    <row r="14">
      <c r="A14" s="1" t="s">
        <v>64</v>
      </c>
      <c r="B14" s="1" t="s">
        <v>65</v>
      </c>
      <c r="C14" s="1" t="s">
        <v>66</v>
      </c>
      <c r="D14" s="1" t="s">
        <v>67</v>
      </c>
      <c r="E14" s="1" t="s">
        <v>68</v>
      </c>
      <c r="F14" s="4" t="s">
        <v>69</v>
      </c>
    </row>
    <row r="15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F15" s="1"/>
    </row>
    <row r="16">
      <c r="A16" s="1" t="s">
        <v>75</v>
      </c>
      <c r="B16" s="3" t="s">
        <v>76</v>
      </c>
      <c r="C16" s="3" t="s">
        <v>77</v>
      </c>
      <c r="D16" s="3" t="s">
        <v>78</v>
      </c>
      <c r="E16" s="3" t="s">
        <v>79</v>
      </c>
      <c r="F16" s="1"/>
    </row>
    <row r="17">
      <c r="A17" s="1" t="s">
        <v>80</v>
      </c>
      <c r="B17" s="3" t="s">
        <v>81</v>
      </c>
      <c r="C17" s="1"/>
      <c r="D17" s="1"/>
      <c r="E17" s="1"/>
      <c r="F17" s="1"/>
    </row>
    <row r="18">
      <c r="A18" s="1" t="s">
        <v>82</v>
      </c>
      <c r="B18" s="3" t="s">
        <v>83</v>
      </c>
      <c r="C18" s="3" t="s">
        <v>84</v>
      </c>
      <c r="D18" s="5" t="s">
        <v>85</v>
      </c>
      <c r="E18" s="1"/>
      <c r="F18" s="1"/>
    </row>
    <row r="19">
      <c r="A19" s="1" t="s">
        <v>86</v>
      </c>
      <c r="B19" s="1" t="s">
        <v>87</v>
      </c>
      <c r="C19" s="1" t="s">
        <v>88</v>
      </c>
      <c r="D19" s="1" t="s">
        <v>89</v>
      </c>
      <c r="E19" s="1" t="s">
        <v>90</v>
      </c>
      <c r="F19" s="1"/>
    </row>
    <row r="20">
      <c r="A20" s="1" t="s">
        <v>91</v>
      </c>
      <c r="B20" s="1" t="s">
        <v>92</v>
      </c>
      <c r="C20" s="1" t="s">
        <v>93</v>
      </c>
      <c r="D20" s="1" t="s">
        <v>94</v>
      </c>
      <c r="E20" s="4" t="s">
        <v>95</v>
      </c>
      <c r="F20" s="1"/>
    </row>
    <row r="21">
      <c r="A21" s="1" t="s">
        <v>96</v>
      </c>
      <c r="B21" s="3" t="s">
        <v>97</v>
      </c>
      <c r="C21" s="3" t="s">
        <v>98</v>
      </c>
      <c r="D21" s="5" t="s">
        <v>99</v>
      </c>
      <c r="E21" s="1"/>
      <c r="F21" s="1"/>
    </row>
    <row r="22">
      <c r="A22" s="1" t="s">
        <v>100</v>
      </c>
      <c r="B22" s="3" t="s">
        <v>101</v>
      </c>
      <c r="C22" s="3" t="s">
        <v>102</v>
      </c>
      <c r="D22" s="3" t="s">
        <v>103</v>
      </c>
      <c r="E22" s="5" t="s">
        <v>104</v>
      </c>
      <c r="F22" s="1"/>
    </row>
    <row r="23">
      <c r="A23" s="1" t="s">
        <v>105</v>
      </c>
      <c r="B23" s="1" t="s">
        <v>106</v>
      </c>
      <c r="C23" s="1" t="s">
        <v>107</v>
      </c>
      <c r="D23" s="1" t="s">
        <v>108</v>
      </c>
      <c r="E23" s="1" t="s">
        <v>109</v>
      </c>
      <c r="F23" s="4" t="s">
        <v>110</v>
      </c>
    </row>
    <row r="24">
      <c r="A24" s="1" t="s">
        <v>111</v>
      </c>
      <c r="B24" s="3" t="s">
        <v>112</v>
      </c>
      <c r="C24" s="3" t="s">
        <v>113</v>
      </c>
      <c r="D24" s="3" t="s">
        <v>114</v>
      </c>
      <c r="E24" s="3" t="s">
        <v>115</v>
      </c>
      <c r="F24" s="1"/>
    </row>
    <row r="25">
      <c r="A25" s="1" t="s">
        <v>116</v>
      </c>
      <c r="B25" s="3" t="s">
        <v>117</v>
      </c>
      <c r="C25" s="3" t="s">
        <v>118</v>
      </c>
      <c r="D25" s="3" t="s">
        <v>119</v>
      </c>
      <c r="E25" s="1"/>
      <c r="F25" s="1"/>
    </row>
    <row r="26">
      <c r="A26" s="1" t="s">
        <v>120</v>
      </c>
      <c r="B26" s="1" t="s">
        <v>121</v>
      </c>
      <c r="C26" s="4" t="s">
        <v>122</v>
      </c>
      <c r="D26" s="1"/>
      <c r="E26" s="1"/>
      <c r="F26" s="1"/>
    </row>
    <row r="27">
      <c r="A27" s="1"/>
      <c r="B27" s="1"/>
      <c r="C27" s="1"/>
      <c r="D27" s="1"/>
      <c r="E27" s="1"/>
      <c r="F27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2!C1:H3""),IMPORTRANGE(""1JXwZ4AjXctyKvWy9qFKCX518NRYJYhSX9Jii0HPBCUs"",""Round 2!M1:R3"")}"),"Team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2!I32""))"),"A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2!S32""))"),"B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2!C32:H36""),IMPORTRANGE(""1JXwZ4AjXctyKvWy9qFKCX518NRYJYhSX9Jii0HPBCUs"",""Round 2!M32:R36"")}"),20.0)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2!W1"")"),"Question: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2!C1:H3""),IMPORTRANGE(""1GBDUn_ZojNLX5OJCVBEhvJbdm0c55Z7lPcE4L6WH89o"",""Round 2!M1:R3"")}"),"Team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2!I32""))"),"A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2!S32""))"),"B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2!C32:H36""),IMPORTRANGE(""1GBDUn_ZojNLX5OJCVBEhvJbdm0c55Z7lPcE4L6WH89o"",""Round 2!M32:R36"")}"),20.0)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2!W1"")"),"Question: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2!C1:H3""),IMPORTRANGE(""19Dum1qlL_dEwf1AEniLf02Eg9XaNXi1GMkI5M4_Ei6w"",""Round 2!M1:R3"")}"),"Team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2!I32""))"),"A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2!S32""))"),"B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2!C32:H36""),IMPORTRANGE(""19Dum1qlL_dEwf1AEniLf02Eg9XaNXi1GMkI5M4_Ei6w"",""Round 2!M32:R36"")}"),20.0)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2!W1"")"),"Question: 1")</f>
        <v>Question: 1</v>
      </c>
      <c r="B29" s="7" t="s">
        <v>129</v>
      </c>
    </row>
    <row r="30">
      <c r="A30" s="6"/>
    </row>
    <row r="31">
      <c r="A31" s="2" t="s">
        <v>130</v>
      </c>
      <c r="B31" t="str">
        <f>IFERROR(__xludf.DUMMYFUNCTION("{IMPORTRANGE(""18KjuM_F6goZYnozVb7folIb5Hw_mfKQrNdVWKGx6j4s"",""Round 2!C1:H3""),IMPORTRANGE(""18KjuM_F6goZYnozVb7folIb5Hw_mfKQrNdVWKGx6j4s"",""Round 2!M1:R3"")}"),"Black Mountain A (JV)")</f>
        <v>Black Mountain A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IFERROR(__xludf.DUMMYFUNCTION("""COMPUTED_VALUE"""),"Oak Valley B (JV)")</f>
        <v>Oak Valley B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2!I32""))"),"A BP: 140")</f>
        <v>A BP: 140</v>
      </c>
      <c r="B32" t="str">
        <f>IFERROR(__xludf.DUMMYFUNCTION("""COMPUTED_VALUE"""),"Score: 210")</f>
        <v>Score: 210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260")</f>
        <v>Score: 260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2!S32""))"),"B BP: 170")</f>
        <v>B BP: 170</v>
      </c>
      <c r="B33" t="str">
        <f>IFERROR(__xludf.DUMMYFUNCTION("""COMPUTED_VALUE"""),"Adarsh Venkateswaran (8)")</f>
        <v>Adarsh Venkateswaran (8)</v>
      </c>
      <c r="C33" t="str">
        <f>IFERROR(__xludf.DUMMYFUNCTION("""COMPUTED_VALUE"""),"Anvit Watwani (7)")</f>
        <v>Anvit Watwani (7)</v>
      </c>
      <c r="D33" t="str">
        <f>IFERROR(__xludf.DUMMYFUNCTION("""COMPUTED_VALUE"""),"Tanvi Bhide (7)")</f>
        <v>Tanvi Bhide (7)</v>
      </c>
      <c r="E33" t="str">
        <f>IFERROR(__xludf.DUMMYFUNCTION("""COMPUTED_VALUE"""),"Edwin Chang (8)")</f>
        <v>Edwin Chang (8)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IFERROR(__xludf.DUMMYFUNCTION("""COMPUTED_VALUE"""),"Rohan Gaikwad (8)")</f>
        <v>Rohan Gaikwad (8)</v>
      </c>
      <c r="I33" t="str">
        <f>IFERROR(__xludf.DUMMYFUNCTION("""COMPUTED_VALUE"""),"Amina Aslam-Mir (7)")</f>
        <v>Amina Aslam-Mir (7)</v>
      </c>
      <c r="J33" t="str">
        <f>IFERROR(__xludf.DUMMYFUNCTION("""COMPUTED_VALUE"""),"John Bruvold (8)")</f>
        <v>John Bruvold (8)</v>
      </c>
      <c r="K33" t="str">
        <f>IFERROR(__xludf.DUMMYFUNCTION("""COMPUTED_VALUE"""),"Ethan Huang (7)")</f>
        <v>Ethan Huang (7)</v>
      </c>
      <c r="L33" t="str">
        <f>IFERROR(__xludf.DUMMYFUNCTION("""COMPUTED_VALUE"""),"Aditi Bandaru (7)")</f>
        <v>Aditi Bandaru (7)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2!C32:H36""),IMPORTRANGE(""18KjuM_F6goZYnozVb7folIb5Hw_mfKQrNdVWKGx6j4s"",""Round 2!M32:R36"")}"),20.0)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IFERROR(__xludf.DUMMYFUNCTION("""COMPUTED_VALUE"""),10.0)</f>
        <v>10</v>
      </c>
      <c r="L34">
        <f>IFERROR(__xludf.DUMMYFUNCTION("""COMPUTED_VALUE"""),10.0)</f>
        <v>10</v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IFERROR(__xludf.DUMMYFUNCTION("""COMPUTED_VALUE"""),1.0)</f>
        <v>1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IFERROR(__xludf.DUMMYFUNCTION("""COMPUTED_VALUE"""),1.0)</f>
        <v>1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IFERROR(__xludf.DUMMYFUNCTION("""COMPUTED_VALUE"""),1.0)</f>
        <v>1</v>
      </c>
      <c r="K35">
        <f>IFERROR(__xludf.DUMMYFUNCTION("""COMPUTED_VALUE"""),0.0)</f>
        <v>0</v>
      </c>
      <c r="L35">
        <f>IFERROR(__xludf.DUMMYFUNCTION("""COMPUTED_VALUE"""),1.0)</f>
        <v>1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IFERROR(__xludf.DUMMYFUNCTION("""COMPUTED_VALUE"""),1.0)</f>
        <v>1</v>
      </c>
      <c r="C36">
        <f>IFERROR(__xludf.DUMMYFUNCTION("""COMPUTED_VALUE"""),3.0)</f>
        <v>3</v>
      </c>
      <c r="D36">
        <f>IFERROR(__xludf.DUMMYFUNCTION("""COMPUTED_VALUE"""),1.0)</f>
        <v>1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IFERROR(__xludf.DUMMYFUNCTION("""COMPUTED_VALUE"""),5.0)</f>
        <v>5</v>
      </c>
      <c r="I36">
        <f>IFERROR(__xludf.DUMMYFUNCTION("""COMPUTED_VALUE"""),2.0)</f>
        <v>2</v>
      </c>
      <c r="J36">
        <f>IFERROR(__xludf.DUMMYFUNCTION("""COMPUTED_VALUE"""),0.0)</f>
        <v>0</v>
      </c>
      <c r="K36">
        <f>IFERROR(__xludf.DUMMYFUNCTION("""COMPUTED_VALUE"""),1.0)</f>
        <v>1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IFERROR(__xludf.DUMMYFUNCTION("""COMPUTED_VALUE"""),1.0)</f>
        <v>1</v>
      </c>
      <c r="C37">
        <f>IFERROR(__xludf.DUMMYFUNCTION("""COMPUTED_VALUE"""),0.0)</f>
        <v>0</v>
      </c>
      <c r="D37">
        <f>IFERROR(__xludf.DUMMYFUNCTION("""COMPUTED_VALUE"""),1.0)</f>
        <v>1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IFERROR(__xludf.DUMMYFUNCTION("""COMPUTED_VALUE"""),2.0)</f>
        <v>2</v>
      </c>
      <c r="I37">
        <f>IFERROR(__xludf.DUMMYFUNCTION("""COMPUTED_VALUE"""),2.0)</f>
        <v>2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IFERROR(__xludf.DUMMYFUNCTION("""COMPUTED_VALUE"""),20.0)</f>
        <v>20</v>
      </c>
      <c r="C38">
        <f>IFERROR(__xludf.DUMMYFUNCTION("""COMPUTED_VALUE"""),30.0)</f>
        <v>30</v>
      </c>
      <c r="D38">
        <f>IFERROR(__xludf.DUMMYFUNCTION("""COMPUTED_VALUE"""),5.0)</f>
        <v>5</v>
      </c>
      <c r="E38">
        <f>IFERROR(__xludf.DUMMYFUNCTION("""COMPUTED_VALUE"""),15.0)</f>
        <v>15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IFERROR(__xludf.DUMMYFUNCTION("""COMPUTED_VALUE"""),40.0)</f>
        <v>40</v>
      </c>
      <c r="I38">
        <f>IFERROR(__xludf.DUMMYFUNCTION("""COMPUTED_VALUE"""),10.0)</f>
        <v>10</v>
      </c>
      <c r="J38">
        <f>IFERROR(__xludf.DUMMYFUNCTION("""COMPUTED_VALUE"""),15.0)</f>
        <v>15</v>
      </c>
      <c r="K38">
        <f>IFERROR(__xludf.DUMMYFUNCTION("""COMPUTED_VALUE"""),10.0)</f>
        <v>10</v>
      </c>
      <c r="L38">
        <f>IFERROR(__xludf.DUMMYFUNCTION("""COMPUTED_VALUE"""),15.0)</f>
        <v>15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2!W1"")"),"Question: 21")</f>
        <v>Question: 21</v>
      </c>
      <c r="B39" s="7" t="s">
        <v>131</v>
      </c>
    </row>
    <row r="40">
      <c r="A40" s="6"/>
    </row>
    <row r="41">
      <c r="A41" s="2" t="s">
        <v>132</v>
      </c>
      <c r="B41" t="str">
        <f>IFERROR(__xludf.DUMMYFUNCTION("{IMPORTRANGE(""1_YEY20HiFjspjicPICCMlL_lQXsksdB6d3m5vzHwuOI"",""Round 2!C1:H3""),IMPORTRANGE(""1_YEY20HiFjspjicPICCMlL_lQXsksdB6d3m5vzHwuOI"",""Round 2!M1:R3"")}"),"Del Norte (JV)")</f>
        <v>Del Norte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B (JV)")</f>
        <v>Black Mountain B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2!I32""))"),"A BP: 220")</f>
        <v>A BP: 220</v>
      </c>
      <c r="B42" t="str">
        <f>IFERROR(__xludf.DUMMYFUNCTION("""COMPUTED_VALUE"""),"Score: 375")</f>
        <v>Score: 375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135")</f>
        <v>Score: 135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2!S32""))"),"B BP: 80")</f>
        <v>B BP: 80</v>
      </c>
      <c r="B43" t="str">
        <f>IFERROR(__xludf.DUMMYFUNCTION("""COMPUTED_VALUE"""),"Kinish Sathish (9)")</f>
        <v>Kinish Sathish (9)</v>
      </c>
      <c r="C43" t="str">
        <f>IFERROR(__xludf.DUMMYFUNCTION("""COMPUTED_VALUE"""),"Kyle Nagasawa (11)")</f>
        <v>Kyle Nagasawa (11)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IFERROR(__xludf.DUMMYFUNCTION("""COMPUTED_VALUE"""),"Pranay Kulkarni (7)")</f>
        <v>Pranay Kulkarni (7)</v>
      </c>
      <c r="I43" t="str">
        <f>IFERROR(__xludf.DUMMYFUNCTION("""COMPUTED_VALUE"""),"Lauren Yung (8)")</f>
        <v>Lauren Yung (8)</v>
      </c>
      <c r="J43" t="str">
        <f>IFERROR(__xludf.DUMMYFUNCTION("""COMPUTED_VALUE"""),"Raina Chatterjee (7)")</f>
        <v>Raina Chatterjee (7)</v>
      </c>
      <c r="K43" t="str">
        <f>IFERROR(__xludf.DUMMYFUNCTION("""COMPUTED_VALUE"""),"Anay Sabhnani (7)")</f>
        <v>Anay Sabhnani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2!C32:H36""),IMPORTRANGE(""1_YEY20HiFjspjicPICCMlL_lQXsksdB6d3m5vzHwuOI"",""Round 2!M32:R36"")}"),20.0)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IFERROR(__xludf.DUMMYFUNCTION("""COMPUTED_VALUE"""),5.0)</f>
        <v>5</v>
      </c>
      <c r="C45">
        <f>IFERROR(__xludf.DUMMYFUNCTION("""COMPUTED_VALUE"""),1.0)</f>
        <v>1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IFERROR(__xludf.DUMMYFUNCTION("""COMPUTED_VALUE"""),1.0)</f>
        <v>1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IFERROR(__xludf.DUMMYFUNCTION("""COMPUTED_VALUE"""),2.0)</f>
        <v>2</v>
      </c>
      <c r="C46">
        <f>IFERROR(__xludf.DUMMYFUNCTION("""COMPUTED_VALUE"""),5.0)</f>
        <v>5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IFERROR(__xludf.DUMMYFUNCTION("""COMPUTED_VALUE"""),2.0)</f>
        <v>2</v>
      </c>
      <c r="J46">
        <f>IFERROR(__xludf.DUMMYFUNCTION("""COMPUTED_VALUE"""),0.0)</f>
        <v>0</v>
      </c>
      <c r="K46">
        <f>IFERROR(__xludf.DUMMYFUNCTION("""COMPUTED_VALUE"""),2.0)</f>
        <v>2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IFERROR(__xludf.DUMMYFUNCTION("""COMPUTED_VALUE"""),0.0)</f>
        <v>0</v>
      </c>
      <c r="C47">
        <f>IFERROR(__xludf.DUMMYFUNCTION("""COMPUTED_VALUE"""),1.0)</f>
        <v>1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IFERROR(__xludf.DUMMYFUNCTION("""COMPUTED_VALUE"""),95.0)</f>
        <v>95</v>
      </c>
      <c r="C48">
        <f>IFERROR(__xludf.DUMMYFUNCTION("""COMPUTED_VALUE"""),60.0)</f>
        <v>60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IFERROR(__xludf.DUMMYFUNCTION("""COMPUTED_VALUE"""),20.0)</f>
        <v>20</v>
      </c>
      <c r="J48">
        <f>IFERROR(__xludf.DUMMYFUNCTION("""COMPUTED_VALUE"""),15.0)</f>
        <v>15</v>
      </c>
      <c r="K48">
        <f>IFERROR(__xludf.DUMMYFUNCTION("""COMPUTED_VALUE"""),20.0)</f>
        <v>20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2!W1"")"),"Question: 21")</f>
        <v>Question: 21</v>
      </c>
      <c r="B49" s="7" t="s">
        <v>133</v>
      </c>
    </row>
    <row r="50">
      <c r="A50" s="6"/>
    </row>
    <row r="51">
      <c r="A51" s="2" t="s">
        <v>135</v>
      </c>
      <c r="B51" t="str">
        <f>IFERROR(__xludf.DUMMYFUNCTION("{IMPORTRANGE(""1SYS5Ef48991ZUgqcGqj51eX2YgqKCzfrEZ_pUY01Lwo"",""Round 2!C1:H3""),IMPORTRANGE(""1SYS5Ef48991ZUgqcGqj51eX2YgqKCzfrEZ_pUY01Lwo"",""Round 2!M1:R3"")}"),"Canyon Crest D (JV)")</f>
        <v>Canyon Crest D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IFERROR(__xludf.DUMMYFUNCTION("""COMPUTED_VALUE"""),"La Serna B (JV)")</f>
        <v>La Serna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2!I32""))"),"A BP: 260")</f>
        <v>A BP: 260</v>
      </c>
      <c r="B52" t="str">
        <f>IFERROR(__xludf.DUMMYFUNCTION("""COMPUTED_VALUE"""),"Score: 420")</f>
        <v>Score: 420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60")</f>
        <v>Score: 60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2!S32""))"),"B BP: 40")</f>
        <v>B BP: 40</v>
      </c>
      <c r="B53" t="str">
        <f>IFERROR(__xludf.DUMMYFUNCTION("""COMPUTED_VALUE"""),"Tompson Hsu (12)")</f>
        <v>Tompson Hsu (12)</v>
      </c>
      <c r="C53" t="str">
        <f>IFERROR(__xludf.DUMMYFUNCTION("""COMPUTED_VALUE"""),"Demitrius Hong (12)")</f>
        <v>Demitrius Hong (12)</v>
      </c>
      <c r="D53" t="str">
        <f>IFERROR(__xludf.DUMMYFUNCTION("""COMPUTED_VALUE"""),"Kyle Lu (12)")</f>
        <v>Kyle Lu (12)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IFERROR(__xludf.DUMMYFUNCTION("""COMPUTED_VALUE"""),"Liz Carrasco (12)")</f>
        <v>Liz Carrasco (12)</v>
      </c>
      <c r="I53" t="str">
        <f>IFERROR(__xludf.DUMMYFUNCTION("""COMPUTED_VALUE"""),"Jerred Casillas (12)")</f>
        <v>Jerred Casillas (12)</v>
      </c>
      <c r="J53" t="str">
        <f>IFERROR(__xludf.DUMMYFUNCTION("""COMPUTED_VALUE"""),"Colin Twisselmann (10)")</f>
        <v>Colin Twisselmann (10)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2!C32:H36""),IMPORTRANGE(""1SYS5Ef48991ZUgqcGqj51eX2YgqKCzfrEZ_pUY01Lwo"",""Round 2!M32:R36"")}"),20.0)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IFERROR(__xludf.DUMMYFUNCTION("""COMPUTED_VALUE"""),2.0)</f>
        <v>2</v>
      </c>
      <c r="C55">
        <f>IFERROR(__xludf.DUMMYFUNCTION("""COMPUTED_VALUE"""),2.0)</f>
        <v>2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IFERROR(__xludf.DUMMYFUNCTION("""COMPUTED_VALUE"""),1.0)</f>
        <v>1</v>
      </c>
      <c r="C56">
        <f>IFERROR(__xludf.DUMMYFUNCTION("""COMPUTED_VALUE"""),8.0)</f>
        <v>8</v>
      </c>
      <c r="D56">
        <f>IFERROR(__xludf.DUMMYFUNCTION("""COMPUTED_VALUE"""),2.0)</f>
        <v>2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IFERROR(__xludf.DUMMYFUNCTION("""COMPUTED_VALUE"""),3.0)</f>
        <v>3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IFERROR(__xludf.DUMMYFUNCTION("""COMPUTED_VALUE"""),1.0)</f>
        <v>1</v>
      </c>
      <c r="D57">
        <f>IFERROR(__xludf.DUMMYFUNCTION("""COMPUTED_VALUE"""),1.0)</f>
        <v>1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IFERROR(__xludf.DUMMYFUNCTION("""COMPUTED_VALUE"""),2.0)</f>
        <v>2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IFERROR(__xludf.DUMMYFUNCTION("""COMPUTED_VALUE"""),40.0)</f>
        <v>40</v>
      </c>
      <c r="C58">
        <f>IFERROR(__xludf.DUMMYFUNCTION("""COMPUTED_VALUE"""),105.0)</f>
        <v>105</v>
      </c>
      <c r="D58">
        <f>IFERROR(__xludf.DUMMYFUNCTION("""COMPUTED_VALUE"""),15.0)</f>
        <v>15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IFERROR(__xludf.DUMMYFUNCTION("""COMPUTED_VALUE"""),-10.0)</f>
        <v>-10</v>
      </c>
      <c r="I58">
        <f>IFERROR(__xludf.DUMMYFUNCTION("""COMPUTED_VALUE"""),0.0)</f>
        <v>0</v>
      </c>
      <c r="J58">
        <f>IFERROR(__xludf.DUMMYFUNCTION("""COMPUTED_VALUE"""),30.0)</f>
        <v>30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2!W1"")"),"Question: 21")</f>
        <v>Question: 21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2!C1:H3""),IMPORTRANGE(""1UJlRLlhI2Hg_SAQqQOg0JGdwHhiagF7EVAtCX8UOYFc"",""Round 2!M1:R3"")}"),"Oak Valley A (JV)")</f>
        <v>Oak Valley A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IFERROR(__xludf.DUMMYFUNCTION("""COMPUTED_VALUE"""),"Scripps Ranch B (JV)")</f>
        <v>Scripps Ranch B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2!I32""))"),"A BP: 310")</f>
        <v>A BP: 310</v>
      </c>
      <c r="B62" t="str">
        <f>IFERROR(__xludf.DUMMYFUNCTION("""COMPUTED_VALUE"""),"Score: 485")</f>
        <v>Score: 485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165")</f>
        <v>Score: 165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2!S32""))"),"B BP: 100")</f>
        <v>B BP: 100</v>
      </c>
      <c r="B63" t="str">
        <f>IFERROR(__xludf.DUMMYFUNCTION("""COMPUTED_VALUE"""),"Conner Feng (8)")</f>
        <v>Conner Feng (8)</v>
      </c>
      <c r="C63" t="str">
        <f>IFERROR(__xludf.DUMMYFUNCTION("""COMPUTED_VALUE"""),"Raunak Mondal (7)")</f>
        <v>Raunak Mondal (7)</v>
      </c>
      <c r="D63" t="str">
        <f>IFERROR(__xludf.DUMMYFUNCTION("""COMPUTED_VALUE"""),"Jadon Pandian (7)")</f>
        <v>Jadon Pandian (7)</v>
      </c>
      <c r="E63" t="str">
        <f>IFERROR(__xludf.DUMMYFUNCTION("""COMPUTED_VALUE"""),"Jonas Brown (7)")</f>
        <v>Jonas Brown (7)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IFERROR(__xludf.DUMMYFUNCTION("""COMPUTED_VALUE"""),"Sam Wu (9)")</f>
        <v>Sam Wu (9)</v>
      </c>
      <c r="I63" t="str">
        <f>IFERROR(__xludf.DUMMYFUNCTION("""COMPUTED_VALUE"""),"Lawrence Lo (9)")</f>
        <v>Lawrence Lo (9)</v>
      </c>
      <c r="J63" t="str">
        <f>IFERROR(__xludf.DUMMYFUNCTION("""COMPUTED_VALUE"""),"Tristan Thai (9)")</f>
        <v>Tristan Thai (9)</v>
      </c>
      <c r="K63" t="str">
        <f>IFERROR(__xludf.DUMMYFUNCTION("""COMPUTED_VALUE"""),"Shabdika Gubba (9)")</f>
        <v>Shabdika Gubba (9)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2!C32:H36""),IMPORTRANGE(""1UJlRLlhI2Hg_SAQqQOg0JGdwHhiagF7EVAtCX8UOYFc"",""Round 2!M32:R36"")}"),20.0)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IFERROR(__xludf.DUMMYFUNCTION("""COMPUTED_VALUE"""),3.0)</f>
        <v>3</v>
      </c>
      <c r="C65">
        <f>IFERROR(__xludf.DUMMYFUNCTION("""COMPUTED_VALUE"""),2.0)</f>
        <v>2</v>
      </c>
      <c r="D65">
        <f>IFERROR(__xludf.DUMMYFUNCTION("""COMPUTED_VALUE"""),0.0)</f>
        <v>0</v>
      </c>
      <c r="E65">
        <f>IFERROR(__xludf.DUMMYFUNCTION("""COMPUTED_VALUE"""),2.0)</f>
        <v>2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IFERROR(__xludf.DUMMYFUNCTION("""COMPUTED_VALUE"""),1.0)</f>
        <v>1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IFERROR(__xludf.DUMMYFUNCTION("""COMPUTED_VALUE"""),2.0)</f>
        <v>2</v>
      </c>
      <c r="C66">
        <f>IFERROR(__xludf.DUMMYFUNCTION("""COMPUTED_VALUE"""),2.0)</f>
        <v>2</v>
      </c>
      <c r="D66">
        <f>IFERROR(__xludf.DUMMYFUNCTION("""COMPUTED_VALUE"""),1.0)</f>
        <v>1</v>
      </c>
      <c r="E66">
        <f>IFERROR(__xludf.DUMMYFUNCTION("""COMPUTED_VALUE"""),2.0)</f>
        <v>2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IFERROR(__xludf.DUMMYFUNCTION("""COMPUTED_VALUE"""),2.0)</f>
        <v>2</v>
      </c>
      <c r="I66">
        <f>IFERROR(__xludf.DUMMYFUNCTION("""COMPUTED_VALUE"""),1.0)</f>
        <v>1</v>
      </c>
      <c r="J66">
        <f>IFERROR(__xludf.DUMMYFUNCTION("""COMPUTED_VALUE"""),1.0)</f>
        <v>1</v>
      </c>
      <c r="K66">
        <f>IFERROR(__xludf.DUMMYFUNCTION("""COMPUTED_VALUE"""),1.0)</f>
        <v>1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IFERROR(__xludf.DUMMYFUNCTION("""COMPUTED_VALUE"""),65.0)</f>
        <v>65</v>
      </c>
      <c r="C68">
        <f>IFERROR(__xludf.DUMMYFUNCTION("""COMPUTED_VALUE"""),50.0)</f>
        <v>50</v>
      </c>
      <c r="D68">
        <f>IFERROR(__xludf.DUMMYFUNCTION("""COMPUTED_VALUE"""),10.0)</f>
        <v>10</v>
      </c>
      <c r="E68">
        <f>IFERROR(__xludf.DUMMYFUNCTION("""COMPUTED_VALUE"""),50.0)</f>
        <v>50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IFERROR(__xludf.DUMMYFUNCTION("""COMPUTED_VALUE"""),20.0)</f>
        <v>20</v>
      </c>
      <c r="I68">
        <f>IFERROR(__xludf.DUMMYFUNCTION("""COMPUTED_VALUE"""),10.0)</f>
        <v>10</v>
      </c>
      <c r="J68">
        <f>IFERROR(__xludf.DUMMYFUNCTION("""COMPUTED_VALUE"""),25.0)</f>
        <v>25</v>
      </c>
      <c r="K68">
        <f>IFERROR(__xludf.DUMMYFUNCTION("""COMPUTED_VALUE"""),10.0)</f>
        <v>10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2!W1"")"),"Question: 21")</f>
        <v>Question: 21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2!C1:H3""),IMPORTRANGE(""1jA96n0qbauznSt6-hkr51AslpxJqfrWgkafVtMV8_xU"",""Round 2!M1:R3"")}"),"Troy B (JV)")</f>
        <v>Troy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IFERROR(__xludf.DUMMYFUNCTION("""COMPUTED_VALUE"""),"Rancho Bernardo (JV)")</f>
        <v>Rancho Bernardo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2!I32""))"),"A BP: 60")</f>
        <v>A BP: 60</v>
      </c>
      <c r="B72" t="str">
        <f>IFERROR(__xludf.DUMMYFUNCTION("""COMPUTED_VALUE"""),"Score: 70")</f>
        <v>Score: 70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435")</f>
        <v>Score: 435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2!S32""))"),"B BP: 270")</f>
        <v>B BP: 270</v>
      </c>
      <c r="B73" t="str">
        <f>IFERROR(__xludf.DUMMYFUNCTION("""COMPUTED_VALUE"""),"Ryan Salehi (11)")</f>
        <v>Ryan Salehi (11)</v>
      </c>
      <c r="C73" t="str">
        <f>IFERROR(__xludf.DUMMYFUNCTION("""COMPUTED_VALUE"""),"Juan Manalo (11)")</f>
        <v>Juan Manalo (11)</v>
      </c>
      <c r="D73" t="str">
        <f>IFERROR(__xludf.DUMMYFUNCTION("""COMPUTED_VALUE"""),"Luke Waldo (11)")</f>
        <v>Luke Waldo (11)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IFERROR(__xludf.DUMMYFUNCTION("""COMPUTED_VALUE"""),"YungYi Sun (12)")</f>
        <v>YungYi Sun (12)</v>
      </c>
      <c r="I73" t="str">
        <f>IFERROR(__xludf.DUMMYFUNCTION("""COMPUTED_VALUE"""),"Katheryn Garrett (11)")</f>
        <v>Katheryn Garrett (11)</v>
      </c>
      <c r="J73" t="str">
        <f>IFERROR(__xludf.DUMMYFUNCTION("""COMPUTED_VALUE"""),"Patrick Joyce (11)")</f>
        <v>Patrick Joyce (11)</v>
      </c>
      <c r="K73" t="str">
        <f>IFERROR(__xludf.DUMMYFUNCTION("""COMPUTED_VALUE"""),"Sandy Tran (12)")</f>
        <v>Sandy Tran (12)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2!C32:H36""),IMPORTRANGE(""1jA96n0qbauznSt6-hkr51AslpxJqfrWgkafVtMV8_xU"",""Round 2!M32:R36"")}"),20.0)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IFERROR(__xludf.DUMMYFUNCTION("""COMPUTED_VALUE"""),1.0)</f>
        <v>1</v>
      </c>
      <c r="J75">
        <f>IFERROR(__xludf.DUMMYFUNCTION("""COMPUTED_VALUE"""),0.0)</f>
        <v>0</v>
      </c>
      <c r="K75">
        <f>IFERROR(__xludf.DUMMYFUNCTION("""COMPUTED_VALUE"""),4.0)</f>
        <v>4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IFERROR(__xludf.DUMMYFUNCTION("""COMPUTED_VALUE"""),1.0)</f>
        <v>1</v>
      </c>
      <c r="C76">
        <f>IFERROR(__xludf.DUMMYFUNCTION("""COMPUTED_VALUE"""),2.0)</f>
        <v>2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IFERROR(__xludf.DUMMYFUNCTION("""COMPUTED_VALUE"""),2.0)</f>
        <v>2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IFERROR(__xludf.DUMMYFUNCTION("""COMPUTED_VALUE"""),7.0)</f>
        <v>7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IFERROR(__xludf.DUMMYFUNCTION("""COMPUTED_VALUE"""),1.0)</f>
        <v>1</v>
      </c>
      <c r="C77">
        <f>IFERROR(__xludf.DUMMYFUNCTION("""COMPUTED_VALUE"""),2.0)</f>
        <v>2</v>
      </c>
      <c r="D77">
        <f>IFERROR(__xludf.DUMMYFUNCTION("""COMPUTED_VALUE"""),1.0)</f>
        <v>1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IFERROR(__xludf.DUMMYFUNCTION("""COMPUTED_VALUE"""),5.0)</f>
        <v>5</v>
      </c>
      <c r="C78">
        <f>IFERROR(__xludf.DUMMYFUNCTION("""COMPUTED_VALUE"""),10.0)</f>
        <v>10</v>
      </c>
      <c r="D78">
        <f>IFERROR(__xludf.DUMMYFUNCTION("""COMPUTED_VALUE"""),-5.0)</f>
        <v>-5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IFERROR(__xludf.DUMMYFUNCTION("""COMPUTED_VALUE"""),20.0)</f>
        <v>20</v>
      </c>
      <c r="I78">
        <f>IFERROR(__xludf.DUMMYFUNCTION("""COMPUTED_VALUE"""),15.0)</f>
        <v>15</v>
      </c>
      <c r="J78">
        <f>IFERROR(__xludf.DUMMYFUNCTION("""COMPUTED_VALUE"""),0.0)</f>
        <v>0</v>
      </c>
      <c r="K78">
        <f>IFERROR(__xludf.DUMMYFUNCTION("""COMPUTED_VALUE"""),130.0)</f>
        <v>130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2!W1"")"),"Question: 21")</f>
        <v>Question: 21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2!C1:H3""),IMPORTRANGE(""1xw1EOjVhrK1PNJfOYiUsuJNrlpV53SmfJxYsFFolQ3s"",""Round 2!M1:R3"")}"),"Westview C (JV)")</f>
        <v>Westview C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IFERROR(__xludf.DUMMYFUNCTION("""COMPUTED_VALUE"""),"Valley Center (JV)")</f>
        <v>Valley Center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2!I32""))"),"A BP: 240")</f>
        <v>A BP: 240</v>
      </c>
      <c r="B82" t="str">
        <f>IFERROR(__xludf.DUMMYFUNCTION("""COMPUTED_VALUE"""),"Score: 375")</f>
        <v>Score: 375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160")</f>
        <v>Score: 160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2!S32""))"),"B BP: 100")</f>
        <v>B BP: 100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IFERROR(__xludf.DUMMYFUNCTION("""COMPUTED_VALUE"""),"Rohan Kumar (11)")</f>
        <v>Rohan Kumar (11)</v>
      </c>
      <c r="E83" t="str">
        <f>IFERROR(__xludf.DUMMYFUNCTION("""COMPUTED_VALUE"""),"Aiken Wang (9)")</f>
        <v>Aiken Wang (9)</v>
      </c>
      <c r="F83" t="str">
        <f>IFERROR(__xludf.DUMMYFUNCTION("""COMPUTED_VALUE"""),"Radhika Sreelal (10)")</f>
        <v>Radhika Sreelal (10)</v>
      </c>
      <c r="G83" t="str">
        <f>IFERROR(__xludf.DUMMYFUNCTION("""COMPUTED_VALUE"""),"Player 6")</f>
        <v>Player 6</v>
      </c>
      <c r="H83" t="str">
        <f>IFERROR(__xludf.DUMMYFUNCTION("""COMPUTED_VALUE"""),"Ava Downey (12)")</f>
        <v>Ava Downey (12)</v>
      </c>
      <c r="I83" t="str">
        <f>IFERROR(__xludf.DUMMYFUNCTION("""COMPUTED_VALUE"""),"Mehreen Sing (12)")</f>
        <v>Mehreen Sing (12)</v>
      </c>
      <c r="J83" t="str">
        <f>IFERROR(__xludf.DUMMYFUNCTION("""COMPUTED_VALUE"""),"Aaron Martinez (11)")</f>
        <v>Aaron Martinez (11)</v>
      </c>
      <c r="K83" t="str">
        <f>IFERROR(__xludf.DUMMYFUNCTION("""COMPUTED_VALUE"""),"Leon Thigh (11)")</f>
        <v>Leon Thigh (11)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2!C32:H36""),IMPORTRANGE(""1xw1EOjVhrK1PNJfOYiUsuJNrlpV53SmfJxYsFFolQ3s"",""Round 2!M32:R36"")}"),20.0)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IFERROR(__xludf.DUMMYFUNCTION("""COMPUTED_VALUE"""),3.0)</f>
        <v>3</v>
      </c>
      <c r="F85">
        <f>IFERROR(__xludf.DUMMYFUNCTION("""COMPUTED_VALUE"""),1.0)</f>
        <v>1</v>
      </c>
      <c r="G85">
        <f>IFERROR(__xludf.DUMMYFUNCTION("""COMPUTED_VALUE"""),0.0)</f>
        <v>0</v>
      </c>
      <c r="H85">
        <f>IFERROR(__xludf.DUMMYFUNCTION("""COMPUTED_VALUE"""),1.0)</f>
        <v>1</v>
      </c>
      <c r="I85">
        <f>IFERROR(__xludf.DUMMYFUNCTION("""COMPUTED_VALUE"""),0.0)</f>
        <v>0</v>
      </c>
      <c r="J85">
        <f>IFERROR(__xludf.DUMMYFUNCTION("""COMPUTED_VALUE"""),1.0)</f>
        <v>1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IFERROR(__xludf.DUMMYFUNCTION("""COMPUTED_VALUE"""),6.0)</f>
        <v>6</v>
      </c>
      <c r="E86">
        <f>IFERROR(__xludf.DUMMYFUNCTION("""COMPUTED_VALUE"""),2.0)</f>
        <v>2</v>
      </c>
      <c r="F86">
        <f>IFERROR(__xludf.DUMMYFUNCTION("""COMPUTED_VALUE"""),1.0)</f>
        <v>1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IFERROR(__xludf.DUMMYFUNCTION("""COMPUTED_VALUE"""),2.0)</f>
        <v>2</v>
      </c>
      <c r="K86">
        <f>IFERROR(__xludf.DUMMYFUNCTION("""COMPUTED_VALUE"""),1.0)</f>
        <v>1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IFERROR(__xludf.DUMMYFUNCTION("""COMPUTED_VALUE"""),2.0)</f>
        <v>2</v>
      </c>
      <c r="E87">
        <f>IFERROR(__xludf.DUMMYFUNCTION("""COMPUTED_VALUE"""),0.0)</f>
        <v>0</v>
      </c>
      <c r="F87">
        <f>IFERROR(__xludf.DUMMYFUNCTION("""COMPUTED_VALUE"""),1.0)</f>
        <v>1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IFERROR(__xludf.DUMMYFUNCTION("""COMPUTED_VALUE"""),50.0)</f>
        <v>50</v>
      </c>
      <c r="E88">
        <f>IFERROR(__xludf.DUMMYFUNCTION("""COMPUTED_VALUE"""),65.0)</f>
        <v>65</v>
      </c>
      <c r="F88">
        <f>IFERROR(__xludf.DUMMYFUNCTION("""COMPUTED_VALUE"""),20.0)</f>
        <v>20</v>
      </c>
      <c r="G88">
        <f>IFERROR(__xludf.DUMMYFUNCTION("""COMPUTED_VALUE"""),0.0)</f>
        <v>0</v>
      </c>
      <c r="H88">
        <f>IFERROR(__xludf.DUMMYFUNCTION("""COMPUTED_VALUE"""),15.0)</f>
        <v>15</v>
      </c>
      <c r="I88">
        <f>IFERROR(__xludf.DUMMYFUNCTION("""COMPUTED_VALUE"""),0.0)</f>
        <v>0</v>
      </c>
      <c r="J88">
        <f>IFERROR(__xludf.DUMMYFUNCTION("""COMPUTED_VALUE"""),35.0)</f>
        <v>35</v>
      </c>
      <c r="K88">
        <f>IFERROR(__xludf.DUMMYFUNCTION("""COMPUTED_VALUE"""),10.0)</f>
        <v>10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2!W1"")"),"Question: 21")</f>
        <v>Question: 21</v>
      </c>
      <c r="B89" s="7" t="s">
        <v>146</v>
      </c>
    </row>
    <row r="90">
      <c r="A90" s="6"/>
    </row>
    <row r="91">
      <c r="A91" s="2" t="s">
        <v>1</v>
      </c>
      <c r="B91" t="str">
        <f>IFERROR(__xludf.DUMMYFUNCTION("{IMPORTRANGE(""15wOrdFuJAb1a4MoX5CG4apiBD2jUJ7mBu58Uk-8Mo7s"",""Round 2!C1:H3""),IMPORTRANGE(""15wOrdFuJAb1a4MoX5CG4apiBD2jUJ7mBu58Uk-8Mo7s"",""Round 2!M1:R3"")}"),"Team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2!I32""))"),"A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2!S32""))"),"B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2!C32:H36""),IMPORTRANGE(""15wOrdFuJAb1a4MoX5CG4apiBD2jUJ7mBu58Uk-8Mo7s"",""Round 2!M32:R36"")}"),20.0)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2!W1"")"),"Question: 1")</f>
        <v>Question: 1</v>
      </c>
      <c r="B99" s="7" t="s">
        <v>148</v>
      </c>
    </row>
    <row r="100">
      <c r="A100" s="6"/>
    </row>
    <row r="101">
      <c r="A101" s="2" t="s">
        <v>1</v>
      </c>
      <c r="B101" t="str">
        <f>IFERROR(__xludf.DUMMYFUNCTION("{IMPORTRANGE(""1GfJqS1rsy-VutTmPVnm9E2VdinIG-GnQO5b3bhaiX1s"",""Round 2!C1:H3""),IMPORTRANGE(""1GfJqS1rsy-VutTmPVnm9E2VdinIG-GnQO5b3bhaiX1s"",""Round 2!M1:R3"")}"),"Team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2!I32""))"),"A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2!S32""))"),"B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2!C32:H36""),IMPORTRANGE(""1GfJqS1rsy-VutTmPVnm9E2VdinIG-GnQO5b3bhaiX1s"",""Round 2!M32:R36"")}"),20.0)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2!W1"")"),"Question: 1")</f>
        <v>Question: 1</v>
      </c>
      <c r="B109" s="7" t="s">
        <v>150</v>
      </c>
    </row>
    <row r="110">
      <c r="A110" s="6"/>
    </row>
    <row r="111">
      <c r="A111" s="2" t="s">
        <v>151</v>
      </c>
      <c r="B111" t="str">
        <f>IFERROR(__xludf.DUMMYFUNCTION("{IMPORTRANGE(""17CLUEFflDBSa8dyH5vsXfHme4RV8IhzD-mxe9_c9I5k"",""Round 2!C1:H3""),IMPORTRANGE(""17CLUEFflDBSa8dyH5vsXfHme4RV8IhzD-mxe9_c9I5k"",""Round 2!M1:R3"")}"),"Canyon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IFERROR(__xludf.DUMMYFUNCTION("""COMPUTED_VALUE"""),"Canyon Crest C (V)")</f>
        <v>Canyon Crest C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2!I32""))"),"A BP: 280")</f>
        <v>A BP: 280</v>
      </c>
      <c r="B112" t="str">
        <f>IFERROR(__xludf.DUMMYFUNCTION("""COMPUTED_VALUE"""),"Score: 460")</f>
        <v>Score: 460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35")</f>
        <v>Score: 35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2!S32""))"),"B BP: 10")</f>
        <v>B BP: 10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IFERROR(__xludf.DUMMYFUNCTION("""COMPUTED_VALUE"""),"Paul Mola (11)")</f>
        <v>Paul Mola (11)</v>
      </c>
      <c r="I113" t="str">
        <f>IFERROR(__xludf.DUMMYFUNCTION("""COMPUTED_VALUE"""),"James Wright (11)")</f>
        <v>James Wright (11)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2!C32:H36""),IMPORTRANGE(""17CLUEFflDBSa8dyH5vsXfHme4RV8IhzD-mxe9_c9I5k"",""Round 2!M32:R36"")}"),20.0)</f>
        <v>20</v>
      </c>
      <c r="C114">
        <f>IFERROR(__xludf.DUMMYFUNCTION("""COMPUTED_VALUE"""),16.0)</f>
        <v>16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IFERROR(__xludf.DUMMYFUNCTION("""COMPUTED_VALUE"""),3.0)</f>
        <v>3</v>
      </c>
      <c r="C115">
        <f>IFERROR(__xludf.DUMMYFUNCTION("""COMPUTED_VALUE"""),1.0)</f>
        <v>1</v>
      </c>
      <c r="D115">
        <f>IFERROR(__xludf.DUMMYFUNCTION("""COMPUTED_VALUE"""),2.0)</f>
        <v>2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IFERROR(__xludf.DUMMYFUNCTION("""COMPUTED_VALUE"""),6.0)</f>
        <v>6</v>
      </c>
      <c r="C116">
        <f>IFERROR(__xludf.DUMMYFUNCTION("""COMPUTED_VALUE"""),2.0)</f>
        <v>2</v>
      </c>
      <c r="D116">
        <f>IFERROR(__xludf.DUMMYFUNCTION("""COMPUTED_VALUE"""),2.0)</f>
        <v>2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IFERROR(__xludf.DUMMYFUNCTION("""COMPUTED_VALUE"""),4.0)</f>
        <v>4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IFERROR(__xludf.DUMMYFUNCTION("""COMPUTED_VALUE"""),1.0)</f>
        <v>1</v>
      </c>
      <c r="C117">
        <f>IFERROR(__xludf.DUMMYFUNCTION("""COMPUTED_VALUE"""),1.0)</f>
        <v>1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IFERROR(__xludf.DUMMYFUNCTION("""COMPUTED_VALUE"""),3.0)</f>
        <v>3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IFERROR(__xludf.DUMMYFUNCTION("""COMPUTED_VALUE"""),100.0)</f>
        <v>100</v>
      </c>
      <c r="C118">
        <f>IFERROR(__xludf.DUMMYFUNCTION("""COMPUTED_VALUE"""),30.0)</f>
        <v>30</v>
      </c>
      <c r="D118">
        <f>IFERROR(__xludf.DUMMYFUNCTION("""COMPUTED_VALUE"""),50.0)</f>
        <v>50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IFERROR(__xludf.DUMMYFUNCTION("""COMPUTED_VALUE"""),25.0)</f>
        <v>25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2!W1"")"),"Question: 21")</f>
        <v>Question: 21</v>
      </c>
      <c r="B119" s="7" t="s">
        <v>152</v>
      </c>
    </row>
    <row r="120">
      <c r="A120" s="6"/>
    </row>
    <row r="121">
      <c r="A121" s="2" t="s">
        <v>153</v>
      </c>
      <c r="B121" t="str">
        <f>IFERROR(__xludf.DUMMYFUNCTION("{IMPORTRANGE(""1Knt8XDGFY_MP2OzeadT1pDENTLOdk9Ab_Rd9IdW0kzc"",""Round 2!C1:H3""),IMPORTRANGE(""1Knt8XDGFY_MP2OzeadT1pDENTLOdk9Ab_Rd9IdW0kzc"",""Round 2!M1:R3"")}"),"Arcadia (V)")</f>
        <v>Arcadia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IFERROR(__xludf.DUMMYFUNCTION("""COMPUTED_VALUE"""),"Scripps Ranch A (V)")</f>
        <v>Scripps Ranch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2!I32""))"),"A BP: 390")</f>
        <v>A BP: 390</v>
      </c>
      <c r="B122" t="str">
        <f>IFERROR(__xludf.DUMMYFUNCTION("""COMPUTED_VALUE"""),"Score: 605")</f>
        <v>Score: 605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30")</f>
        <v>Score: 30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2!S32""))"),"B BP: 20")</f>
        <v>B BP: 20</v>
      </c>
      <c r="B123" t="str">
        <f>IFERROR(__xludf.DUMMYFUNCTION("""COMPUTED_VALUE"""),"Amogh Kulkarni (10)")</f>
        <v>Amogh Kulkarni (10)</v>
      </c>
      <c r="C123" t="str">
        <f>IFERROR(__xludf.DUMMYFUNCTION("""COMPUTED_VALUE"""),"Spencer Cheng (12)")</f>
        <v>Spencer Cheng (12)</v>
      </c>
      <c r="D123" t="str">
        <f>IFERROR(__xludf.DUMMYFUNCTION("""COMPUTED_VALUE"""),"Ryan Sun (10)")</f>
        <v>Ryan Sun (10)</v>
      </c>
      <c r="E123" t="str">
        <f>IFERROR(__xludf.DUMMYFUNCTION("""COMPUTED_VALUE"""),"Sanjith Menon (10)")</f>
        <v>Sanjith Menon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IFERROR(__xludf.DUMMYFUNCTION("""COMPUTED_VALUE"""),"Jack Hoover (12)")</f>
        <v>Jack Hoover (12)</v>
      </c>
      <c r="I123" t="str">
        <f>IFERROR(__xludf.DUMMYFUNCTION("""COMPUTED_VALUE"""),"Jeremy Ngo (12)")</f>
        <v>Jeremy Ngo (12)</v>
      </c>
      <c r="J123" t="str">
        <f>IFERROR(__xludf.DUMMYFUNCTION("""COMPUTED_VALUE"""),"Albert Gu (12)")</f>
        <v>Albert Gu (12)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2!C32:H36""),IMPORTRANGE(""1Knt8XDGFY_MP2OzeadT1pDENTLOdk9Ab_Rd9IdW0kzc"",""Round 2!M32:R36"")}"),20.0)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IFERROR(__xludf.DUMMYFUNCTION("""COMPUTED_VALUE"""),5.0)</f>
        <v>5</v>
      </c>
      <c r="C125">
        <f>IFERROR(__xludf.DUMMYFUNCTION("""COMPUTED_VALUE"""),2.0)</f>
        <v>2</v>
      </c>
      <c r="D125">
        <f>IFERROR(__xludf.DUMMYFUNCTION("""COMPUTED_VALUE"""),1.0)</f>
        <v>1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IFERROR(__xludf.DUMMYFUNCTION("""COMPUTED_VALUE"""),8.0)</f>
        <v>8</v>
      </c>
      <c r="C126">
        <f>IFERROR(__xludf.DUMMYFUNCTION("""COMPUTED_VALUE"""),1.0)</f>
        <v>1</v>
      </c>
      <c r="D126">
        <f>IFERROR(__xludf.DUMMYFUNCTION("""COMPUTED_VALUE"""),1.0)</f>
        <v>1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IFERROR(__xludf.DUMMYFUNCTION("""COMPUTED_VALUE"""),1.0)</f>
        <v>1</v>
      </c>
      <c r="J126">
        <f>IFERROR(__xludf.DUMMYFUNCTION("""COMPUTED_VALUE"""),1.0)</f>
        <v>1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IFERROR(__xludf.DUMMYFUNCTION("""COMPUTED_VALUE"""),0.0)</f>
        <v>0</v>
      </c>
      <c r="C127">
        <f>IFERROR(__xludf.DUMMYFUNCTION("""COMPUTED_VALUE"""),1.0)</f>
        <v>1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IFERROR(__xludf.DUMMYFUNCTION("""COMPUTED_VALUE"""),2.0)</f>
        <v>2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IFERROR(__xludf.DUMMYFUNCTION("""COMPUTED_VALUE"""),155.0)</f>
        <v>155</v>
      </c>
      <c r="C128">
        <f>IFERROR(__xludf.DUMMYFUNCTION("""COMPUTED_VALUE"""),35.0)</f>
        <v>35</v>
      </c>
      <c r="D128">
        <f>IFERROR(__xludf.DUMMYFUNCTION("""COMPUTED_VALUE"""),25.0)</f>
        <v>25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IFERROR(__xludf.DUMMYFUNCTION("""COMPUTED_VALUE"""),0.0)</f>
        <v>0</v>
      </c>
      <c r="I128">
        <f>IFERROR(__xludf.DUMMYFUNCTION("""COMPUTED_VALUE"""),10.0)</f>
        <v>10</v>
      </c>
      <c r="J128">
        <f>IFERROR(__xludf.DUMMYFUNCTION("""COMPUTED_VALUE"""),0.0)</f>
        <v>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2!W1"")"),"Question: 21")</f>
        <v>Question: 21</v>
      </c>
      <c r="B129" s="7" t="s">
        <v>154</v>
      </c>
    </row>
    <row r="130">
      <c r="A130" s="6"/>
    </row>
    <row r="131">
      <c r="A131" s="2" t="s">
        <v>155</v>
      </c>
      <c r="B131" t="str">
        <f>IFERROR(__xludf.DUMMYFUNCTION("{IMPORTRANGE(""16i4gsLDaJasgGgtJt27HweoboYNaal3qpX3MtxIR2f0"",""Round 2!C1:H3""),IMPORTRANGE(""16i4gsLDaJasgGgtJt27HweoboYNaal3qpX3MtxIR2f0"",""Round 2!M1:R3"")}"),"Westview A (V)")</f>
        <v>Westview A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IFERROR(__xludf.DUMMYFUNCTION("""COMPUTED_VALUE"""),"La Jolla (V)")</f>
        <v>La Jolla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2!I32""))"),"A BP: 420")</f>
        <v>A BP: 420</v>
      </c>
      <c r="B132" t="str">
        <f>IFERROR(__xludf.DUMMYFUNCTION("""COMPUTED_VALUE"""),"Score: 640")</f>
        <v>Score: 640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55")</f>
        <v>Score: 55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2!S32""))"),"B BP: 40")</f>
        <v>B BP: 40</v>
      </c>
      <c r="B133" t="str">
        <f>IFERROR(__xludf.DUMMYFUNCTION("""COMPUTED_VALUE"""),"Shahar Schwartz (12)")</f>
        <v>Shahar Schwartz (12)</v>
      </c>
      <c r="C133" t="str">
        <f>IFERROR(__xludf.DUMMYFUNCTION("""COMPUTED_VALUE"""),"Junu Song (12)")</f>
        <v>Junu Song (12)</v>
      </c>
      <c r="D133" t="str">
        <f>IFERROR(__xludf.DUMMYFUNCTION("""COMPUTED_VALUE"""),"Daniel Jung (12)")</f>
        <v>Daniel Jung (12)</v>
      </c>
      <c r="E133" t="str">
        <f>IFERROR(__xludf.DUMMYFUNCTION("""COMPUTED_VALUE"""),"Gary Lin (11)")</f>
        <v>Gary Lin (11)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IFERROR(__xludf.DUMMYFUNCTION("""COMPUTED_VALUE"""),"Caleb Cruz (11)")</f>
        <v>Caleb Cruz (11)</v>
      </c>
      <c r="I133" t="str">
        <f>IFERROR(__xludf.DUMMYFUNCTION("""COMPUTED_VALUE"""),"Richard Chao (11)")</f>
        <v>Richard Chao (11)</v>
      </c>
      <c r="J133" t="str">
        <f>IFERROR(__xludf.DUMMYFUNCTION("""COMPUTED_VALUE"""),"Kevin Park (11)")</f>
        <v>Kevin Park (11)</v>
      </c>
      <c r="K133" t="str">
        <f>IFERROR(__xludf.DUMMYFUNCTION("""COMPUTED_VALUE"""),"David Smith (11)")</f>
        <v>David Smith (11)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2!C32:H36""),IMPORTRANGE(""16i4gsLDaJasgGgtJt27HweoboYNaal3qpX3MtxIR2f0"",""Round 2!M32:R36"")}"),20.0)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IFERROR(__xludf.DUMMYFUNCTION("""COMPUTED_VALUE"""),5.0)</f>
        <v>5</v>
      </c>
      <c r="C135">
        <f>IFERROR(__xludf.DUMMYFUNCTION("""COMPUTED_VALUE"""),1.0)</f>
        <v>1</v>
      </c>
      <c r="D135">
        <f>IFERROR(__xludf.DUMMYFUNCTION("""COMPUTED_VALUE"""),1.0)</f>
        <v>1</v>
      </c>
      <c r="E135">
        <f>IFERROR(__xludf.DUMMYFUNCTION("""COMPUTED_VALUE"""),2.0)</f>
        <v>2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IFERROR(__xludf.DUMMYFUNCTION("""COMPUTED_VALUE"""),1.0)</f>
        <v>1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IFERROR(__xludf.DUMMYFUNCTION("""COMPUTED_VALUE"""),5.0)</f>
        <v>5</v>
      </c>
      <c r="C136">
        <f>IFERROR(__xludf.DUMMYFUNCTION("""COMPUTED_VALUE"""),3.0)</f>
        <v>3</v>
      </c>
      <c r="D136">
        <f>IFERROR(__xludf.DUMMYFUNCTION("""COMPUTED_VALUE"""),0.0)</f>
        <v>0</v>
      </c>
      <c r="E136">
        <f>IFERROR(__xludf.DUMMYFUNCTION("""COMPUTED_VALUE"""),1.0)</f>
        <v>1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IFERROR(__xludf.DUMMYFUNCTION("""COMPUTED_VALUE"""),1.0)</f>
        <v>1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IFERROR(__xludf.DUMMYFUNCTION("""COMPUTED_VALUE"""),1.0)</f>
        <v>1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IFERROR(__xludf.DUMMYFUNCTION("""COMPUTED_VALUE"""),1.0)</f>
        <v>1</v>
      </c>
      <c r="J137">
        <f>IFERROR(__xludf.DUMMYFUNCTION("""COMPUTED_VALUE"""),1.0)</f>
        <v>1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IFERROR(__xludf.DUMMYFUNCTION("""COMPUTED_VALUE"""),120.0)</f>
        <v>120</v>
      </c>
      <c r="C138">
        <f>IFERROR(__xludf.DUMMYFUNCTION("""COMPUTED_VALUE"""),45.0)</f>
        <v>45</v>
      </c>
      <c r="D138">
        <f>IFERROR(__xludf.DUMMYFUNCTION("""COMPUTED_VALUE"""),15.0)</f>
        <v>15</v>
      </c>
      <c r="E138">
        <f>IFERROR(__xludf.DUMMYFUNCTION("""COMPUTED_VALUE"""),40.0)</f>
        <v>40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IFERROR(__xludf.DUMMYFUNCTION("""COMPUTED_VALUE"""),10.0)</f>
        <v>10</v>
      </c>
      <c r="J138">
        <f>IFERROR(__xludf.DUMMYFUNCTION("""COMPUTED_VALUE"""),5.0)</f>
        <v>5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2!W1"")"),"Question: 21")</f>
        <v>Question: 21</v>
      </c>
      <c r="B139" s="7" t="s">
        <v>156</v>
      </c>
    </row>
    <row r="140">
      <c r="A140" s="6"/>
    </row>
    <row r="141">
      <c r="A141" s="2" t="s">
        <v>157</v>
      </c>
      <c r="B141" t="str">
        <f>IFERROR(__xludf.DUMMYFUNCTION("{IMPORTRANGE(""1KRyI2c190uhOTF270Hsdzh1rgG565QIaE9TymteaGNY"",""Round 2!C1:H3""),IMPORTRANGE(""1KRyI2c190uhOTF270Hsdzh1rgG565QIaE9TymteaGNY"",""Round 2!M1:R3"")}"),"Canyon Crest A (V)")</f>
        <v>Canyon Crest 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IFERROR(__xludf.DUMMYFUNCTION("""COMPUTED_VALUE"""),"Santa Monica B (V)")</f>
        <v>Santa Monica B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2!I32""))"),"A BP: 380")</f>
        <v>A BP: 380</v>
      </c>
      <c r="B142" t="str">
        <f>IFERROR(__xludf.DUMMYFUNCTION("""COMPUTED_VALUE"""),"Score: 600")</f>
        <v>Score: 600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-10")</f>
        <v>Score: -10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2!S32""))"),"B BP: 0")</f>
        <v>B BP: 0</v>
      </c>
      <c r="B143" t="str">
        <f>IFERROR(__xludf.DUMMYFUNCTION("""COMPUTED_VALUE"""),"Raymond Song (12)")</f>
        <v>Raymond Song (12)</v>
      </c>
      <c r="C143" t="str">
        <f>IFERROR(__xludf.DUMMYFUNCTION("""COMPUTED_VALUE"""),"Wesley Zhang (12)")</f>
        <v>Wesley Zhang (12)</v>
      </c>
      <c r="D143" t="str">
        <f>IFERROR(__xludf.DUMMYFUNCTION("""COMPUTED_VALUE"""),"Leo Gu (10)")</f>
        <v>Leo Gu (10)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IFERROR(__xludf.DUMMYFUNCTION("""COMPUTED_VALUE"""),"Kethan Raman (10)")</f>
        <v>Kethan Raman (10)</v>
      </c>
      <c r="I143" t="str">
        <f>IFERROR(__xludf.DUMMYFUNCTION("""COMPUTED_VALUE"""),"Ethan Hopkins (10)")</f>
        <v>Ethan Hopkins (10)</v>
      </c>
      <c r="J143" t="str">
        <f>IFERROR(__xludf.DUMMYFUNCTION("""COMPUTED_VALUE"""),"Jacob Cohen (10)")</f>
        <v>Jacob Cohen (10)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2!C32:H36""),IMPORTRANGE(""1KRyI2c190uhOTF270Hsdzh1rgG565QIaE9TymteaGNY"",""Round 2!M32:R36"")}"),20.0)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IFERROR(__xludf.DUMMYFUNCTION("""COMPUTED_VALUE"""),3.0)</f>
        <v>3</v>
      </c>
      <c r="C145">
        <f>IFERROR(__xludf.DUMMYFUNCTION("""COMPUTED_VALUE"""),6.0)</f>
        <v>6</v>
      </c>
      <c r="D145">
        <f>IFERROR(__xludf.DUMMYFUNCTION("""COMPUTED_VALUE"""),1.0)</f>
        <v>1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IFERROR(__xludf.DUMMYFUNCTION("""COMPUTED_VALUE"""),4.0)</f>
        <v>4</v>
      </c>
      <c r="C146">
        <f>IFERROR(__xludf.DUMMYFUNCTION("""COMPUTED_VALUE"""),3.0)</f>
        <v>3</v>
      </c>
      <c r="D146">
        <f>IFERROR(__xludf.DUMMYFUNCTION("""COMPUTED_VALUE"""),1.0)</f>
        <v>1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IFERROR(__xludf.DUMMYFUNCTION("""COMPUTED_VALUE"""),1.0)</f>
        <v>1</v>
      </c>
      <c r="C147">
        <f>IFERROR(__xludf.DUMMYFUNCTION("""COMPUTED_VALUE"""),1.0)</f>
        <v>1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IFERROR(__xludf.DUMMYFUNCTION("""COMPUTED_VALUE"""),1.0)</f>
        <v>1</v>
      </c>
      <c r="I147">
        <f>IFERROR(__xludf.DUMMYFUNCTION("""COMPUTED_VALUE"""),0.0)</f>
        <v>0</v>
      </c>
      <c r="J147">
        <f>IFERROR(__xludf.DUMMYFUNCTION("""COMPUTED_VALUE"""),1.0)</f>
        <v>1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IFERROR(__xludf.DUMMYFUNCTION("""COMPUTED_VALUE"""),80.0)</f>
        <v>80</v>
      </c>
      <c r="C148">
        <f>IFERROR(__xludf.DUMMYFUNCTION("""COMPUTED_VALUE"""),115.0)</f>
        <v>115</v>
      </c>
      <c r="D148">
        <f>IFERROR(__xludf.DUMMYFUNCTION("""COMPUTED_VALUE"""),25.0)</f>
        <v>25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IFERROR(__xludf.DUMMYFUNCTION("""COMPUTED_VALUE"""),-5.0)</f>
        <v>-5</v>
      </c>
      <c r="I148">
        <f>IFERROR(__xludf.DUMMYFUNCTION("""COMPUTED_VALUE"""),0.0)</f>
        <v>0</v>
      </c>
      <c r="J148">
        <f>IFERROR(__xludf.DUMMYFUNCTION("""COMPUTED_VALUE"""),-5.0)</f>
        <v>-5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2!W1"")"),"Question: 21")</f>
        <v>Question: 21</v>
      </c>
      <c r="B149" s="7" t="s">
        <v>158</v>
      </c>
    </row>
    <row r="150">
      <c r="A150" s="6"/>
    </row>
    <row r="151">
      <c r="A151" s="2" t="s">
        <v>159</v>
      </c>
      <c r="B151" t="str">
        <f>IFERROR(__xludf.DUMMYFUNCTION("{IMPORTRANGE(""1zr0uYCpJ5izByVOUCsr6JXezthGEdLXnwOrjIKGx5XI"",""Round 2!C1:H3""),IMPORTRANGE(""1zr0uYCpJ5izByVOUCsr6JXezthGEdLXnwOrjIKGx5XI"",""Round 2!M1:R3"")}"),"Santa Monica A (V)")</f>
        <v>Santa Monica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IFERROR(__xludf.DUMMYFUNCTION("""COMPUTED_VALUE"""),"Cathedral Catholic (V)")</f>
        <v>Cathedral Catholic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2!I32""))"),"A BP: 280")</f>
        <v>A BP: 280</v>
      </c>
      <c r="B152" t="str">
        <f>IFERROR(__xludf.DUMMYFUNCTION("""COMPUTED_VALUE"""),"Score: 435")</f>
        <v>Score: 435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85")</f>
        <v>Score: 85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2!S32""))"),"B BP: 50")</f>
        <v>B BP: 50</v>
      </c>
      <c r="B153" t="str">
        <f>IFERROR(__xludf.DUMMYFUNCTION("""COMPUTED_VALUE"""),"Josh Xu (11)")</f>
        <v>Josh Xu (11)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IFERROR(__xludf.DUMMYFUNCTION("""COMPUTED_VALUE"""),"Ryan Shakiba (10)")</f>
        <v>Ryan Shakiba (10)</v>
      </c>
      <c r="I153" t="str">
        <f>IFERROR(__xludf.DUMMYFUNCTION("""COMPUTED_VALUE"""),"Jacob Titcomb (11)")</f>
        <v>Jacob Titcomb (11)</v>
      </c>
      <c r="J153" t="str">
        <f>IFERROR(__xludf.DUMMYFUNCTION("""COMPUTED_VALUE"""),"Mikayla Nang (11)")</f>
        <v>Mikayla Nang (11)</v>
      </c>
      <c r="K153" t="str">
        <f>IFERROR(__xludf.DUMMYFUNCTION("""COMPUTED_VALUE"""),"Sinead Archdeacon (10)")</f>
        <v>Sinead Archdeacon (10)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2!C32:H36""),IMPORTRANGE(""1zr0uYCpJ5izByVOUCsr6JXezthGEdLXnwOrjIKGx5XI"",""Round 2!M32:R36"")}"),20.0)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IFERROR(__xludf.DUMMYFUNCTION("""COMPUTED_VALUE"""),1.0)</f>
        <v>1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IFERROR(__xludf.DUMMYFUNCTION("""COMPUTED_VALUE"""),2.0)</f>
        <v>2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IFERROR(__xludf.DUMMYFUNCTION("""COMPUTED_VALUE"""),14.0)</f>
        <v>14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IFERROR(__xludf.DUMMYFUNCTION("""COMPUTED_VALUE"""),1.0)</f>
        <v>1</v>
      </c>
      <c r="J156">
        <f>IFERROR(__xludf.DUMMYFUNCTION("""COMPUTED_VALUE"""),0.0)</f>
        <v>0</v>
      </c>
      <c r="K156">
        <f>IFERROR(__xludf.DUMMYFUNCTION("""COMPUTED_VALUE"""),1.0)</f>
        <v>1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IFERROR(__xludf.DUMMYFUNCTION("""COMPUTED_VALUE"""),2.0)</f>
        <v>2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IFERROR(__xludf.DUMMYFUNCTION("""COMPUTED_VALUE"""),1.0)</f>
        <v>1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IFERROR(__xludf.DUMMYFUNCTION("""COMPUTED_VALUE"""),155.0)</f>
        <v>155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IFERROR(__xludf.DUMMYFUNCTION("""COMPUTED_VALUE"""),20.0)</f>
        <v>20</v>
      </c>
      <c r="I158">
        <f>IFERROR(__xludf.DUMMYFUNCTION("""COMPUTED_VALUE"""),10.0)</f>
        <v>10</v>
      </c>
      <c r="J158">
        <f>IFERROR(__xludf.DUMMYFUNCTION("""COMPUTED_VALUE"""),0.0)</f>
        <v>0</v>
      </c>
      <c r="K158">
        <f>IFERROR(__xludf.DUMMYFUNCTION("""COMPUTED_VALUE"""),5.0)</f>
        <v>5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2!W1"")"),"Question: 21")</f>
        <v>Question: 21</v>
      </c>
      <c r="B159" s="7" t="s">
        <v>160</v>
      </c>
    </row>
    <row r="160">
      <c r="A160" s="6"/>
    </row>
    <row r="161">
      <c r="A161" s="2" t="s">
        <v>161</v>
      </c>
      <c r="B161" t="str">
        <f>IFERROR(__xludf.DUMMYFUNCTION("{IMPORTRANGE(""1TVrjNI5RE1VozIr906BhaTKMFP0VPx8aUGpyt_loukE"",""Round 2!C1:H3""),IMPORTRANGE(""1TVrjNI5RE1VozIr906BhaTKMFP0VPx8aUGpyt_loukE"",""Round 2!M1:R3"")}"),"Troy A (V)")</f>
        <v>Troy 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IFERROR(__xludf.DUMMYFUNCTION("""COMPUTED_VALUE"""),"Westview B (V)")</f>
        <v>Westview B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2!I32""))"),"A BP: 30")</f>
        <v>A BP: 30</v>
      </c>
      <c r="B162" t="str">
        <f>IFERROR(__xludf.DUMMYFUNCTION("""COMPUTED_VALUE"""),"Score: 65")</f>
        <v>Score: 65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390")</f>
        <v>Score: 390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2!S32""))"),"B BP: 230")</f>
        <v>B BP: 230</v>
      </c>
      <c r="B163" t="str">
        <f>IFERROR(__xludf.DUMMYFUNCTION("""COMPUTED_VALUE"""),"Luke Park (11)")</f>
        <v>Luke Park (11)</v>
      </c>
      <c r="C163" t="str">
        <f>IFERROR(__xludf.DUMMYFUNCTION("""COMPUTED_VALUE"""),"Tyler Kim (11)")</f>
        <v>Tyler Kim (11)</v>
      </c>
      <c r="D163" t="str">
        <f>IFERROR(__xludf.DUMMYFUNCTION("""COMPUTED_VALUE"""),"Henry Tang (10)")</f>
        <v>Henry Tang (10)</v>
      </c>
      <c r="E163" t="str">
        <f>IFERROR(__xludf.DUMMYFUNCTION("""COMPUTED_VALUE"""),"Daniel Shin (10)")</f>
        <v>Daniel Shin (10)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IFERROR(__xludf.DUMMYFUNCTION("""COMPUTED_VALUE"""),"Nicholas Dai (11)")</f>
        <v>Nicholas Dai (11)</v>
      </c>
      <c r="I163" t="str">
        <f>IFERROR(__xludf.DUMMYFUNCTION("""COMPUTED_VALUE"""),"Pramod Shastry (9)")</f>
        <v>Pramod Shastry (9)</v>
      </c>
      <c r="J163" t="str">
        <f>IFERROR(__xludf.DUMMYFUNCTION("""COMPUTED_VALUE"""),"Richard Lin (9)")</f>
        <v>Richard Lin (9)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2!C32:H36""),IMPORTRANGE(""1TVrjNI5RE1VozIr906BhaTKMFP0VPx8aUGpyt_loukE"",""Round 2!M32:R36"")}"),20.0)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IFERROR(__xludf.DUMMYFUNCTION("""COMPUTED_VALUE"""),4.0)</f>
        <v>4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IFERROR(__xludf.DUMMYFUNCTION("""COMPUTED_VALUE"""),1.0)</f>
        <v>1</v>
      </c>
      <c r="E166">
        <f>IFERROR(__xludf.DUMMYFUNCTION("""COMPUTED_VALUE"""),3.0)</f>
        <v>3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IFERROR(__xludf.DUMMYFUNCTION("""COMPUTED_VALUE"""),4.0)</f>
        <v>4</v>
      </c>
      <c r="I166">
        <f>IFERROR(__xludf.DUMMYFUNCTION("""COMPUTED_VALUE"""),3.0)</f>
        <v>3</v>
      </c>
      <c r="J166">
        <f>IFERROR(__xludf.DUMMYFUNCTION("""COMPUTED_VALUE"""),4.0)</f>
        <v>4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IFERROR(__xludf.DUMMYFUNCTION("""COMPUTED_VALUE"""),1.0)</f>
        <v>1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IFERROR(__xludf.DUMMYFUNCTION("""COMPUTED_VALUE"""),1.0)</f>
        <v>1</v>
      </c>
      <c r="I167">
        <f>IFERROR(__xludf.DUMMYFUNCTION("""COMPUTED_VALUE"""),1.0)</f>
        <v>1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IFERROR(__xludf.DUMMYFUNCTION("""COMPUTED_VALUE"""),5.0)</f>
        <v>5</v>
      </c>
      <c r="E168">
        <f>IFERROR(__xludf.DUMMYFUNCTION("""COMPUTED_VALUE"""),30.0)</f>
        <v>30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IFERROR(__xludf.DUMMYFUNCTION("""COMPUTED_VALUE"""),35.0)</f>
        <v>35</v>
      </c>
      <c r="I168">
        <f>IFERROR(__xludf.DUMMYFUNCTION("""COMPUTED_VALUE"""),85.0)</f>
        <v>85</v>
      </c>
      <c r="J168">
        <f>IFERROR(__xludf.DUMMYFUNCTION("""COMPUTED_VALUE"""),40.0)</f>
        <v>40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2!W1"")"),"Question: 21")</f>
        <v>Question: 21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2!C1:H3""),IMPORTRANGE(""1xRz0po-ejgp-QRvMkY44z3u2CePgTccasdyrrVALbmE"",""Round 2!M1:R3"")}"),"Team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2!I32""))"),"A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2!S32""))"),"B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2!C32:H36""),IMPORTRANGE(""1xRz0po-ejgp-QRvMkY44z3u2CePgTccasdyrrVALbmE"",""Round 2!M32:R36"")}"),20.0)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2!W1"")"),"Question: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3!C1:H3""),IMPORTRANGE(""1JXwZ4AjXctyKvWy9qFKCX518NRYJYhSX9Jii0HPBCUs"",""Round 3!M1:R3"")}"),"Team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3!I32""))"),"A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3!S32""))"),"B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3!C32:H36""),IMPORTRANGE(""1JXwZ4AjXctyKvWy9qFKCX518NRYJYhSX9Jii0HPBCUs"",""Round 3!M32:R36"")}"),20.0)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3!W1"")"),"Question: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3!C1:H3""),IMPORTRANGE(""1GBDUn_ZojNLX5OJCVBEhvJbdm0c55Z7lPcE4L6WH89o"",""Round 3!M1:R3"")}"),"Team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3!I32""))"),"A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3!S32""))"),"B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3!C32:H36""),IMPORTRANGE(""1GBDUn_ZojNLX5OJCVBEhvJbdm0c55Z7lPcE4L6WH89o"",""Round 3!M32:R36"")}"),20.0)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3!W1"")"),"Question: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3!C1:H3""),IMPORTRANGE(""19Dum1qlL_dEwf1AEniLf02Eg9XaNXi1GMkI5M4_Ei6w"",""Round 3!M1:R3"")}"),"Team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3!I32""))"),"A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3!S32""))"),"B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3!C32:H36""),IMPORTRANGE(""19Dum1qlL_dEwf1AEniLf02Eg9XaNXi1GMkI5M4_Ei6w"",""Round 3!M32:R36"")}"),20.0)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3!W1"")"),"Question: 1")</f>
        <v>Question: 1</v>
      </c>
      <c r="B29" s="7" t="s">
        <v>129</v>
      </c>
    </row>
    <row r="30">
      <c r="A30" s="6"/>
    </row>
    <row r="31">
      <c r="A31" s="2" t="s">
        <v>130</v>
      </c>
      <c r="B31" t="str">
        <f>IFERROR(__xludf.DUMMYFUNCTION("{IMPORTRANGE(""18KjuM_F6goZYnozVb7folIb5Hw_mfKQrNdVWKGx6j4s"",""Round 3!C1:H3""),IMPORTRANGE(""18KjuM_F6goZYnozVb7folIb5Hw_mfKQrNdVWKGx6j4s"",""Round 3!M1:R3"")}"),"La Serna B (JV)")</f>
        <v>La Serna B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IFERROR(__xludf.DUMMYFUNCTION("""COMPUTED_VALUE"""),"Oak Valley B (JV)")</f>
        <v>Oak Valley B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3!I32""))"),"A BP: 10")</f>
        <v>A BP: 10</v>
      </c>
      <c r="B32" t="str">
        <f>IFERROR(__xludf.DUMMYFUNCTION("""COMPUTED_VALUE"""),"Score: 20")</f>
        <v>Score: 20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285")</f>
        <v>Score: 285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3!S32""))"),"B BP: 160")</f>
        <v>B BP: 160</v>
      </c>
      <c r="B33" t="str">
        <f>IFERROR(__xludf.DUMMYFUNCTION("""COMPUTED_VALUE"""),"Colin Twisselmann (10)")</f>
        <v>Colin Twisselmann (10)</v>
      </c>
      <c r="C33" t="str">
        <f>IFERROR(__xludf.DUMMYFUNCTION("""COMPUTED_VALUE"""),"Jerred Casillas (12)")</f>
        <v>Jerred Casillas (12)</v>
      </c>
      <c r="D33" t="str">
        <f>IFERROR(__xludf.DUMMYFUNCTION("""COMPUTED_VALUE"""),"Liz Carrasco (12)")</f>
        <v>Liz Carrasco (12)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IFERROR(__xludf.DUMMYFUNCTION("""COMPUTED_VALUE"""),"Rohan Gaikwad (8)")</f>
        <v>Rohan Gaikwad (8)</v>
      </c>
      <c r="I33" t="str">
        <f>IFERROR(__xludf.DUMMYFUNCTION("""COMPUTED_VALUE"""),"Amina Aslam-Mir (7)")</f>
        <v>Amina Aslam-Mir (7)</v>
      </c>
      <c r="J33" t="str">
        <f>IFERROR(__xludf.DUMMYFUNCTION("""COMPUTED_VALUE"""),"John Bruvold (8)")</f>
        <v>John Bruvold (8)</v>
      </c>
      <c r="K33" t="str">
        <f>IFERROR(__xludf.DUMMYFUNCTION("""COMPUTED_VALUE"""),"Ethan Huang (7)")</f>
        <v>Ethan Huang (7)</v>
      </c>
      <c r="L33" t="str">
        <f>IFERROR(__xludf.DUMMYFUNCTION("""COMPUTED_VALUE"""),"Aditi Bandaru (7)")</f>
        <v>Aditi Bandaru (7)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3!C32:H36""),IMPORTRANGE(""18KjuM_F6goZYnozVb7folIb5Hw_mfKQrNdVWKGx6j4s"",""Round 3!M32:R36"")}"),20.0)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IFERROR(__xludf.DUMMYFUNCTION("""COMPUTED_VALUE"""),10.0)</f>
        <v>10</v>
      </c>
      <c r="L34">
        <f>IFERROR(__xludf.DUMMYFUNCTION("""COMPUTED_VALUE"""),10.0)</f>
        <v>10</v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IFERROR(__xludf.DUMMYFUNCTION("""COMPUTED_VALUE"""),3.0)</f>
        <v>3</v>
      </c>
      <c r="I35">
        <f>IFERROR(__xludf.DUMMYFUNCTION("""COMPUTED_VALUE"""),0.0)</f>
        <v>0</v>
      </c>
      <c r="J35">
        <f>IFERROR(__xludf.DUMMYFUNCTION("""COMPUTED_VALUE"""),1.0)</f>
        <v>1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IFERROR(__xludf.DUMMYFUNCTION("""COMPUTED_VALUE"""),1.0)</f>
        <v>1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IFERROR(__xludf.DUMMYFUNCTION("""COMPUTED_VALUE"""),5.0)</f>
        <v>5</v>
      </c>
      <c r="I36">
        <f>IFERROR(__xludf.DUMMYFUNCTION("""COMPUTED_VALUE"""),2.0)</f>
        <v>2</v>
      </c>
      <c r="J36">
        <f>IFERROR(__xludf.DUMMYFUNCTION("""COMPUTED_VALUE"""),0.0)</f>
        <v>0</v>
      </c>
      <c r="K36">
        <f>IFERROR(__xludf.DUMMYFUNCTION("""COMPUTED_VALUE"""),1.0)</f>
        <v>1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IFERROR(__xludf.DUMMYFUNCTION("""COMPUTED_VALUE"""),1.0)</f>
        <v>1</v>
      </c>
      <c r="J37">
        <f>IFERROR(__xludf.DUMMYFUNCTION("""COMPUTED_VALUE"""),0.0)</f>
        <v>0</v>
      </c>
      <c r="K37">
        <f>IFERROR(__xludf.DUMMYFUNCTION("""COMPUTED_VALUE"""),1.0)</f>
        <v>1</v>
      </c>
      <c r="L37">
        <f>IFERROR(__xludf.DUMMYFUNCTION("""COMPUTED_VALUE"""),1.0)</f>
        <v>1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IFERROR(__xludf.DUMMYFUNCTION("""COMPUTED_VALUE"""),10.0)</f>
        <v>10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IFERROR(__xludf.DUMMYFUNCTION("""COMPUTED_VALUE"""),95.0)</f>
        <v>95</v>
      </c>
      <c r="I38">
        <f>IFERROR(__xludf.DUMMYFUNCTION("""COMPUTED_VALUE"""),15.0)</f>
        <v>15</v>
      </c>
      <c r="J38">
        <f>IFERROR(__xludf.DUMMYFUNCTION("""COMPUTED_VALUE"""),15.0)</f>
        <v>15</v>
      </c>
      <c r="K38">
        <f>IFERROR(__xludf.DUMMYFUNCTION("""COMPUTED_VALUE"""),5.0)</f>
        <v>5</v>
      </c>
      <c r="L38">
        <f>IFERROR(__xludf.DUMMYFUNCTION("""COMPUTED_VALUE"""),-5.0)</f>
        <v>-5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3!W1"")"),"Question: 21")</f>
        <v>Question: 21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3!C1:H3""),IMPORTRANGE(""1_YEY20HiFjspjicPICCMlL_lQXsksdB6d3m5vzHwuOI"",""Round 3!M1:R3"")}"),"Scripps Ranch B (JV)")</f>
        <v>Scripps Ranch B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B (JV)")</f>
        <v>Black Mountain B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3!I32""))"),"A BP: 190")</f>
        <v>A BP: 190</v>
      </c>
      <c r="B42" t="str">
        <f>IFERROR(__xludf.DUMMYFUNCTION("""COMPUTED_VALUE"""),"Score: 305")</f>
        <v>Score: 305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130")</f>
        <v>Score: 130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3!S32""))"),"B BP: 70")</f>
        <v>B BP: 70</v>
      </c>
      <c r="B43" t="str">
        <f>IFERROR(__xludf.DUMMYFUNCTION("""COMPUTED_VALUE"""),"Lawrence Lo (9)")</f>
        <v>Lawrence Lo (9)</v>
      </c>
      <c r="C43" t="str">
        <f>IFERROR(__xludf.DUMMYFUNCTION("""COMPUTED_VALUE"""),"Sam Wu (9)")</f>
        <v>Sam Wu (9)</v>
      </c>
      <c r="D43" t="str">
        <f>IFERROR(__xludf.DUMMYFUNCTION("""COMPUTED_VALUE"""),"Tristan Thai (9)")</f>
        <v>Tristan Thai (9)</v>
      </c>
      <c r="E43" t="str">
        <f>IFERROR(__xludf.DUMMYFUNCTION("""COMPUTED_VALUE"""),"Shabdika Gubba (9)")</f>
        <v>Shabdika Gubba (9)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IFERROR(__xludf.DUMMYFUNCTION("""COMPUTED_VALUE"""),"Pranay Kulkarni (7)")</f>
        <v>Pranay Kulkarni (7)</v>
      </c>
      <c r="I43" t="str">
        <f>IFERROR(__xludf.DUMMYFUNCTION("""COMPUTED_VALUE"""),"Lauren Yung (8)")</f>
        <v>Lauren Yung (8)</v>
      </c>
      <c r="J43" t="str">
        <f>IFERROR(__xludf.DUMMYFUNCTION("""COMPUTED_VALUE"""),"Raina Chatterjee (7)")</f>
        <v>Raina Chatterjee (7)</v>
      </c>
      <c r="K43" t="str">
        <f>IFERROR(__xludf.DUMMYFUNCTION("""COMPUTED_VALUE"""),"Anay Sabhnani (7)")</f>
        <v>Anay Sabhnani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3!C32:H36""),IMPORTRANGE(""1_YEY20HiFjspjicPICCMlL_lQXsksdB6d3m5vzHwuOI"",""Round 3!M32:R36"")}"),20.0)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IFERROR(__xludf.DUMMYFUNCTION("""COMPUTED_VALUE"""),0.0)</f>
        <v>0</v>
      </c>
      <c r="C45">
        <f>IFERROR(__xludf.DUMMYFUNCTION("""COMPUTED_VALUE"""),1.0)</f>
        <v>1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IFERROR(__xludf.DUMMYFUNCTION("""COMPUTED_VALUE"""),2.0)</f>
        <v>2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IFERROR(__xludf.DUMMYFUNCTION("""COMPUTED_VALUE"""),10.0)</f>
        <v>10</v>
      </c>
      <c r="C46">
        <f>IFERROR(__xludf.DUMMYFUNCTION("""COMPUTED_VALUE"""),0.0)</f>
        <v>0</v>
      </c>
      <c r="D46">
        <f>IFERROR(__xludf.DUMMYFUNCTION("""COMPUTED_VALUE"""),1.0)</f>
        <v>1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IFERROR(__xludf.DUMMYFUNCTION("""COMPUTED_VALUE"""),1.0)</f>
        <v>1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IFERROR(__xludf.DUMMYFUNCTION("""COMPUTED_VALUE"""),2.0)</f>
        <v>2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IFERROR(__xludf.DUMMYFUNCTION("""COMPUTED_VALUE"""),0.0)</f>
        <v>0</v>
      </c>
      <c r="C47">
        <f>IFERROR(__xludf.DUMMYFUNCTION("""COMPUTED_VALUE"""),1.0)</f>
        <v>1</v>
      </c>
      <c r="D47">
        <f>IFERROR(__xludf.DUMMYFUNCTION("""COMPUTED_VALUE"""),1.0)</f>
        <v>1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IFERROR(__xludf.DUMMYFUNCTION("""COMPUTED_VALUE"""),100.0)</f>
        <v>100</v>
      </c>
      <c r="C48">
        <f>IFERROR(__xludf.DUMMYFUNCTION("""COMPUTED_VALUE"""),10.0)</f>
        <v>10</v>
      </c>
      <c r="D48">
        <f>IFERROR(__xludf.DUMMYFUNCTION("""COMPUTED_VALUE"""),5.0)</f>
        <v>5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IFERROR(__xludf.DUMMYFUNCTION("""COMPUTED_VALUE"""),40.0)</f>
        <v>40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IFERROR(__xludf.DUMMYFUNCTION("""COMPUTED_VALUE"""),20.0)</f>
        <v>20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3!W1"")"),"Question: 21")</f>
        <v>Question: 21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3!C1:H3""),IMPORTRANGE(""1SYS5Ef48991ZUgqcGqj51eX2YgqKCzfrEZ_pUY01Lwo"",""Round 3!M1:R3"")}"),"Black Mountain A (JV)")</f>
        <v>Black Mountain A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IFERROR(__xludf.DUMMYFUNCTION("""COMPUTED_VALUE"""),"Troy B (JV)")</f>
        <v>Troy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3!I32""))"),"A BP: 110")</f>
        <v>A BP: 110</v>
      </c>
      <c r="B52" t="str">
        <f>IFERROR(__xludf.DUMMYFUNCTION("""COMPUTED_VALUE"""),"Score: 220")</f>
        <v>Score: 220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230")</f>
        <v>Score: 230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3!S32""))"),"B BP: 150")</f>
        <v>B BP: 150</v>
      </c>
      <c r="B53" t="str">
        <f>IFERROR(__xludf.DUMMYFUNCTION("""COMPUTED_VALUE"""),"Adarsh Venkateswaran (8)")</f>
        <v>Adarsh Venkateswaran (8)</v>
      </c>
      <c r="C53" t="str">
        <f>IFERROR(__xludf.DUMMYFUNCTION("""COMPUTED_VALUE"""),"Anvit Watwani (7)")</f>
        <v>Anvit Watwani (7)</v>
      </c>
      <c r="D53" t="str">
        <f>IFERROR(__xludf.DUMMYFUNCTION("""COMPUTED_VALUE"""),"Edwin Chang (8)")</f>
        <v>Edwin Chang (8)</v>
      </c>
      <c r="E53" t="str">
        <f>IFERROR(__xludf.DUMMYFUNCTION("""COMPUTED_VALUE"""),"Tanvi Bhide (7)")</f>
        <v>Tanvi Bhide (7)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IFERROR(__xludf.DUMMYFUNCTION("""COMPUTED_VALUE"""),"Juan Manalo (11)")</f>
        <v>Juan Manalo (11)</v>
      </c>
      <c r="I53" t="str">
        <f>IFERROR(__xludf.DUMMYFUNCTION("""COMPUTED_VALUE"""),"Ryan Salehi (11)")</f>
        <v>Ryan Salehi (11)</v>
      </c>
      <c r="J53" t="str">
        <f>IFERROR(__xludf.DUMMYFUNCTION("""COMPUTED_VALUE"""),"Luke Waldo (11)")</f>
        <v>Luke Waldo (11)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3!C32:H36""),IMPORTRANGE(""1SYS5Ef48991ZUgqcGqj51eX2YgqKCzfrEZ_pUY01Lwo"",""Round 3!M32:R36"")}"),20.0)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IFERROR(__xludf.DUMMYFUNCTION("""COMPUTED_VALUE"""),2.0)</f>
        <v>2</v>
      </c>
      <c r="C55">
        <f>IFERROR(__xludf.DUMMYFUNCTION("""COMPUTED_VALUE"""),3.0)</f>
        <v>3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IFERROR(__xludf.DUMMYFUNCTION("""COMPUTED_VALUE"""),1.0)</f>
        <v>1</v>
      </c>
      <c r="C56">
        <f>IFERROR(__xludf.DUMMYFUNCTION("""COMPUTED_VALUE"""),3.0)</f>
        <v>3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IFERROR(__xludf.DUMMYFUNCTION("""COMPUTED_VALUE"""),3.0)</f>
        <v>3</v>
      </c>
      <c r="I56">
        <f>IFERROR(__xludf.DUMMYFUNCTION("""COMPUTED_VALUE"""),2.0)</f>
        <v>2</v>
      </c>
      <c r="J56">
        <f>IFERROR(__xludf.DUMMYFUNCTION("""COMPUTED_VALUE"""),2.0)</f>
        <v>2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IFERROR(__xludf.DUMMYFUNCTION("""COMPUTED_VALUE"""),1.0)</f>
        <v>1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IFERROR(__xludf.DUMMYFUNCTION("""COMPUTED_VALUE"""),1.0)</f>
        <v>1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IFERROR(__xludf.DUMMYFUNCTION("""COMPUTED_VALUE"""),40.0)</f>
        <v>40</v>
      </c>
      <c r="C58">
        <f>IFERROR(__xludf.DUMMYFUNCTION("""COMPUTED_VALUE"""),70.0)</f>
        <v>70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IFERROR(__xludf.DUMMYFUNCTION("""COMPUTED_VALUE"""),40.0)</f>
        <v>40</v>
      </c>
      <c r="I58">
        <f>IFERROR(__xludf.DUMMYFUNCTION("""COMPUTED_VALUE"""),20.0)</f>
        <v>20</v>
      </c>
      <c r="J58">
        <f>IFERROR(__xludf.DUMMYFUNCTION("""COMPUTED_VALUE"""),20.0)</f>
        <v>20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3!W1"")"),"Question: 21")</f>
        <v>Question: 21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3!C1:H3""),IMPORTRANGE(""1UJlRLlhI2Hg_SAQqQOg0JGdwHhiagF7EVAtCX8UOYFc"",""Round 3!M1:R3"")}"),"Del Norte (JV)")</f>
        <v>Del Norte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IFERROR(__xludf.DUMMYFUNCTION("""COMPUTED_VALUE"""),"Valley Center (JV)")</f>
        <v>Valley Center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3!I32""))"),"A BP: 130")</f>
        <v>A BP: 130</v>
      </c>
      <c r="B62" t="str">
        <f>IFERROR(__xludf.DUMMYFUNCTION("""COMPUTED_VALUE"""),"Score: 230")</f>
        <v>Score: 230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120")</f>
        <v>Score: 120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3!S32""))"),"B BP: 80")</f>
        <v>B BP: 80</v>
      </c>
      <c r="B63" t="str">
        <f>IFERROR(__xludf.DUMMYFUNCTION("""COMPUTED_VALUE"""),"Kinish Sathish (9)")</f>
        <v>Kinish Sathish (9)</v>
      </c>
      <c r="C63" t="str">
        <f>IFERROR(__xludf.DUMMYFUNCTION("""COMPUTED_VALUE"""),"Kyle Nagasawa (11)")</f>
        <v>Kyle Nagasawa (11)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IFERROR(__xludf.DUMMYFUNCTION("""COMPUTED_VALUE"""),"Ava Downey (12)")</f>
        <v>Ava Downey (12)</v>
      </c>
      <c r="I63" t="str">
        <f>IFERROR(__xludf.DUMMYFUNCTION("""COMPUTED_VALUE"""),"Mehreen Sing (12)")</f>
        <v>Mehreen Sing (12)</v>
      </c>
      <c r="J63" t="str">
        <f>IFERROR(__xludf.DUMMYFUNCTION("""COMPUTED_VALUE"""),"Aaron Martinez (11)")</f>
        <v>Aaron Martinez (11)</v>
      </c>
      <c r="K63" t="str">
        <f>IFERROR(__xludf.DUMMYFUNCTION("""COMPUTED_VALUE"""),"Leon Thigh (11)")</f>
        <v>Leon Thigh (11)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3!C32:H36""),IMPORTRANGE(""1UJlRLlhI2Hg_SAQqQOg0JGdwHhiagF7EVAtCX8UOYFc"",""Round 3!M32:R36"")}"),20.0)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IFERROR(__xludf.DUMMYFUNCTION("""COMPUTED_VALUE"""),2.0)</f>
        <v>2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IFERROR(__xludf.DUMMYFUNCTION("""COMPUTED_VALUE"""),7.0)</f>
        <v>7</v>
      </c>
      <c r="C66">
        <f>IFERROR(__xludf.DUMMYFUNCTION("""COMPUTED_VALUE"""),1.0)</f>
        <v>1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IFERROR(__xludf.DUMMYFUNCTION("""COMPUTED_VALUE"""),1.0)</f>
        <v>1</v>
      </c>
      <c r="I66">
        <f>IFERROR(__xludf.DUMMYFUNCTION("""COMPUTED_VALUE"""),0.0)</f>
        <v>0</v>
      </c>
      <c r="J66">
        <f>IFERROR(__xludf.DUMMYFUNCTION("""COMPUTED_VALUE"""),5.0)</f>
        <v>5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IFERROR(__xludf.DUMMYFUNCTION("""COMPUTED_VALUE"""),2.0)</f>
        <v>2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IFERROR(__xludf.DUMMYFUNCTION("""COMPUTED_VALUE"""),2.0)</f>
        <v>2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IFERROR(__xludf.DUMMYFUNCTION("""COMPUTED_VALUE"""),100.0)</f>
        <v>100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IFERROR(__xludf.DUMMYFUNCTION("""COMPUTED_VALUE"""),40.0)</f>
        <v>40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3!W1"")"),"Question: 21")</f>
        <v>Question: 21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3!C1:H3""),IMPORTRANGE(""1jA96n0qbauznSt6-hkr51AslpxJqfrWgkafVtMV8_xU"",""Round 3!M1:R3"")}"),"Canyon Crest D (JV)")</f>
        <v>Canyon Crest D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IFERROR(__xludf.DUMMYFUNCTION("""COMPUTED_VALUE"""),"Oak Valley C (JV)")</f>
        <v>Oak Valley C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3!I32""))"),"A BP: 220")</f>
        <v>A BP: 220</v>
      </c>
      <c r="B72" t="str">
        <f>IFERROR(__xludf.DUMMYFUNCTION("""COMPUTED_VALUE"""),"Score: 340")</f>
        <v>Score: 340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50")</f>
        <v>Score: 50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3!S32""))"),"B BP: 30")</f>
        <v>B BP: 30</v>
      </c>
      <c r="B73" t="str">
        <f>IFERROR(__xludf.DUMMYFUNCTION("""COMPUTED_VALUE"""),"Kyle Lu (12)")</f>
        <v>Kyle Lu (12)</v>
      </c>
      <c r="C73" t="str">
        <f>IFERROR(__xludf.DUMMYFUNCTION("""COMPUTED_VALUE"""),"Demitrius Hong (12)")</f>
        <v>Demitrius Hong (12)</v>
      </c>
      <c r="D73" t="str">
        <f>IFERROR(__xludf.DUMMYFUNCTION("""COMPUTED_VALUE"""),"Tompson Hsu (12)")</f>
        <v>Tompson Hsu (12)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IFERROR(__xludf.DUMMYFUNCTION("""COMPUTED_VALUE"""),"Sarah Feng (6)")</f>
        <v>Sarah Feng (6)</v>
      </c>
      <c r="I73" t="str">
        <f>IFERROR(__xludf.DUMMYFUNCTION("""COMPUTED_VALUE"""),"Chinmay Ramamurthy (7)")</f>
        <v>Chinmay Ramamurthy (7)</v>
      </c>
      <c r="J73" t="str">
        <f>IFERROR(__xludf.DUMMYFUNCTION("""COMPUTED_VALUE"""),"Saanvi Agarwal (6)")</f>
        <v>Saanvi Agarwal (6)</v>
      </c>
      <c r="K73" t="str">
        <f>IFERROR(__xludf.DUMMYFUNCTION("""COMPUTED_VALUE"""),"Tay Kim (7)")</f>
        <v>Tay Kim (7)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3!C32:H36""),IMPORTRANGE(""1jA96n0qbauznSt6-hkr51AslpxJqfrWgkafVtMV8_xU"",""Round 3!M32:R36"")}"),20.0)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IFERROR(__xludf.DUMMYFUNCTION("""COMPUTED_VALUE"""),1.0)</f>
        <v>1</v>
      </c>
      <c r="C75">
        <f>IFERROR(__xludf.DUMMYFUNCTION("""COMPUTED_VALUE"""),1.0)</f>
        <v>1</v>
      </c>
      <c r="D75">
        <f>IFERROR(__xludf.DUMMYFUNCTION("""COMPUTED_VALUE"""),1.0)</f>
        <v>1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IFERROR(__xludf.DUMMYFUNCTION("""COMPUTED_VALUE"""),4.0)</f>
        <v>4</v>
      </c>
      <c r="C76">
        <f>IFERROR(__xludf.DUMMYFUNCTION("""COMPUTED_VALUE"""),4.0)</f>
        <v>4</v>
      </c>
      <c r="D76">
        <f>IFERROR(__xludf.DUMMYFUNCTION("""COMPUTED_VALUE"""),1.0)</f>
        <v>1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IFERROR(__xludf.DUMMYFUNCTION("""COMPUTED_VALUE"""),3.0)</f>
        <v>3</v>
      </c>
      <c r="J76">
        <f>IFERROR(__xludf.DUMMYFUNCTION("""COMPUTED_VALUE"""),0.0)</f>
        <v>0</v>
      </c>
      <c r="K76">
        <f>IFERROR(__xludf.DUMMYFUNCTION("""COMPUTED_VALUE"""),1.0)</f>
        <v>1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IFERROR(__xludf.DUMMYFUNCTION("""COMPUTED_VALUE"""),2.0)</f>
        <v>2</v>
      </c>
      <c r="D77">
        <f>IFERROR(__xludf.DUMMYFUNCTION("""COMPUTED_VALUE"""),1.0)</f>
        <v>1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IFERROR(__xludf.DUMMYFUNCTION("""COMPUTED_VALUE"""),1.0)</f>
        <v>1</v>
      </c>
      <c r="J77">
        <f>IFERROR(__xludf.DUMMYFUNCTION("""COMPUTED_VALUE"""),2.0)</f>
        <v>2</v>
      </c>
      <c r="K77">
        <f>IFERROR(__xludf.DUMMYFUNCTION("""COMPUTED_VALUE"""),1.0)</f>
        <v>1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IFERROR(__xludf.DUMMYFUNCTION("""COMPUTED_VALUE"""),55.0)</f>
        <v>55</v>
      </c>
      <c r="C78">
        <f>IFERROR(__xludf.DUMMYFUNCTION("""COMPUTED_VALUE"""),45.0)</f>
        <v>45</v>
      </c>
      <c r="D78">
        <f>IFERROR(__xludf.DUMMYFUNCTION("""COMPUTED_VALUE"""),20.0)</f>
        <v>20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IFERROR(__xludf.DUMMYFUNCTION("""COMPUTED_VALUE"""),25.0)</f>
        <v>25</v>
      </c>
      <c r="J78">
        <f>IFERROR(__xludf.DUMMYFUNCTION("""COMPUTED_VALUE"""),-10.0)</f>
        <v>-10</v>
      </c>
      <c r="K78">
        <f>IFERROR(__xludf.DUMMYFUNCTION("""COMPUTED_VALUE"""),5.0)</f>
        <v>5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3!W1"")"),"Question: 21")</f>
        <v>Question: 21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3!C1:H3""),IMPORTRANGE(""1xw1EOjVhrK1PNJfOYiUsuJNrlpV53SmfJxYsFFolQ3s"",""Round 3!M1:R3"")}"),"La Serna A (JV)")</f>
        <v>La Serna A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IFERROR(__xludf.DUMMYFUNCTION("""COMPUTED_VALUE"""),"Oak Valley A (JV)")</f>
        <v>Oak Valley A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3!I32""))"),"A BP: 30")</f>
        <v>A BP: 30</v>
      </c>
      <c r="B82" t="str">
        <f>IFERROR(__xludf.DUMMYFUNCTION("""COMPUTED_VALUE"""),"Score: 35")</f>
        <v>Score: 35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680")</f>
        <v>Score: 680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3!S32""))"),"B BP: 460")</f>
        <v>B BP: 460</v>
      </c>
      <c r="B83" t="str">
        <f>IFERROR(__xludf.DUMMYFUNCTION("""COMPUTED_VALUE"""),"Jay Gamez (12)")</f>
        <v>Jay Gamez (12)</v>
      </c>
      <c r="C83" t="str">
        <f>IFERROR(__xludf.DUMMYFUNCTION("""COMPUTED_VALUE"""),"Ian Brennan (12)")</f>
        <v>Ian Brennan (12)</v>
      </c>
      <c r="D83" t="str">
        <f>IFERROR(__xludf.DUMMYFUNCTION("""COMPUTED_VALUE"""),"Cole Aedo (12)")</f>
        <v>Cole Aedo (12)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IFERROR(__xludf.DUMMYFUNCTION("""COMPUTED_VALUE"""),"Conner Feng (8)")</f>
        <v>Conner Feng (8)</v>
      </c>
      <c r="I83" t="str">
        <f>IFERROR(__xludf.DUMMYFUNCTION("""COMPUTED_VALUE"""),"Raunak Mondal (7)")</f>
        <v>Raunak Mondal (7)</v>
      </c>
      <c r="J83" t="str">
        <f>IFERROR(__xludf.DUMMYFUNCTION("""COMPUTED_VALUE"""),"Jadon Pandian (7)")</f>
        <v>Jadon Pandian (7)</v>
      </c>
      <c r="K83" t="str">
        <f>IFERROR(__xludf.DUMMYFUNCTION("""COMPUTED_VALUE"""),"Jonas Brown (7)")</f>
        <v>Jonas Brown (7)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3!C32:H36""),IMPORTRANGE(""1xw1EOjVhrK1PNJfOYiUsuJNrlpV53SmfJxYsFFolQ3s"",""Round 3!M32:R36"")}"),20.0)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IFERROR(__xludf.DUMMYFUNCTION("""COMPUTED_VALUE"""),6.0)</f>
        <v>6</v>
      </c>
      <c r="I85">
        <f>IFERROR(__xludf.DUMMYFUNCTION("""COMPUTED_VALUE"""),1.0)</f>
        <v>1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IFERROR(__xludf.DUMMYFUNCTION("""COMPUTED_VALUE"""),1.0)</f>
        <v>1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IFERROR(__xludf.DUMMYFUNCTION("""COMPUTED_VALUE"""),12.0)</f>
        <v>12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IFERROR(__xludf.DUMMYFUNCTION("""COMPUTED_VALUE"""),1.0)</f>
        <v>1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IFERROR(__xludf.DUMMYFUNCTION("""COMPUTED_VALUE"""),1.0)</f>
        <v>1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IFERROR(__xludf.DUMMYFUNCTION("""COMPUTED_VALUE"""),-5.0)</f>
        <v>-5</v>
      </c>
      <c r="C88">
        <f>IFERROR(__xludf.DUMMYFUNCTION("""COMPUTED_VALUE"""),0.0)</f>
        <v>0</v>
      </c>
      <c r="D88">
        <f>IFERROR(__xludf.DUMMYFUNCTION("""COMPUTED_VALUE"""),10.0)</f>
        <v>10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IFERROR(__xludf.DUMMYFUNCTION("""COMPUTED_VALUE"""),205.0)</f>
        <v>205</v>
      </c>
      <c r="I88">
        <f>IFERROR(__xludf.DUMMYFUNCTION("""COMPUTED_VALUE"""),15.0)</f>
        <v>15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3!W1"")"),"Question: 21")</f>
        <v>Question: 21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3!C1:H3""),IMPORTRANGE(""15wOrdFuJAb1a4MoX5CG4apiBD2jUJ7mBu58Uk-8Mo7s"",""Round 3!M1:R3"")}"),"Team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3!I32""))"),"A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3!S32""))"),"B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3!C32:H36""),IMPORTRANGE(""15wOrdFuJAb1a4MoX5CG4apiBD2jUJ7mBu58Uk-8Mo7s"",""Round 3!M32:R36"")}"),20.0)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3!W1"")"),"Question: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3!C1:H3""),IMPORTRANGE(""1GfJqS1rsy-VutTmPVnm9E2VdinIG-GnQO5b3bhaiX1s"",""Round 3!M1:R3"")}"),"Team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3!I32""))"),"A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3!S32""))"),"B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3!C32:H36""),IMPORTRANGE(""1GfJqS1rsy-VutTmPVnm9E2VdinIG-GnQO5b3bhaiX1s"",""Round 3!M32:R36"")}"),20.0)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3!W1"")"),"Question: 1")</f>
        <v>Question: 1</v>
      </c>
      <c r="B109" s="7" t="s">
        <v>150</v>
      </c>
    </row>
    <row r="110">
      <c r="A110" s="6"/>
    </row>
    <row r="111">
      <c r="A111" s="2" t="s">
        <v>151</v>
      </c>
      <c r="B111" t="str">
        <f>IFERROR(__xludf.DUMMYFUNCTION("{IMPORTRANGE(""17CLUEFflDBSa8dyH5vsXfHme4RV8IhzD-mxe9_c9I5k"",""Round 3!C1:H3""),IMPORTRANGE(""17CLUEFflDBSa8dyH5vsXfHme4RV8IhzD-mxe9_c9I5k"",""Round 3!M1:R3"")}"),"La Jolla (V)")</f>
        <v>La Jolla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IFERROR(__xludf.DUMMYFUNCTION("""COMPUTED_VALUE"""),"Canyon Crest C (V)")</f>
        <v>Canyon Crest C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3!I32""))"),"A BP: 180")</f>
        <v>A BP: 180</v>
      </c>
      <c r="B112" t="str">
        <f>IFERROR(__xludf.DUMMYFUNCTION("""COMPUTED_VALUE"""),"Score: 295")</f>
        <v>Score: 295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35")</f>
        <v>Score: 35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3!S32""))"),"B BP: 20")</f>
        <v>B BP: 20</v>
      </c>
      <c r="B113" t="str">
        <f>IFERROR(__xludf.DUMMYFUNCTION("""COMPUTED_VALUE"""),"David Smith (11)")</f>
        <v>David Smith (11)</v>
      </c>
      <c r="C113" t="str">
        <f>IFERROR(__xludf.DUMMYFUNCTION("""COMPUTED_VALUE"""),"Kevin Park (11)")</f>
        <v>Kevin Park (11)</v>
      </c>
      <c r="D113" t="str">
        <f>IFERROR(__xludf.DUMMYFUNCTION("""COMPUTED_VALUE"""),"Richard Chao (11)")</f>
        <v>Richard Chao (11)</v>
      </c>
      <c r="E113" t="str">
        <f>IFERROR(__xludf.DUMMYFUNCTION("""COMPUTED_VALUE"""),"Caleb Cruz (11)")</f>
        <v>Caleb Cruz (11)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IFERROR(__xludf.DUMMYFUNCTION("""COMPUTED_VALUE"""),"Paul Mola (11)")</f>
        <v>Paul Mola (11)</v>
      </c>
      <c r="I113" t="str">
        <f>IFERROR(__xludf.DUMMYFUNCTION("""COMPUTED_VALUE"""),"James Wright (11)")</f>
        <v>James Wright (11)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3!C32:H36""),IMPORTRANGE(""17CLUEFflDBSa8dyH5vsXfHme4RV8IhzD-mxe9_c9I5k"",""Round 3!M32:R36"")}"),20.0)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IFERROR(__xludf.DUMMYFUNCTION("""COMPUTED_VALUE"""),0.0)</f>
        <v>0</v>
      </c>
      <c r="C115">
        <f>IFERROR(__xludf.DUMMYFUNCTION("""COMPUTED_VALUE"""),1.0)</f>
        <v>1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IFERROR(__xludf.DUMMYFUNCTION("""COMPUTED_VALUE"""),3.0)</f>
        <v>3</v>
      </c>
      <c r="C116">
        <f>IFERROR(__xludf.DUMMYFUNCTION("""COMPUTED_VALUE"""),6.0)</f>
        <v>6</v>
      </c>
      <c r="D116">
        <f>IFERROR(__xludf.DUMMYFUNCTION("""COMPUTED_VALUE"""),2.0)</f>
        <v>2</v>
      </c>
      <c r="E116">
        <f>IFERROR(__xludf.DUMMYFUNCTION("""COMPUTED_VALUE"""),1.0)</f>
        <v>1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IFERROR(__xludf.DUMMYFUNCTION("""COMPUTED_VALUE"""),1.0)</f>
        <v>1</v>
      </c>
      <c r="I116">
        <f>IFERROR(__xludf.DUMMYFUNCTION("""COMPUTED_VALUE"""),1.0)</f>
        <v>1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IFERROR(__xludf.DUMMYFUNCTION("""COMPUTED_VALUE"""),0.0)</f>
        <v>0</v>
      </c>
      <c r="C117">
        <f>IFERROR(__xludf.DUMMYFUNCTION("""COMPUTED_VALUE"""),3.0)</f>
        <v>3</v>
      </c>
      <c r="D117">
        <f>IFERROR(__xludf.DUMMYFUNCTION("""COMPUTED_VALUE"""),1.0)</f>
        <v>1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IFERROR(__xludf.DUMMYFUNCTION("""COMPUTED_VALUE"""),1.0)</f>
        <v>1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IFERROR(__xludf.DUMMYFUNCTION("""COMPUTED_VALUE"""),30.0)</f>
        <v>30</v>
      </c>
      <c r="C118">
        <f>IFERROR(__xludf.DUMMYFUNCTION("""COMPUTED_VALUE"""),60.0)</f>
        <v>60</v>
      </c>
      <c r="D118">
        <f>IFERROR(__xludf.DUMMYFUNCTION("""COMPUTED_VALUE"""),15.0)</f>
        <v>15</v>
      </c>
      <c r="E118">
        <f>IFERROR(__xludf.DUMMYFUNCTION("""COMPUTED_VALUE"""),10.0)</f>
        <v>10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IFERROR(__xludf.DUMMYFUNCTION("""COMPUTED_VALUE"""),10.0)</f>
        <v>10</v>
      </c>
      <c r="I118">
        <f>IFERROR(__xludf.DUMMYFUNCTION("""COMPUTED_VALUE"""),5.0)</f>
        <v>5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3!W1"")"),"Question: 21")</f>
        <v>Question: 21</v>
      </c>
      <c r="B119" s="7" t="s">
        <v>152</v>
      </c>
    </row>
    <row r="120">
      <c r="A120" s="6"/>
    </row>
    <row r="121">
      <c r="A121" s="2" t="s">
        <v>153</v>
      </c>
      <c r="B121" t="str">
        <f>IFERROR(__xludf.DUMMYFUNCTION("{IMPORTRANGE(""1Knt8XDGFY_MP2OzeadT1pDENTLOdk9Ab_Rd9IdW0kzc"",""Round 3!C1:H3""),IMPORTRANGE(""1Knt8XDGFY_MP2OzeadT1pDENTLOdk9Ab_Rd9IdW0kzc"",""Round 3!M1:R3"")}"),"Santa Monica B (V)")</f>
        <v>Santa Monica B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IFERROR(__xludf.DUMMYFUNCTION("""COMPUTED_VALUE"""),"Scripps Ranch A (V)")</f>
        <v>Scripps Ranch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3!I32""))"),"A BP: 100")</f>
        <v>A BP: 100</v>
      </c>
      <c r="B122" t="str">
        <f>IFERROR(__xludf.DUMMYFUNCTION("""COMPUTED_VALUE"""),"Score: 150")</f>
        <v>Score: 150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210")</f>
        <v>Score: 210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3!S32""))"),"B BP: 130")</f>
        <v>B BP: 130</v>
      </c>
      <c r="B123" t="str">
        <f>IFERROR(__xludf.DUMMYFUNCTION("""COMPUTED_VALUE"""),"Kethan Raman (10)")</f>
        <v>Kethan Raman (10)</v>
      </c>
      <c r="C123" t="str">
        <f>IFERROR(__xludf.DUMMYFUNCTION("""COMPUTED_VALUE"""),"Ethan Hopkins (10)")</f>
        <v>Ethan Hopkins (10)</v>
      </c>
      <c r="D123" t="str">
        <f>IFERROR(__xludf.DUMMYFUNCTION("""COMPUTED_VALUE"""),"Jacob Cohen (10)")</f>
        <v>Jacob Cohen (10)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IFERROR(__xludf.DUMMYFUNCTION("""COMPUTED_VALUE"""),"Jack Hoover (12)")</f>
        <v>Jack Hoover (12)</v>
      </c>
      <c r="I123" t="str">
        <f>IFERROR(__xludf.DUMMYFUNCTION("""COMPUTED_VALUE"""),"Jeremy Ngo (12)")</f>
        <v>Jeremy Ngo (12)</v>
      </c>
      <c r="J123" t="str">
        <f>IFERROR(__xludf.DUMMYFUNCTION("""COMPUTED_VALUE"""),"Albert Gu (12)")</f>
        <v>Albert Gu (12)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3!C32:H36""),IMPORTRANGE(""1Knt8XDGFY_MP2OzeadT1pDENTLOdk9Ab_Rd9IdW0kzc"",""Round 3!M32:R36"")}"),20.0)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IFERROR(__xludf.DUMMYFUNCTION("""COMPUTED_VALUE"""),4.0)</f>
        <v>4</v>
      </c>
      <c r="C126">
        <f>IFERROR(__xludf.DUMMYFUNCTION("""COMPUTED_VALUE"""),0.0)</f>
        <v>0</v>
      </c>
      <c r="D126">
        <f>IFERROR(__xludf.DUMMYFUNCTION("""COMPUTED_VALUE"""),3.0)</f>
        <v>3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IFERROR(__xludf.DUMMYFUNCTION("""COMPUTED_VALUE"""),1.0)</f>
        <v>1</v>
      </c>
      <c r="I126">
        <f>IFERROR(__xludf.DUMMYFUNCTION("""COMPUTED_VALUE"""),4.0)</f>
        <v>4</v>
      </c>
      <c r="J126">
        <f>IFERROR(__xludf.DUMMYFUNCTION("""COMPUTED_VALUE"""),5.0)</f>
        <v>5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IFERROR(__xludf.DUMMYFUNCTION("""COMPUTED_VALUE"""),3.0)</f>
        <v>3</v>
      </c>
      <c r="C127">
        <f>IFERROR(__xludf.DUMMYFUNCTION("""COMPUTED_VALUE"""),0.0)</f>
        <v>0</v>
      </c>
      <c r="D127">
        <f>IFERROR(__xludf.DUMMYFUNCTION("""COMPUTED_VALUE"""),1.0)</f>
        <v>1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IFERROR(__xludf.DUMMYFUNCTION("""COMPUTED_VALUE"""),1.0)</f>
        <v>1</v>
      </c>
      <c r="I127">
        <f>IFERROR(__xludf.DUMMYFUNCTION("""COMPUTED_VALUE"""),0.0)</f>
        <v>0</v>
      </c>
      <c r="J127">
        <f>IFERROR(__xludf.DUMMYFUNCTION("""COMPUTED_VALUE"""),3.0)</f>
        <v>3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IFERROR(__xludf.DUMMYFUNCTION("""COMPUTED_VALUE"""),25.0)</f>
        <v>25</v>
      </c>
      <c r="C128">
        <f>IFERROR(__xludf.DUMMYFUNCTION("""COMPUTED_VALUE"""),0.0)</f>
        <v>0</v>
      </c>
      <c r="D128">
        <f>IFERROR(__xludf.DUMMYFUNCTION("""COMPUTED_VALUE"""),25.0)</f>
        <v>25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IFERROR(__xludf.DUMMYFUNCTION("""COMPUTED_VALUE"""),5.0)</f>
        <v>5</v>
      </c>
      <c r="I128">
        <f>IFERROR(__xludf.DUMMYFUNCTION("""COMPUTED_VALUE"""),40.0)</f>
        <v>40</v>
      </c>
      <c r="J128">
        <f>IFERROR(__xludf.DUMMYFUNCTION("""COMPUTED_VALUE"""),35.0)</f>
        <v>35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3!W1"")"),"Question: 21")</f>
        <v>Question: 21</v>
      </c>
      <c r="B129" s="7" t="s">
        <v>154</v>
      </c>
    </row>
    <row r="130">
      <c r="A130" s="6"/>
    </row>
    <row r="131">
      <c r="A131" s="2" t="s">
        <v>155</v>
      </c>
      <c r="B131" t="str">
        <f>IFERROR(__xludf.DUMMYFUNCTION("{IMPORTRANGE(""16i4gsLDaJasgGgtJt27HweoboYNaal3qpX3MtxIR2f0"",""Round 3!C1:H3""),IMPORTRANGE(""16i4gsLDaJasgGgtJt27HweoboYNaal3qpX3MtxIR2f0"",""Round 3!M1:R3"")}"),"Westview A (V)")</f>
        <v>Westview A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IFERROR(__xludf.DUMMYFUNCTION("""COMPUTED_VALUE"""),"Cathedral Catholic (V)")</f>
        <v>Cathedral Catholic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3!I32""))"),"A BP: 300")</f>
        <v>A BP: 300</v>
      </c>
      <c r="B132" t="str">
        <f>IFERROR(__xludf.DUMMYFUNCTION("""COMPUTED_VALUE"""),"Score: 455")</f>
        <v>Score: 455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55")</f>
        <v>Score: 55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3!S32""))"),"B BP: 30")</f>
        <v>B BP: 30</v>
      </c>
      <c r="B133" t="str">
        <f>IFERROR(__xludf.DUMMYFUNCTION("""COMPUTED_VALUE"""),"Shahar Schwartz (12)")</f>
        <v>Shahar Schwartz (12)</v>
      </c>
      <c r="C133" t="str">
        <f>IFERROR(__xludf.DUMMYFUNCTION("""COMPUTED_VALUE"""),"Junu Song (12)")</f>
        <v>Junu Song (12)</v>
      </c>
      <c r="D133" t="str">
        <f>IFERROR(__xludf.DUMMYFUNCTION("""COMPUTED_VALUE"""),"Daniel Jung (12)")</f>
        <v>Daniel Jung (12)</v>
      </c>
      <c r="E133" t="str">
        <f>IFERROR(__xludf.DUMMYFUNCTION("""COMPUTED_VALUE"""),"Gary Lin (11)")</f>
        <v>Gary Lin (11)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IFERROR(__xludf.DUMMYFUNCTION("""COMPUTED_VALUE"""),"Ryan Shakiba (10)")</f>
        <v>Ryan Shakiba (10)</v>
      </c>
      <c r="I133" t="str">
        <f>IFERROR(__xludf.DUMMYFUNCTION("""COMPUTED_VALUE"""),"Mikayla Nang (11)")</f>
        <v>Mikayla Nang (11)</v>
      </c>
      <c r="J133" t="str">
        <f>IFERROR(__xludf.DUMMYFUNCTION("""COMPUTED_VALUE"""),"Jacob Titcomb (11)")</f>
        <v>Jacob Titcomb (11)</v>
      </c>
      <c r="K133" t="str">
        <f>IFERROR(__xludf.DUMMYFUNCTION("""COMPUTED_VALUE"""),"Sinead Archdeacon (10)")</f>
        <v>Sinead Archdeacon (10)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3!C32:H36""),IMPORTRANGE(""16i4gsLDaJasgGgtJt27HweoboYNaal3qpX3MtxIR2f0"",""Round 3!M32:R36"")}"),20.0)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IFERROR(__xludf.DUMMYFUNCTION("""COMPUTED_VALUE"""),3.0)</f>
        <v>3</v>
      </c>
      <c r="C135">
        <f>IFERROR(__xludf.DUMMYFUNCTION("""COMPUTED_VALUE"""),0.0)</f>
        <v>0</v>
      </c>
      <c r="D135">
        <f>IFERROR(__xludf.DUMMYFUNCTION("""COMPUTED_VALUE"""),1.0)</f>
        <v>1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IFERROR(__xludf.DUMMYFUNCTION("""COMPUTED_VALUE"""),1.0)</f>
        <v>1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IFERROR(__xludf.DUMMYFUNCTION("""COMPUTED_VALUE"""),1.0)</f>
        <v>1</v>
      </c>
      <c r="C136">
        <f>IFERROR(__xludf.DUMMYFUNCTION("""COMPUTED_VALUE"""),6.0)</f>
        <v>6</v>
      </c>
      <c r="D136">
        <f>IFERROR(__xludf.DUMMYFUNCTION("""COMPUTED_VALUE"""),1.0)</f>
        <v>1</v>
      </c>
      <c r="E136">
        <f>IFERROR(__xludf.DUMMYFUNCTION("""COMPUTED_VALUE"""),3.0)</f>
        <v>3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IFERROR(__xludf.DUMMYFUNCTION("""COMPUTED_VALUE"""),1.0)</f>
        <v>1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IFERROR(__xludf.DUMMYFUNCTION("""COMPUTED_VALUE"""),1.0)</f>
        <v>1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IFERROR(__xludf.DUMMYFUNCTION("""COMPUTED_VALUE"""),2.0)</f>
        <v>2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IFERROR(__xludf.DUMMYFUNCTION("""COMPUTED_VALUE"""),1.0)</f>
        <v>1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IFERROR(__xludf.DUMMYFUNCTION("""COMPUTED_VALUE"""),2.0)</f>
        <v>2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IFERROR(__xludf.DUMMYFUNCTION("""COMPUTED_VALUE"""),45.0)</f>
        <v>45</v>
      </c>
      <c r="C138">
        <f>IFERROR(__xludf.DUMMYFUNCTION("""COMPUTED_VALUE"""),60.0)</f>
        <v>60</v>
      </c>
      <c r="D138">
        <f>IFERROR(__xludf.DUMMYFUNCTION("""COMPUTED_VALUE"""),25.0)</f>
        <v>25</v>
      </c>
      <c r="E138">
        <f>IFERROR(__xludf.DUMMYFUNCTION("""COMPUTED_VALUE"""),25.0)</f>
        <v>25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IFERROR(__xludf.DUMMYFUNCTION("""COMPUTED_VALUE"""),15.0)</f>
        <v>15</v>
      </c>
      <c r="K138">
        <f>IFERROR(__xludf.DUMMYFUNCTION("""COMPUTED_VALUE"""),10.0)</f>
        <v>10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3!W1"")"),"Question: 21")</f>
        <v>Question: 21</v>
      </c>
      <c r="B139" s="7" t="s">
        <v>156</v>
      </c>
    </row>
    <row r="140">
      <c r="A140" s="6"/>
    </row>
    <row r="141">
      <c r="A141" s="2" t="s">
        <v>157</v>
      </c>
      <c r="B141" t="str">
        <f>IFERROR(__xludf.DUMMYFUNCTION("{IMPORTRANGE(""1KRyI2c190uhOTF270Hsdzh1rgG565QIaE9TymteaGNY"",""Round 3!C1:H3""),IMPORTRANGE(""1KRyI2c190uhOTF270Hsdzh1rgG565QIaE9TymteaGNY"",""Round 3!M1:R3"")}"),"Canyon Crest A (V)")</f>
        <v>Canyon Crest 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IFERROR(__xludf.DUMMYFUNCTION("""COMPUTED_VALUE"""),"Troy A (V)")</f>
        <v>Troy A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3!I32""))"),"A BP: 320")</f>
        <v>A BP: 320</v>
      </c>
      <c r="B142" t="str">
        <f>IFERROR(__xludf.DUMMYFUNCTION("""COMPUTED_VALUE"""),"Score: 490")</f>
        <v>Score: 490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80")</f>
        <v>Score: 80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3!S32""))"),"B BP: 50")</f>
        <v>B BP: 50</v>
      </c>
      <c r="B143" t="str">
        <f>IFERROR(__xludf.DUMMYFUNCTION("""COMPUTED_VALUE"""),"Raymond Song (12)")</f>
        <v>Raymond Song (12)</v>
      </c>
      <c r="C143" t="str">
        <f>IFERROR(__xludf.DUMMYFUNCTION("""COMPUTED_VALUE"""),"Wesley Zhang (12)")</f>
        <v>Wesley Zhang (12)</v>
      </c>
      <c r="D143" t="str">
        <f>IFERROR(__xludf.DUMMYFUNCTION("""COMPUTED_VALUE"""),"Leo Gu (10)")</f>
        <v>Leo Gu (10)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IFERROR(__xludf.DUMMYFUNCTION("""COMPUTED_VALUE"""),"Luke Park (11)")</f>
        <v>Luke Park (11)</v>
      </c>
      <c r="I143" t="str">
        <f>IFERROR(__xludf.DUMMYFUNCTION("""COMPUTED_VALUE"""),"Tyler Kim (11)")</f>
        <v>Tyler Kim (11)</v>
      </c>
      <c r="J143" t="str">
        <f>IFERROR(__xludf.DUMMYFUNCTION("""COMPUTED_VALUE"""),"Henry Tang (10)")</f>
        <v>Henry Tang (10)</v>
      </c>
      <c r="K143" t="str">
        <f>IFERROR(__xludf.DUMMYFUNCTION("""COMPUTED_VALUE"""),"Daniel Shin (10)")</f>
        <v>Daniel Shin (10)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3!C32:H36""),IMPORTRANGE(""1KRyI2c190uhOTF270Hsdzh1rgG565QIaE9TymteaGNY"",""Round 3!M32:R36"")}"),16.0)</f>
        <v>16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IFERROR(__xludf.DUMMYFUNCTION("""COMPUTED_VALUE"""),3.0)</f>
        <v>3</v>
      </c>
      <c r="C145">
        <f>IFERROR(__xludf.DUMMYFUNCTION("""COMPUTED_VALUE"""),3.0)</f>
        <v>3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IFERROR(__xludf.DUMMYFUNCTION("""COMPUTED_VALUE"""),5.0)</f>
        <v>5</v>
      </c>
      <c r="C146">
        <f>IFERROR(__xludf.DUMMYFUNCTION("""COMPUTED_VALUE"""),3.0)</f>
        <v>3</v>
      </c>
      <c r="D146">
        <f>IFERROR(__xludf.DUMMYFUNCTION("""COMPUTED_VALUE"""),1.0)</f>
        <v>1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IFERROR(__xludf.DUMMYFUNCTION("""COMPUTED_VALUE"""),2.0)</f>
        <v>2</v>
      </c>
      <c r="I146">
        <f>IFERROR(__xludf.DUMMYFUNCTION("""COMPUTED_VALUE"""),0.0)</f>
        <v>0</v>
      </c>
      <c r="J146">
        <f>IFERROR(__xludf.DUMMYFUNCTION("""COMPUTED_VALUE"""),1.0)</f>
        <v>1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IFERROR(__xludf.DUMMYFUNCTION("""COMPUTED_VALUE"""),1.0)</f>
        <v>1</v>
      </c>
      <c r="C147">
        <f>IFERROR(__xludf.DUMMYFUNCTION("""COMPUTED_VALUE"""),1.0)</f>
        <v>1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IFERROR(__xludf.DUMMYFUNCTION("""COMPUTED_VALUE"""),90.0)</f>
        <v>90</v>
      </c>
      <c r="C148">
        <f>IFERROR(__xludf.DUMMYFUNCTION("""COMPUTED_VALUE"""),70.0)</f>
        <v>70</v>
      </c>
      <c r="D148">
        <f>IFERROR(__xludf.DUMMYFUNCTION("""COMPUTED_VALUE"""),10.0)</f>
        <v>10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IFERROR(__xludf.DUMMYFUNCTION("""COMPUTED_VALUE"""),20.0)</f>
        <v>20</v>
      </c>
      <c r="I148">
        <f>IFERROR(__xludf.DUMMYFUNCTION("""COMPUTED_VALUE"""),0.0)</f>
        <v>0</v>
      </c>
      <c r="J148">
        <f>IFERROR(__xludf.DUMMYFUNCTION("""COMPUTED_VALUE"""),10.0)</f>
        <v>10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3!W1"")"),"Question: 21")</f>
        <v>Question: 21</v>
      </c>
      <c r="B149" s="7" t="s">
        <v>158</v>
      </c>
    </row>
    <row r="150">
      <c r="A150" s="6"/>
    </row>
    <row r="151">
      <c r="A151" s="2" t="s">
        <v>159</v>
      </c>
      <c r="B151" t="str">
        <f>IFERROR(__xludf.DUMMYFUNCTION("{IMPORTRANGE(""1zr0uYCpJ5izByVOUCsr6JXezthGEdLXnwOrjIKGx5XI"",""Round 3!C1:H3""),IMPORTRANGE(""1zr0uYCpJ5izByVOUCsr6JXezthGEdLXnwOrjIKGx5XI"",""Round 3!M1:R3"")}"),"Santa Monica A (V)")</f>
        <v>Santa Monica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IFERROR(__xludf.DUMMYFUNCTION("""COMPUTED_VALUE"""),"Canyon Crest B (V)")</f>
        <v>Canyon Crest B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3!I32""))"),"A BP: 70")</f>
        <v>A BP: 70</v>
      </c>
      <c r="B152" t="str">
        <f>IFERROR(__xludf.DUMMYFUNCTION("""COMPUTED_VALUE"""),"Score: 105")</f>
        <v>Score: 105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345")</f>
        <v>Score: 345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3!S32""))"),"B BP: 220")</f>
        <v>B BP: 220</v>
      </c>
      <c r="B153" t="str">
        <f>IFERROR(__xludf.DUMMYFUNCTION("""COMPUTED_VALUE"""),"Josh Xu (11)")</f>
        <v>Josh Xu (11)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IFERROR(__xludf.DUMMYFUNCTION("""COMPUTED_VALUE"""),"Shreyank Kadadi (12)")</f>
        <v>Shreyank Kadadi (12)</v>
      </c>
      <c r="I153" t="str">
        <f>IFERROR(__xludf.DUMMYFUNCTION("""COMPUTED_VALUE"""),"Jonathan Hsieh (12)")</f>
        <v>Jonathan Hsieh (12)</v>
      </c>
      <c r="J153" t="str">
        <f>IFERROR(__xludf.DUMMYFUNCTION("""COMPUTED_VALUE"""),"Kevin Luo (10)")</f>
        <v>Kevin Luo (10)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3!C32:H36""),IMPORTRANGE(""1zr0uYCpJ5izByVOUCsr6JXezthGEdLXnwOrjIKGx5XI"",""Round 3!M32:R36"")}"),20.0)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IFERROR(__xludf.DUMMYFUNCTION("""COMPUTED_VALUE"""),1.0)</f>
        <v>1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IFERROR(__xludf.DUMMYFUNCTION("""COMPUTED_VALUE"""),1.0)</f>
        <v>1</v>
      </c>
      <c r="I155">
        <f>IFERROR(__xludf.DUMMYFUNCTION("""COMPUTED_VALUE"""),1.0)</f>
        <v>1</v>
      </c>
      <c r="J155">
        <f>IFERROR(__xludf.DUMMYFUNCTION("""COMPUTED_VALUE"""),1.0)</f>
        <v>1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IFERROR(__xludf.DUMMYFUNCTION("""COMPUTED_VALUE"""),4.0)</f>
        <v>4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IFERROR(__xludf.DUMMYFUNCTION("""COMPUTED_VALUE"""),5.0)</f>
        <v>5</v>
      </c>
      <c r="I156">
        <f>IFERROR(__xludf.DUMMYFUNCTION("""COMPUTED_VALUE"""),2.0)</f>
        <v>2</v>
      </c>
      <c r="J156">
        <f>IFERROR(__xludf.DUMMYFUNCTION("""COMPUTED_VALUE"""),3.0)</f>
        <v>3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IFERROR(__xludf.DUMMYFUNCTION("""COMPUTED_VALUE"""),4.0)</f>
        <v>4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IFERROR(__xludf.DUMMYFUNCTION("""COMPUTED_VALUE"""),1.0)</f>
        <v>1</v>
      </c>
      <c r="I157">
        <f>IFERROR(__xludf.DUMMYFUNCTION("""COMPUTED_VALUE"""),2.0)</f>
        <v>2</v>
      </c>
      <c r="J157">
        <f>IFERROR(__xludf.DUMMYFUNCTION("""COMPUTED_VALUE"""),1.0)</f>
        <v>1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IFERROR(__xludf.DUMMYFUNCTION("""COMPUTED_VALUE"""),35.0)</f>
        <v>35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IFERROR(__xludf.DUMMYFUNCTION("""COMPUTED_VALUE"""),60.0)</f>
        <v>60</v>
      </c>
      <c r="I158">
        <f>IFERROR(__xludf.DUMMYFUNCTION("""COMPUTED_VALUE"""),25.0)</f>
        <v>25</v>
      </c>
      <c r="J158">
        <f>IFERROR(__xludf.DUMMYFUNCTION("""COMPUTED_VALUE"""),40.0)</f>
        <v>40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3!W1"")"),"Question: 21")</f>
        <v>Question: 21</v>
      </c>
      <c r="B159" s="7" t="s">
        <v>160</v>
      </c>
    </row>
    <row r="160">
      <c r="A160" s="6"/>
    </row>
    <row r="161">
      <c r="A161" s="2" t="s">
        <v>161</v>
      </c>
      <c r="B161" t="str">
        <f>IFERROR(__xludf.DUMMYFUNCTION("{IMPORTRANGE(""1TVrjNI5RE1VozIr906BhaTKMFP0VPx8aUGpyt_loukE"",""Round 3!C1:H3""),IMPORTRANGE(""1TVrjNI5RE1VozIr906BhaTKMFP0VPx8aUGpyt_loukE"",""Round 3!M1:R3"")}"),"Arcadia (V)")</f>
        <v>Arcadia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IFERROR(__xludf.DUMMYFUNCTION("""COMPUTED_VALUE"""),"Westview B (V)")</f>
        <v>Westview B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3!I32""))"),"A BP: 290")</f>
        <v>A BP: 290</v>
      </c>
      <c r="B162" t="str">
        <f>IFERROR(__xludf.DUMMYFUNCTION("""COMPUTED_VALUE"""),"Score: 450")</f>
        <v>Score: 450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130")</f>
        <v>Score: 130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3!S32""))"),"B BP: 100")</f>
        <v>B BP: 100</v>
      </c>
      <c r="B163" t="str">
        <f>IFERROR(__xludf.DUMMYFUNCTION("""COMPUTED_VALUE"""),"Amogh Kulkarni (10)")</f>
        <v>Amogh Kulkarni (10)</v>
      </c>
      <c r="C163" t="str">
        <f>IFERROR(__xludf.DUMMYFUNCTION("""COMPUTED_VALUE"""),"Michael Kwok (10)")</f>
        <v>Michael Kwok (10)</v>
      </c>
      <c r="D163" t="str">
        <f>IFERROR(__xludf.DUMMYFUNCTION("""COMPUTED_VALUE"""),"Sanjith Menon (10)")</f>
        <v>Sanjith Menon (10)</v>
      </c>
      <c r="E163" t="str">
        <f>IFERROR(__xludf.DUMMYFUNCTION("""COMPUTED_VALUE"""),"Ryan Sun (10)")</f>
        <v>Ryan Sun (10)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IFERROR(__xludf.DUMMYFUNCTION("""COMPUTED_VALUE"""),"Nicholas Dai (11)")</f>
        <v>Nicholas Dai (11)</v>
      </c>
      <c r="I163" t="str">
        <f>IFERROR(__xludf.DUMMYFUNCTION("""COMPUTED_VALUE"""),"Pramod Shastry (9)")</f>
        <v>Pramod Shastry (9)</v>
      </c>
      <c r="J163" t="str">
        <f>IFERROR(__xludf.DUMMYFUNCTION("""COMPUTED_VALUE"""),"Richard Lin (9)")</f>
        <v>Richard Lin (9)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3!C32:H36""),IMPORTRANGE(""1TVrjNI5RE1VozIr906BhaTKMFP0VPx8aUGpyt_loukE"",""Round 3!M32:R36"")}"),20.0)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IFERROR(__xludf.DUMMYFUNCTION("""COMPUTED_VALUE"""),3.0)</f>
        <v>3</v>
      </c>
      <c r="C165">
        <f>IFERROR(__xludf.DUMMYFUNCTION("""COMPUTED_VALUE"""),1.0)</f>
        <v>1</v>
      </c>
      <c r="D165">
        <f>IFERROR(__xludf.DUMMYFUNCTION("""COMPUTED_VALUE"""),0.0)</f>
        <v>0</v>
      </c>
      <c r="E165">
        <f>IFERROR(__xludf.DUMMYFUNCTION("""COMPUTED_VALUE"""),1.0)</f>
        <v>1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IFERROR(__xludf.DUMMYFUNCTION("""COMPUTED_VALUE"""),1.0)</f>
        <v>1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IFERROR(__xludf.DUMMYFUNCTION("""COMPUTED_VALUE"""),6.0)</f>
        <v>6</v>
      </c>
      <c r="C166">
        <f>IFERROR(__xludf.DUMMYFUNCTION("""COMPUTED_VALUE"""),3.0)</f>
        <v>3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IFERROR(__xludf.DUMMYFUNCTION("""COMPUTED_VALUE"""),1.0)</f>
        <v>1</v>
      </c>
      <c r="I166">
        <f>IFERROR(__xludf.DUMMYFUNCTION("""COMPUTED_VALUE"""),2.0)</f>
        <v>2</v>
      </c>
      <c r="J166">
        <f>IFERROR(__xludf.DUMMYFUNCTION("""COMPUTED_VALUE"""),1.0)</f>
        <v>1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IFERROR(__xludf.DUMMYFUNCTION("""COMPUTED_VALUE"""),1.0)</f>
        <v>1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IFERROR(__xludf.DUMMYFUNCTION("""COMPUTED_VALUE"""),3.0)</f>
        <v>3</v>
      </c>
      <c r="I167">
        <f>IFERROR(__xludf.DUMMYFUNCTION("""COMPUTED_VALUE"""),1.0)</f>
        <v>1</v>
      </c>
      <c r="J167">
        <f>IFERROR(__xludf.DUMMYFUNCTION("""COMPUTED_VALUE"""),1.0)</f>
        <v>1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IFERROR(__xludf.DUMMYFUNCTION("""COMPUTED_VALUE"""),105.0)</f>
        <v>105</v>
      </c>
      <c r="C168">
        <f>IFERROR(__xludf.DUMMYFUNCTION("""COMPUTED_VALUE"""),40.0)</f>
        <v>40</v>
      </c>
      <c r="D168">
        <f>IFERROR(__xludf.DUMMYFUNCTION("""COMPUTED_VALUE"""),0.0)</f>
        <v>0</v>
      </c>
      <c r="E168">
        <f>IFERROR(__xludf.DUMMYFUNCTION("""COMPUTED_VALUE"""),15.0)</f>
        <v>15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IFERROR(__xludf.DUMMYFUNCTION("""COMPUTED_VALUE"""),-5.0)</f>
        <v>-5</v>
      </c>
      <c r="I168">
        <f>IFERROR(__xludf.DUMMYFUNCTION("""COMPUTED_VALUE"""),30.0)</f>
        <v>30</v>
      </c>
      <c r="J168">
        <f>IFERROR(__xludf.DUMMYFUNCTION("""COMPUTED_VALUE"""),5.0)</f>
        <v>5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3!W1"")"),"Question: 21")</f>
        <v>Question: 21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3!C1:H3""),IMPORTRANGE(""1xRz0po-ejgp-QRvMkY44z3u2CePgTccasdyrrVALbmE"",""Round 3!M1:R3"")}"),"Team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3!I32""))"),"A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3!S32""))"),"B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3!C32:H36""),IMPORTRANGE(""1xRz0po-ejgp-QRvMkY44z3u2CePgTccasdyrrVALbmE"",""Round 3!M32:R36"")}"),20.0)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3!W1"")"),"Question: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4!C1:H3""),IMPORTRANGE(""1JXwZ4AjXctyKvWy9qFKCX518NRYJYhSX9Jii0HPBCUs"",""Round 4!M1:R3"")}"),"Team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4!I32""))"),"A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4!S32""))"),"B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4!C32:H36""),IMPORTRANGE(""1JXwZ4AjXctyKvWy9qFKCX518NRYJYhSX9Jii0HPBCUs"",""Round 4!M32:R36"")}"),20.0)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4!W1"")"),"Question: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4!C1:H3""),IMPORTRANGE(""1GBDUn_ZojNLX5OJCVBEhvJbdm0c55Z7lPcE4L6WH89o"",""Round 4!M1:R3"")}"),"Team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4!I32""))"),"A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4!S32""))"),"B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4!C32:H36""),IMPORTRANGE(""1GBDUn_ZojNLX5OJCVBEhvJbdm0c55Z7lPcE4L6WH89o"",""Round 4!M32:R36"")}"),20.0)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4!W1"")"),"Question: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4!C1:H3""),IMPORTRANGE(""19Dum1qlL_dEwf1AEniLf02Eg9XaNXi1GMkI5M4_Ei6w"",""Round 4!M1:R3"")}"),"Team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4!I32""))"),"A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4!S32""))"),"B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4!C32:H36""),IMPORTRANGE(""19Dum1qlL_dEwf1AEniLf02Eg9XaNXi1GMkI5M4_Ei6w"",""Round 4!M32:R36"")}"),20.0)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4!W1"")"),"Question: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4!C1:H3""),IMPORTRANGE(""18KjuM_F6goZYnozVb7folIb5Hw_mfKQrNdVWKGx6j4s"",""Round 4!M1:R3"")}"),"La Serna B (JV)")</f>
        <v>La Serna B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IFERROR(__xludf.DUMMYFUNCTION("""COMPUTED_VALUE"""),"Troy B (JV)")</f>
        <v>Troy B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4!I32""))"),"A BP: 60")</f>
        <v>A BP: 60</v>
      </c>
      <c r="B32" t="str">
        <f>IFERROR(__xludf.DUMMYFUNCTION("""COMPUTED_VALUE"""),"Score: 115")</f>
        <v>Score: 115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260")</f>
        <v>Score: 260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4!S32""))"),"B BP: 150")</f>
        <v>B BP: 150</v>
      </c>
      <c r="B33" t="str">
        <f>IFERROR(__xludf.DUMMYFUNCTION("""COMPUTED_VALUE"""),"Colin Twisselmann (10)")</f>
        <v>Colin Twisselmann (10)</v>
      </c>
      <c r="C33" t="str">
        <f>IFERROR(__xludf.DUMMYFUNCTION("""COMPUTED_VALUE"""),"Jerred Casillas (12)")</f>
        <v>Jerred Casillas (12)</v>
      </c>
      <c r="D33" t="str">
        <f>IFERROR(__xludf.DUMMYFUNCTION("""COMPUTED_VALUE"""),"Liz Carrasco (12)")</f>
        <v>Liz Carrasco (12)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IFERROR(__xludf.DUMMYFUNCTION("""COMPUTED_VALUE"""),"Juan Manalo (11)")</f>
        <v>Juan Manalo (11)</v>
      </c>
      <c r="I33" t="str">
        <f>IFERROR(__xludf.DUMMYFUNCTION("""COMPUTED_VALUE"""),"Ryan Salehi (11)")</f>
        <v>Ryan Salehi (11)</v>
      </c>
      <c r="J33" t="str">
        <f>IFERROR(__xludf.DUMMYFUNCTION("""COMPUTED_VALUE"""),"Luke Waldo (11)")</f>
        <v>Luke Waldo (11)</v>
      </c>
      <c r="K33" t="str">
        <f>IFERROR(__xludf.DUMMYFUNCTION("""COMPUTED_VALUE"""),"Player 4")</f>
        <v>Player 4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4!C32:H36""),IMPORTRANGE(""18KjuM_F6goZYnozVb7folIb5Hw_mfKQrNdVWKGx6j4s"",""Round 4!M32:R36"")}"),20.0)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IFERROR(__xludf.DUMMYFUNCTION("""COMPUTED_VALUE"""),1.0)</f>
        <v>1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IFERROR(__xludf.DUMMYFUNCTION("""COMPUTED_VALUE"""),1.0)</f>
        <v>1</v>
      </c>
      <c r="J35">
        <f>IFERROR(__xludf.DUMMYFUNCTION("""COMPUTED_VALUE"""),1.0)</f>
        <v>1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IFERROR(__xludf.DUMMYFUNCTION("""COMPUTED_VALUE"""),1.0)</f>
        <v>1</v>
      </c>
      <c r="C36">
        <f>IFERROR(__xludf.DUMMYFUNCTION("""COMPUTED_VALUE"""),1.0)</f>
        <v>1</v>
      </c>
      <c r="D36">
        <f>IFERROR(__xludf.DUMMYFUNCTION("""COMPUTED_VALUE"""),3.0)</f>
        <v>3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IFERROR(__xludf.DUMMYFUNCTION("""COMPUTED_VALUE"""),6.0)</f>
        <v>6</v>
      </c>
      <c r="I36">
        <f>IFERROR(__xludf.DUMMYFUNCTION("""COMPUTED_VALUE"""),0.0)</f>
        <v>0</v>
      </c>
      <c r="J36">
        <f>IFERROR(__xludf.DUMMYFUNCTION("""COMPUTED_VALUE"""),3.0)</f>
        <v>3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IFERROR(__xludf.DUMMYFUNCTION("""COMPUTED_VALUE"""),1.0)</f>
        <v>1</v>
      </c>
      <c r="C37">
        <f>IFERROR(__xludf.DUMMYFUNCTION("""COMPUTED_VALUE"""),0.0)</f>
        <v>0</v>
      </c>
      <c r="D37">
        <f>IFERROR(__xludf.DUMMYFUNCTION("""COMPUTED_VALUE"""),1.0)</f>
        <v>1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IFERROR(__xludf.DUMMYFUNCTION("""COMPUTED_VALUE"""),1.0)</f>
        <v>1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IFERROR(__xludf.DUMMYFUNCTION("""COMPUTED_VALUE"""),20.0)</f>
        <v>20</v>
      </c>
      <c r="C38">
        <f>IFERROR(__xludf.DUMMYFUNCTION("""COMPUTED_VALUE"""),10.0)</f>
        <v>10</v>
      </c>
      <c r="D38">
        <f>IFERROR(__xludf.DUMMYFUNCTION("""COMPUTED_VALUE"""),25.0)</f>
        <v>25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IFERROR(__xludf.DUMMYFUNCTION("""COMPUTED_VALUE"""),55.0)</f>
        <v>55</v>
      </c>
      <c r="I38">
        <f>IFERROR(__xludf.DUMMYFUNCTION("""COMPUTED_VALUE"""),10.0)</f>
        <v>10</v>
      </c>
      <c r="J38">
        <f>IFERROR(__xludf.DUMMYFUNCTION("""COMPUTED_VALUE"""),45.0)</f>
        <v>45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4!W1"")"),"Question: 21")</f>
        <v>Question: 21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4!C1:H3""),IMPORTRANGE(""1_YEY20HiFjspjicPICCMlL_lQXsksdB6d3m5vzHwuOI"",""Round 4!M1:R3"")}"),"Scripps Ranch B (JV)")</f>
        <v>Scripps Ranch B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IFERROR(__xludf.DUMMYFUNCTION("""COMPUTED_VALUE"""),"Valley Center (JV)")</f>
        <v>Valley Center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4!I32""))"),"A BP: 130")</f>
        <v>A BP: 130</v>
      </c>
      <c r="B42" t="str">
        <f>IFERROR(__xludf.DUMMYFUNCTION("""COMPUTED_VALUE"""),"Score: 235")</f>
        <v>Score: 235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140")</f>
        <v>Score: 140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4!S32""))"),"B BP: 70")</f>
        <v>B BP: 70</v>
      </c>
      <c r="B43" t="str">
        <f>IFERROR(__xludf.DUMMYFUNCTION("""COMPUTED_VALUE"""),"Lawrence Lo (9)")</f>
        <v>Lawrence Lo (9)</v>
      </c>
      <c r="C43" t="str">
        <f>IFERROR(__xludf.DUMMYFUNCTION("""COMPUTED_VALUE"""),"Sam Wu (9)")</f>
        <v>Sam Wu (9)</v>
      </c>
      <c r="D43" t="str">
        <f>IFERROR(__xludf.DUMMYFUNCTION("""COMPUTED_VALUE"""),"Tristan Thai (9)")</f>
        <v>Tristan Thai (9)</v>
      </c>
      <c r="E43" t="str">
        <f>IFERROR(__xludf.DUMMYFUNCTION("""COMPUTED_VALUE"""),"Shabdika Gubba (9)")</f>
        <v>Shabdika Gubba (9)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IFERROR(__xludf.DUMMYFUNCTION("""COMPUTED_VALUE"""),"Ava Downey (12)")</f>
        <v>Ava Downey (12)</v>
      </c>
      <c r="I43" t="str">
        <f>IFERROR(__xludf.DUMMYFUNCTION("""COMPUTED_VALUE"""),"Mehreen Sing (12)")</f>
        <v>Mehreen Sing (12)</v>
      </c>
      <c r="J43" t="str">
        <f>IFERROR(__xludf.DUMMYFUNCTION("""COMPUTED_VALUE"""),"Aaron Martinez (11)")</f>
        <v>Aaron Martinez (11)</v>
      </c>
      <c r="K43" t="str">
        <f>IFERROR(__xludf.DUMMYFUNCTION("""COMPUTED_VALUE"""),"Leon Thigh (11)")</f>
        <v>Leon Thigh (11)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4!C32:H36""),IMPORTRANGE(""1_YEY20HiFjspjicPICCMlL_lQXsksdB6d3m5vzHwuOI"",""Round 4!M32:R36"")}"),20.0)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IFERROR(__xludf.DUMMYFUNCTION("""COMPUTED_VALUE"""),2.0)</f>
        <v>2</v>
      </c>
      <c r="C45">
        <f>IFERROR(__xludf.DUMMYFUNCTION("""COMPUTED_VALUE"""),1.0)</f>
        <v>1</v>
      </c>
      <c r="D45">
        <f>IFERROR(__xludf.DUMMYFUNCTION("""COMPUTED_VALUE"""),0.0)</f>
        <v>0</v>
      </c>
      <c r="E45">
        <f>IFERROR(__xludf.DUMMYFUNCTION("""COMPUTED_VALUE"""),1.0)</f>
        <v>1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IFERROR(__xludf.DUMMYFUNCTION("""COMPUTED_VALUE"""),1.0)</f>
        <v>1</v>
      </c>
      <c r="I45">
        <f>IFERROR(__xludf.DUMMYFUNCTION("""COMPUTED_VALUE"""),0.0)</f>
        <v>0</v>
      </c>
      <c r="J45">
        <f>IFERROR(__xludf.DUMMYFUNCTION("""COMPUTED_VALUE"""),1.0)</f>
        <v>1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IFERROR(__xludf.DUMMYFUNCTION("""COMPUTED_VALUE"""),3.0)</f>
        <v>3</v>
      </c>
      <c r="C46">
        <f>IFERROR(__xludf.DUMMYFUNCTION("""COMPUTED_VALUE"""),1.0)</f>
        <v>1</v>
      </c>
      <c r="D46">
        <f>IFERROR(__xludf.DUMMYFUNCTION("""COMPUTED_VALUE"""),0.0)</f>
        <v>0</v>
      </c>
      <c r="E46">
        <f>IFERROR(__xludf.DUMMYFUNCTION("""COMPUTED_VALUE"""),1.0)</f>
        <v>1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IFERROR(__xludf.DUMMYFUNCTION("""COMPUTED_VALUE"""),2.0)</f>
        <v>2</v>
      </c>
      <c r="I46">
        <f>IFERROR(__xludf.DUMMYFUNCTION("""COMPUTED_VALUE"""),0.0)</f>
        <v>0</v>
      </c>
      <c r="J46">
        <f>IFERROR(__xludf.DUMMYFUNCTION("""COMPUTED_VALUE"""),3.0)</f>
        <v>3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IFERROR(__xludf.DUMMYFUNCTION("""COMPUTED_VALUE"""),1.0)</f>
        <v>1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IFERROR(__xludf.DUMMYFUNCTION("""COMPUTED_VALUE"""),2.0)</f>
        <v>2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IFERROR(__xludf.DUMMYFUNCTION("""COMPUTED_VALUE"""),55.0)</f>
        <v>55</v>
      </c>
      <c r="C48">
        <f>IFERROR(__xludf.DUMMYFUNCTION("""COMPUTED_VALUE"""),25.0)</f>
        <v>25</v>
      </c>
      <c r="D48">
        <f>IFERROR(__xludf.DUMMYFUNCTION("""COMPUTED_VALUE"""),0.0)</f>
        <v>0</v>
      </c>
      <c r="E48">
        <f>IFERROR(__xludf.DUMMYFUNCTION("""COMPUTED_VALUE"""),25.0)</f>
        <v>25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IFERROR(__xludf.DUMMYFUNCTION("""COMPUTED_VALUE"""),25.0)</f>
        <v>25</v>
      </c>
      <c r="I48">
        <f>IFERROR(__xludf.DUMMYFUNCTION("""COMPUTED_VALUE"""),0.0)</f>
        <v>0</v>
      </c>
      <c r="J48">
        <f>IFERROR(__xludf.DUMMYFUNCTION("""COMPUTED_VALUE"""),45.0)</f>
        <v>45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4!W1"")"),"Question: 21")</f>
        <v>Question: 21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4!C1:H3""),IMPORTRANGE(""1SYS5Ef48991ZUgqcGqj51eX2YgqKCzfrEZ_pUY01Lwo"",""Round 4!M1:R3"")}"),"Oak Valley C (JV)")</f>
        <v>Oak Valley C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IFERROR(__xludf.DUMMYFUNCTION("""COMPUTED_VALUE"""),"Oak Valley B (JV)")</f>
        <v>Oak Valley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4!I32""))"),"A BP: 60")</f>
        <v>A BP: 60</v>
      </c>
      <c r="B52" t="str">
        <f>IFERROR(__xludf.DUMMYFUNCTION("""COMPUTED_VALUE"""),"Score: 120")</f>
        <v>Score: 120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260")</f>
        <v>Score: 260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4!S32""))"),"B BP: 160")</f>
        <v>B BP: 160</v>
      </c>
      <c r="B53" t="str">
        <f>IFERROR(__xludf.DUMMYFUNCTION("""COMPUTED_VALUE"""),"Tay Kim (7)")</f>
        <v>Tay Kim (7)</v>
      </c>
      <c r="C53" t="str">
        <f>IFERROR(__xludf.DUMMYFUNCTION("""COMPUTED_VALUE"""),"Saanvi Agarwal (6)")</f>
        <v>Saanvi Agarwal (6)</v>
      </c>
      <c r="D53" t="str">
        <f>IFERROR(__xludf.DUMMYFUNCTION("""COMPUTED_VALUE"""),"Sarah Feng (6)")</f>
        <v>Sarah Feng (6)</v>
      </c>
      <c r="E53" t="str">
        <f>IFERROR(__xludf.DUMMYFUNCTION("""COMPUTED_VALUE"""),"Chinmay Ramamurthy (7)")</f>
        <v>Chinmay Ramamurthy (7)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IFERROR(__xludf.DUMMYFUNCTION("""COMPUTED_VALUE"""),"Rohan Gaikwad (8)")</f>
        <v>Rohan Gaikwad (8)</v>
      </c>
      <c r="I53" t="str">
        <f>IFERROR(__xludf.DUMMYFUNCTION("""COMPUTED_VALUE"""),"John Bruvold (8)")</f>
        <v>John Bruvold (8)</v>
      </c>
      <c r="J53" t="str">
        <f>IFERROR(__xludf.DUMMYFUNCTION("""COMPUTED_VALUE"""),"Amina Aslam-Mir (7)")</f>
        <v>Amina Aslam-Mir (7)</v>
      </c>
      <c r="K53" t="str">
        <f>IFERROR(__xludf.DUMMYFUNCTION("""COMPUTED_VALUE"""),"Ethan Huang (7)")</f>
        <v>Ethan Huang (7)</v>
      </c>
      <c r="L53" t="str">
        <f>IFERROR(__xludf.DUMMYFUNCTION("""COMPUTED_VALUE"""),"Aditi Bandaru (7)")</f>
        <v>Aditi Bandaru (7)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4!C32:H36""),IMPORTRANGE(""1SYS5Ef48991ZUgqcGqj51eX2YgqKCzfrEZ_pUY01Lwo"",""Round 4!M32:R36"")}"),20.0)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IFERROR(__xludf.DUMMYFUNCTION("""COMPUTED_VALUE"""),10.0)</f>
        <v>10</v>
      </c>
      <c r="L54">
        <f>IFERROR(__xludf.DUMMYFUNCTION("""COMPUTED_VALUE"""),10.0)</f>
        <v>10</v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IFERROR(__xludf.DUMMYFUNCTION("""COMPUTED_VALUE"""),1.0)</f>
        <v>1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IFERROR(__xludf.DUMMYFUNCTION("""COMPUTED_VALUE"""),1.0)</f>
        <v>1</v>
      </c>
      <c r="J55">
        <f>IFERROR(__xludf.DUMMYFUNCTION("""COMPUTED_VALUE"""),1.0)</f>
        <v>1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IFERROR(__xludf.DUMMYFUNCTION("""COMPUTED_VALUE"""),1.0)</f>
        <v>1</v>
      </c>
      <c r="C56">
        <f>IFERROR(__xludf.DUMMYFUNCTION("""COMPUTED_VALUE"""),1.0)</f>
        <v>1</v>
      </c>
      <c r="D56">
        <f>IFERROR(__xludf.DUMMYFUNCTION("""COMPUTED_VALUE"""),0.0)</f>
        <v>0</v>
      </c>
      <c r="E56">
        <f>IFERROR(__xludf.DUMMYFUNCTION("""COMPUTED_VALUE"""),3.0)</f>
        <v>3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IFERROR(__xludf.DUMMYFUNCTION("""COMPUTED_VALUE"""),5.0)</f>
        <v>5</v>
      </c>
      <c r="I56">
        <f>IFERROR(__xludf.DUMMYFUNCTION("""COMPUTED_VALUE"""),2.0)</f>
        <v>2</v>
      </c>
      <c r="J56">
        <f>IFERROR(__xludf.DUMMYFUNCTION("""COMPUTED_VALUE"""),1.0)</f>
        <v>1</v>
      </c>
      <c r="K56">
        <f>IFERROR(__xludf.DUMMYFUNCTION("""COMPUTED_VALUE"""),1.0)</f>
        <v>1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IFERROR(__xludf.DUMMYFUNCTION("""COMPUTED_VALUE"""),1.0)</f>
        <v>1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IFERROR(__xludf.DUMMYFUNCTION("""COMPUTED_VALUE"""),2.0)</f>
        <v>2</v>
      </c>
      <c r="I57">
        <f>IFERROR(__xludf.DUMMYFUNCTION("""COMPUTED_VALUE"""),0.0)</f>
        <v>0</v>
      </c>
      <c r="J57">
        <f>IFERROR(__xludf.DUMMYFUNCTION("""COMPUTED_VALUE"""),2.0)</f>
        <v>2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IFERROR(__xludf.DUMMYFUNCTION("""COMPUTED_VALUE"""),10.0)</f>
        <v>10</v>
      </c>
      <c r="C58">
        <f>IFERROR(__xludf.DUMMYFUNCTION("""COMPUTED_VALUE"""),10.0)</f>
        <v>10</v>
      </c>
      <c r="D58">
        <f>IFERROR(__xludf.DUMMYFUNCTION("""COMPUTED_VALUE"""),0.0)</f>
        <v>0</v>
      </c>
      <c r="E58">
        <f>IFERROR(__xludf.DUMMYFUNCTION("""COMPUTED_VALUE"""),40.0)</f>
        <v>40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IFERROR(__xludf.DUMMYFUNCTION("""COMPUTED_VALUE"""),40.0)</f>
        <v>40</v>
      </c>
      <c r="I58">
        <f>IFERROR(__xludf.DUMMYFUNCTION("""COMPUTED_VALUE"""),35.0)</f>
        <v>35</v>
      </c>
      <c r="J58">
        <f>IFERROR(__xludf.DUMMYFUNCTION("""COMPUTED_VALUE"""),15.0)</f>
        <v>15</v>
      </c>
      <c r="K58">
        <f>IFERROR(__xludf.DUMMYFUNCTION("""COMPUTED_VALUE"""),10.0)</f>
        <v>10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4!W1"")"),"Question: 21")</f>
        <v>Question: 21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4!C1:H3""),IMPORTRANGE(""1UJlRLlhI2Hg_SAQqQOg0JGdwHhiagF7EVAtCX8UOYFc"",""Round 4!M1:R3"")}"),"La Serna A (JV)")</f>
        <v>La Serna A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IFERROR(__xludf.DUMMYFUNCTION("""COMPUTED_VALUE"""),"Black Mountain B (JV)")</f>
        <v>Black Mountain B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4!I32""))"),"A BP: 200")</f>
        <v>A BP: 200</v>
      </c>
      <c r="B62" t="str">
        <f>IFERROR(__xludf.DUMMYFUNCTION("""COMPUTED_VALUE"""),"Score: 345")</f>
        <v>Score: 345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90")</f>
        <v>Score: 90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4!S32""))"),"B BP: 60")</f>
        <v>B BP: 60</v>
      </c>
      <c r="B63" t="str">
        <f>IFERROR(__xludf.DUMMYFUNCTION("""COMPUTED_VALUE"""),"Cole Aedo (12)")</f>
        <v>Cole Aedo (12)</v>
      </c>
      <c r="C63" t="str">
        <f>IFERROR(__xludf.DUMMYFUNCTION("""COMPUTED_VALUE"""),"Jay Gamez (12)")</f>
        <v>Jay Gamez (12)</v>
      </c>
      <c r="D63" t="str">
        <f>IFERROR(__xludf.DUMMYFUNCTION("""COMPUTED_VALUE"""),"Ian Brennan (12)")</f>
        <v>Ian Brennan (12)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IFERROR(__xludf.DUMMYFUNCTION("""COMPUTED_VALUE"""),"Anay Sabhnani (7)")</f>
        <v>Anay Sabhnani (7)</v>
      </c>
      <c r="I63" t="str">
        <f>IFERROR(__xludf.DUMMYFUNCTION("""COMPUTED_VALUE"""),"Pranay Kulkarni (7)")</f>
        <v>Pranay Kulkarni (7)</v>
      </c>
      <c r="J63" t="str">
        <f>IFERROR(__xludf.DUMMYFUNCTION("""COMPUTED_VALUE"""),"Lauren Yung (8)")</f>
        <v>Lauren Yung (8)</v>
      </c>
      <c r="K63" t="str">
        <f>IFERROR(__xludf.DUMMYFUNCTION("""COMPUTED_VALUE"""),"Raina Chatterjee (7)")</f>
        <v>Raina Chatterjee (7)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4!C32:H36""),IMPORTRANGE(""1UJlRLlhI2Hg_SAQqQOg0JGdwHhiagF7EVAtCX8UOYFc"",""Round 4!M32:R36"")}"),20.0)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IFERROR(__xludf.DUMMYFUNCTION("""COMPUTED_VALUE"""),4.0)</f>
        <v>4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IFERROR(__xludf.DUMMYFUNCTION("""COMPUTED_VALUE"""),1.0)</f>
        <v>1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IFERROR(__xludf.DUMMYFUNCTION("""COMPUTED_VALUE"""),3.0)</f>
        <v>3</v>
      </c>
      <c r="C66">
        <f>IFERROR(__xludf.DUMMYFUNCTION("""COMPUTED_VALUE"""),0.0)</f>
        <v>0</v>
      </c>
      <c r="D66">
        <f>IFERROR(__xludf.DUMMYFUNCTION("""COMPUTED_VALUE"""),6.0)</f>
        <v>6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IFERROR(__xludf.DUMMYFUNCTION("""COMPUTED_VALUE"""),2.0)</f>
        <v>2</v>
      </c>
      <c r="I66">
        <f>IFERROR(__xludf.DUMMYFUNCTION("""COMPUTED_VALUE"""),1.0)</f>
        <v>1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IFERROR(__xludf.DUMMYFUNCTION("""COMPUTED_VALUE"""),1.0)</f>
        <v>1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IFERROR(__xludf.DUMMYFUNCTION("""COMPUTED_VALUE"""),1.0)</f>
        <v>1</v>
      </c>
      <c r="I67">
        <f>IFERROR(__xludf.DUMMYFUNCTION("""COMPUTED_VALUE"""),2.0)</f>
        <v>2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IFERROR(__xludf.DUMMYFUNCTION("""COMPUTED_VALUE"""),85.0)</f>
        <v>85</v>
      </c>
      <c r="C68">
        <f>IFERROR(__xludf.DUMMYFUNCTION("""COMPUTED_VALUE"""),0.0)</f>
        <v>0</v>
      </c>
      <c r="D68">
        <f>IFERROR(__xludf.DUMMYFUNCTION("""COMPUTED_VALUE"""),60.0)</f>
        <v>60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IFERROR(__xludf.DUMMYFUNCTION("""COMPUTED_VALUE"""),30.0)</f>
        <v>30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4!W1"")"),"Question: 21")</f>
        <v>Question: 21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4!C1:H3""),IMPORTRANGE(""1jA96n0qbauznSt6-hkr51AslpxJqfrWgkafVtMV8_xU"",""Round 4!M1:R3"")}"),"Black Mountain A (JV)")</f>
        <v>Black Mountain A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IFERROR(__xludf.DUMMYFUNCTION("""COMPUTED_VALUE"""),"Rancho Bernardo (JV)")</f>
        <v>Rancho Bernardo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4!I32""))"),"A BP: 150")</f>
        <v>A BP: 150</v>
      </c>
      <c r="B72" t="str">
        <f>IFERROR(__xludf.DUMMYFUNCTION("""COMPUTED_VALUE"""),"Score: 280")</f>
        <v>Score: 280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200")</f>
        <v>Score: 200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4!S32""))"),"B BP: 120")</f>
        <v>B BP: 120</v>
      </c>
      <c r="B73" t="str">
        <f>IFERROR(__xludf.DUMMYFUNCTION("""COMPUTED_VALUE"""),"Tanvi Bhide (7)")</f>
        <v>Tanvi Bhide (7)</v>
      </c>
      <c r="C73" t="str">
        <f>IFERROR(__xludf.DUMMYFUNCTION("""COMPUTED_VALUE"""),"Edwin Chang (8)")</f>
        <v>Edwin Chang (8)</v>
      </c>
      <c r="D73" t="str">
        <f>IFERROR(__xludf.DUMMYFUNCTION("""COMPUTED_VALUE"""),"Anvit Watwani (7)")</f>
        <v>Anvit Watwani (7)</v>
      </c>
      <c r="E73" t="str">
        <f>IFERROR(__xludf.DUMMYFUNCTION("""COMPUTED_VALUE"""),"Adarsh Venkateswaran (8)")</f>
        <v>Adarsh Venkateswaran (8)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IFERROR(__xludf.DUMMYFUNCTION("""COMPUTED_VALUE"""),"YungYi Sun (12)")</f>
        <v>YungYi Sun (12)</v>
      </c>
      <c r="I73" t="str">
        <f>IFERROR(__xludf.DUMMYFUNCTION("""COMPUTED_VALUE"""),"Katheryn Garrett (11)")</f>
        <v>Katheryn Garrett (11)</v>
      </c>
      <c r="J73" t="str">
        <f>IFERROR(__xludf.DUMMYFUNCTION("""COMPUTED_VALUE"""),"Patrick Joyce (11)")</f>
        <v>Patrick Joyce (11)</v>
      </c>
      <c r="K73" t="str">
        <f>IFERROR(__xludf.DUMMYFUNCTION("""COMPUTED_VALUE"""),"Sandy Tran (12)")</f>
        <v>Sandy Tran (12)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4!C32:H36""),IMPORTRANGE(""1jA96n0qbauznSt6-hkr51AslpxJqfrWgkafVtMV8_xU"",""Round 4!M32:R36"")}"),20.0)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IFERROR(__xludf.DUMMYFUNCTION("""COMPUTED_VALUE"""),2.0)</f>
        <v>2</v>
      </c>
      <c r="C75">
        <f>IFERROR(__xludf.DUMMYFUNCTION("""COMPUTED_VALUE"""),1.0)</f>
        <v>1</v>
      </c>
      <c r="D75">
        <f>IFERROR(__xludf.DUMMYFUNCTION("""COMPUTED_VALUE"""),1.0)</f>
        <v>1</v>
      </c>
      <c r="E75">
        <f>IFERROR(__xludf.DUMMYFUNCTION("""COMPUTED_VALUE"""),1.0)</f>
        <v>1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IFERROR(__xludf.DUMMYFUNCTION("""COMPUTED_VALUE"""),4.0)</f>
        <v>4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IFERROR(__xludf.DUMMYFUNCTION("""COMPUTED_VALUE"""),0.0)</f>
        <v>0</v>
      </c>
      <c r="C76">
        <f>IFERROR(__xludf.DUMMYFUNCTION("""COMPUTED_VALUE"""),2.0)</f>
        <v>2</v>
      </c>
      <c r="D76">
        <f>IFERROR(__xludf.DUMMYFUNCTION("""COMPUTED_VALUE"""),2.0)</f>
        <v>2</v>
      </c>
      <c r="E76">
        <f>IFERROR(__xludf.DUMMYFUNCTION("""COMPUTED_VALUE"""),2.0)</f>
        <v>2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IFERROR(__xludf.DUMMYFUNCTION("""COMPUTED_VALUE"""),1.0)</f>
        <v>1</v>
      </c>
      <c r="J76">
        <f>IFERROR(__xludf.DUMMYFUNCTION("""COMPUTED_VALUE"""),1.0)</f>
        <v>1</v>
      </c>
      <c r="K76">
        <f>IFERROR(__xludf.DUMMYFUNCTION("""COMPUTED_VALUE"""),1.0)</f>
        <v>1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IFERROR(__xludf.DUMMYFUNCTION("""COMPUTED_VALUE"""),1.0)</f>
        <v>1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IFERROR(__xludf.DUMMYFUNCTION("""COMPUTED_VALUE"""),2.0)</f>
        <v>2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IFERROR(__xludf.DUMMYFUNCTION("""COMPUTED_VALUE"""),30.0)</f>
        <v>30</v>
      </c>
      <c r="C78">
        <f>IFERROR(__xludf.DUMMYFUNCTION("""COMPUTED_VALUE"""),35.0)</f>
        <v>35</v>
      </c>
      <c r="D78">
        <f>IFERROR(__xludf.DUMMYFUNCTION("""COMPUTED_VALUE"""),30.0)</f>
        <v>30</v>
      </c>
      <c r="E78">
        <f>IFERROR(__xludf.DUMMYFUNCTION("""COMPUTED_VALUE"""),35.0)</f>
        <v>35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IFERROR(__xludf.DUMMYFUNCTION("""COMPUTED_VALUE"""),10.0)</f>
        <v>10</v>
      </c>
      <c r="J78">
        <f>IFERROR(__xludf.DUMMYFUNCTION("""COMPUTED_VALUE"""),10.0)</f>
        <v>10</v>
      </c>
      <c r="K78">
        <f>IFERROR(__xludf.DUMMYFUNCTION("""COMPUTED_VALUE"""),60.0)</f>
        <v>60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4!W1"")"),"Question: 21")</f>
        <v>Question: 21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4!C1:H3""),IMPORTRANGE(""1xw1EOjVhrK1PNJfOYiUsuJNrlpV53SmfJxYsFFolQ3s"",""Round 4!M1:R3"")}"),"Westview C (JV)")</f>
        <v>Westview C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IFERROR(__xludf.DUMMYFUNCTION("""COMPUTED_VALUE"""),"Del Norte (JV)")</f>
        <v>Del Norte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4!I32""))"),"A BP: 170")</f>
        <v>A BP: 170</v>
      </c>
      <c r="B82" t="str">
        <f>IFERROR(__xludf.DUMMYFUNCTION("""COMPUTED_VALUE"""),"Score: 285")</f>
        <v>Score: 285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155")</f>
        <v>Score: 155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4!S32""))"),"B BP: 90")</f>
        <v>B BP: 90</v>
      </c>
      <c r="B83" t="str">
        <f>IFERROR(__xludf.DUMMYFUNCTION("""COMPUTED_VALUE"""),"Rohan Kumar (11)")</f>
        <v>Rohan Kumar (11)</v>
      </c>
      <c r="C83" t="str">
        <f>IFERROR(__xludf.DUMMYFUNCTION("""COMPUTED_VALUE"""),"Aiken Wang (9)")</f>
        <v>Aiken Wang (9)</v>
      </c>
      <c r="D83" t="str">
        <f>IFERROR(__xludf.DUMMYFUNCTION("""COMPUTED_VALUE"""),"Radhika Sreelal (10)")</f>
        <v>Radhika Sreelal (10)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IFERROR(__xludf.DUMMYFUNCTION("""COMPUTED_VALUE"""),"Kinish Sathish (9)")</f>
        <v>Kinish Sathish (9)</v>
      </c>
      <c r="I83" t="str">
        <f>IFERROR(__xludf.DUMMYFUNCTION("""COMPUTED_VALUE"""),"Kyle Nagasawa (11)")</f>
        <v>Kyle Nagasawa (11)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4!C32:H36""),IMPORTRANGE(""1xw1EOjVhrK1PNJfOYiUsuJNrlpV53SmfJxYsFFolQ3s"",""Round 4!M32:R36"")}"),20.0)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IFERROR(__xludf.DUMMYFUNCTION("""COMPUTED_VALUE"""),1.0)</f>
        <v>1</v>
      </c>
      <c r="C85">
        <f>IFERROR(__xludf.DUMMYFUNCTION("""COMPUTED_VALUE"""),2.0)</f>
        <v>2</v>
      </c>
      <c r="D85">
        <f>IFERROR(__xludf.DUMMYFUNCTION("""COMPUTED_VALUE"""),1.0)</f>
        <v>1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IFERROR(__xludf.DUMMYFUNCTION("""COMPUTED_VALUE"""),2.0)</f>
        <v>2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IFERROR(__xludf.DUMMYFUNCTION("""COMPUTED_VALUE"""),6.0)</f>
        <v>6</v>
      </c>
      <c r="C86">
        <f>IFERROR(__xludf.DUMMYFUNCTION("""COMPUTED_VALUE"""),1.0)</f>
        <v>1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IFERROR(__xludf.DUMMYFUNCTION("""COMPUTED_VALUE"""),2.0)</f>
        <v>2</v>
      </c>
      <c r="I86">
        <f>IFERROR(__xludf.DUMMYFUNCTION("""COMPUTED_VALUE"""),2.0)</f>
        <v>2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IFERROR(__xludf.DUMMYFUNCTION("""COMPUTED_VALUE"""),1.0)</f>
        <v>1</v>
      </c>
      <c r="C87">
        <f>IFERROR(__xludf.DUMMYFUNCTION("""COMPUTED_VALUE"""),1.0)</f>
        <v>1</v>
      </c>
      <c r="D87">
        <f>IFERROR(__xludf.DUMMYFUNCTION("""COMPUTED_VALUE"""),1.0)</f>
        <v>1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IFERROR(__xludf.DUMMYFUNCTION("""COMPUTED_VALUE"""),1.0)</f>
        <v>1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IFERROR(__xludf.DUMMYFUNCTION("""COMPUTED_VALUE"""),70.0)</f>
        <v>70</v>
      </c>
      <c r="C88">
        <f>IFERROR(__xludf.DUMMYFUNCTION("""COMPUTED_VALUE"""),35.0)</f>
        <v>35</v>
      </c>
      <c r="D88">
        <f>IFERROR(__xludf.DUMMYFUNCTION("""COMPUTED_VALUE"""),10.0)</f>
        <v>10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IFERROR(__xludf.DUMMYFUNCTION("""COMPUTED_VALUE"""),15.0)</f>
        <v>15</v>
      </c>
      <c r="I88">
        <f>IFERROR(__xludf.DUMMYFUNCTION("""COMPUTED_VALUE"""),50.0)</f>
        <v>50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4!W1"")"),"Question: 21")</f>
        <v>Question: 21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4!C1:H3""),IMPORTRANGE(""15wOrdFuJAb1a4MoX5CG4apiBD2jUJ7mBu58Uk-8Mo7s"",""Round 4!M1:R3"")}"),"Team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4!I32""))"),"A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4!S32""))"),"B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4!C32:H36""),IMPORTRANGE(""15wOrdFuJAb1a4MoX5CG4apiBD2jUJ7mBu58Uk-8Mo7s"",""Round 4!M32:R36"")}"),20.0)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4!W1"")"),"Question: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4!C1:H3""),IMPORTRANGE(""1GfJqS1rsy-VutTmPVnm9E2VdinIG-GnQO5b3bhaiX1s"",""Round 4!M1:R3"")}"),"Team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4!I32""))"),"A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4!S32""))"),"B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4!C32:H36""),IMPORTRANGE(""1GfJqS1rsy-VutTmPVnm9E2VdinIG-GnQO5b3bhaiX1s"",""Round 4!M32:R36"")}"),20.0)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4!W1"")"),"Question: 1")</f>
        <v>Question: 1</v>
      </c>
      <c r="B109" s="7" t="s">
        <v>150</v>
      </c>
    </row>
    <row r="110">
      <c r="A110" s="6"/>
    </row>
    <row r="111">
      <c r="A111" s="2" t="s">
        <v>151</v>
      </c>
      <c r="B111" t="str">
        <f>IFERROR(__xludf.DUMMYFUNCTION("{IMPORTRANGE(""17CLUEFflDBSa8dyH5vsXfHme4RV8IhzD-mxe9_c9I5k"",""Round 4!C1:H3""),IMPORTRANGE(""17CLUEFflDBSa8dyH5vsXfHme4RV8IhzD-mxe9_c9I5k"",""Round 4!M1:R3"")}"),"La Jolla (V)")</f>
        <v>La Jolla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IFERROR(__xludf.DUMMYFUNCTION("""COMPUTED_VALUE"""),"Santa Monica A (V)")</f>
        <v>Santa Monica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4!I32""))"),"A BP: 60")</f>
        <v>A BP: 60</v>
      </c>
      <c r="B112" t="str">
        <f>IFERROR(__xludf.DUMMYFUNCTION("""COMPUTED_VALUE"""),"Score: 85")</f>
        <v>Score: 85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380")</f>
        <v>Score: 380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4!S32""))"),"B BP: 240")</f>
        <v>B BP: 240</v>
      </c>
      <c r="B113" t="str">
        <f>IFERROR(__xludf.DUMMYFUNCTION("""COMPUTED_VALUE"""),"David Smith (11)")</f>
        <v>David Smith (11)</v>
      </c>
      <c r="C113" t="str">
        <f>IFERROR(__xludf.DUMMYFUNCTION("""COMPUTED_VALUE"""),"Kevin Park (11)")</f>
        <v>Kevin Park (11)</v>
      </c>
      <c r="D113" t="str">
        <f>IFERROR(__xludf.DUMMYFUNCTION("""COMPUTED_VALUE"""),"Richard Chao (11)")</f>
        <v>Richard Chao (11)</v>
      </c>
      <c r="E113" t="str">
        <f>IFERROR(__xludf.DUMMYFUNCTION("""COMPUTED_VALUE"""),"Caleb Cruz (11)")</f>
        <v>Caleb Cruz (11)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IFERROR(__xludf.DUMMYFUNCTION("""COMPUTED_VALUE"""),"Josh Xu (11)")</f>
        <v>Josh Xu (11)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4!C32:H36""),IMPORTRANGE(""17CLUEFflDBSa8dyH5vsXfHme4RV8IhzD-mxe9_c9I5k"",""Round 4!M32:R36"")}"),20.0)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IFERROR(__xludf.DUMMYFUNCTION("""COMPUTED_VALUE"""),1.0)</f>
        <v>1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IFERROR(__xludf.DUMMYFUNCTION("""COMPUTED_VALUE"""),3.0)</f>
        <v>3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IFERROR(__xludf.DUMMYFUNCTION("""COMPUTED_VALUE"""),1.0)</f>
        <v>1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IFERROR(__xludf.DUMMYFUNCTION("""COMPUTED_VALUE"""),10.0)</f>
        <v>10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IFERROR(__xludf.DUMMYFUNCTION("""COMPUTED_VALUE"""),0.0)</f>
        <v>0</v>
      </c>
      <c r="C117">
        <f>IFERROR(__xludf.DUMMYFUNCTION("""COMPUTED_VALUE"""),1.0)</f>
        <v>1</v>
      </c>
      <c r="D117">
        <f>IFERROR(__xludf.DUMMYFUNCTION("""COMPUTED_VALUE"""),1.0)</f>
        <v>1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IFERROR(__xludf.DUMMYFUNCTION("""COMPUTED_VALUE"""),1.0)</f>
        <v>1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IFERROR(__xludf.DUMMYFUNCTION("""COMPUTED_VALUE"""),25.0)</f>
        <v>25</v>
      </c>
      <c r="C118">
        <f>IFERROR(__xludf.DUMMYFUNCTION("""COMPUTED_VALUE"""),5.0)</f>
        <v>5</v>
      </c>
      <c r="D118">
        <f>IFERROR(__xludf.DUMMYFUNCTION("""COMPUTED_VALUE"""),-5.0)</f>
        <v>-5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IFERROR(__xludf.DUMMYFUNCTION("""COMPUTED_VALUE"""),140.0)</f>
        <v>140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4!W1"")"),"Question: 21")</f>
        <v>Question: 21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4!C1:H3""),IMPORTRANGE(""1Knt8XDGFY_MP2OzeadT1pDENTLOdk9Ab_Rd9IdW0kzc"",""Round 4!M1:R3"")}"),"Santa Monica B (V)")</f>
        <v>Santa Monica B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IFERROR(__xludf.DUMMYFUNCTION("""COMPUTED_VALUE"""),"Westview B (V)")</f>
        <v>Westview B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4!I32""))"),"A BP: 50")</f>
        <v>A BP: 50</v>
      </c>
      <c r="B122" t="str">
        <f>IFERROR(__xludf.DUMMYFUNCTION("""COMPUTED_VALUE"""),"Score: 145")</f>
        <v>Score: 145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220")</f>
        <v>Score: 220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4!S32""))"),"B BP: 160")</f>
        <v>B BP: 160</v>
      </c>
      <c r="B123" t="str">
        <f>IFERROR(__xludf.DUMMYFUNCTION("""COMPUTED_VALUE"""),"Kethan Raman (10)")</f>
        <v>Kethan Raman (10)</v>
      </c>
      <c r="C123" t="str">
        <f>IFERROR(__xludf.DUMMYFUNCTION("""COMPUTED_VALUE"""),"Ethan Hopkins (10)")</f>
        <v>Ethan Hopkins (10)</v>
      </c>
      <c r="D123" t="str">
        <f>IFERROR(__xludf.DUMMYFUNCTION("""COMPUTED_VALUE"""),"Jacob Cohen (10)")</f>
        <v>Jacob Cohen (10)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IFERROR(__xludf.DUMMYFUNCTION("""COMPUTED_VALUE"""),"Nicholas Dai (11)")</f>
        <v>Nicholas Dai (11)</v>
      </c>
      <c r="I123" t="str">
        <f>IFERROR(__xludf.DUMMYFUNCTION("""COMPUTED_VALUE"""),"Pramod Shastry (9)")</f>
        <v>Pramod Shastry (9)</v>
      </c>
      <c r="J123" t="str">
        <f>IFERROR(__xludf.DUMMYFUNCTION("""COMPUTED_VALUE"""),"Richard Lin (9)")</f>
        <v>Richard Lin (9)</v>
      </c>
      <c r="K123" t="str">
        <f>IFERROR(__xludf.DUMMYFUNCTION("""COMPUTED_VALUE"""),"Andrew Jia (11)")</f>
        <v>Andrew Jia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4!C32:H36""),IMPORTRANGE(""1Knt8XDGFY_MP2OzeadT1pDENTLOdk9Ab_Rd9IdW0kzc"",""Round 4!M32:R36"")}"),20.0)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IFERROR(__xludf.DUMMYFUNCTION("""COMPUTED_VALUE"""),2.0)</f>
        <v>2</v>
      </c>
      <c r="C125">
        <f>IFERROR(__xludf.DUMMYFUNCTION("""COMPUTED_VALUE"""),0.0)</f>
        <v>0</v>
      </c>
      <c r="D125">
        <f>IFERROR(__xludf.DUMMYFUNCTION("""COMPUTED_VALUE"""),1.0)</f>
        <v>1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IFERROR(__xludf.DUMMYFUNCTION("""COMPUTED_VALUE"""),2.0)</f>
        <v>2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IFERROR(__xludf.DUMMYFUNCTION("""COMPUTED_VALUE"""),5.0)</f>
        <v>5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IFERROR(__xludf.DUMMYFUNCTION("""COMPUTED_VALUE"""),2.0)</f>
        <v>2</v>
      </c>
      <c r="I126">
        <f>IFERROR(__xludf.DUMMYFUNCTION("""COMPUTED_VALUE"""),0.0)</f>
        <v>0</v>
      </c>
      <c r="J126">
        <f>IFERROR(__xludf.DUMMYFUNCTION("""COMPUTED_VALUE"""),3.0)</f>
        <v>3</v>
      </c>
      <c r="K126">
        <f>IFERROR(__xludf.DUMMYFUNCTION("""COMPUTED_VALUE"""),1.0)</f>
        <v>1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IFERROR(__xludf.DUMMYFUNCTION("""COMPUTED_VALUE"""),1.0)</f>
        <v>1</v>
      </c>
      <c r="I127">
        <f>IFERROR(__xludf.DUMMYFUNCTION("""COMPUTED_VALUE"""),3.0)</f>
        <v>3</v>
      </c>
      <c r="J127">
        <f>IFERROR(__xludf.DUMMYFUNCTION("""COMPUTED_VALUE"""),0.0)</f>
        <v>0</v>
      </c>
      <c r="K127">
        <f>IFERROR(__xludf.DUMMYFUNCTION("""COMPUTED_VALUE"""),2.0)</f>
        <v>2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IFERROR(__xludf.DUMMYFUNCTION("""COMPUTED_VALUE"""),80.0)</f>
        <v>80</v>
      </c>
      <c r="C128">
        <f>IFERROR(__xludf.DUMMYFUNCTION("""COMPUTED_VALUE"""),0.0)</f>
        <v>0</v>
      </c>
      <c r="D128">
        <f>IFERROR(__xludf.DUMMYFUNCTION("""COMPUTED_VALUE"""),15.0)</f>
        <v>15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IFERROR(__xludf.DUMMYFUNCTION("""COMPUTED_VALUE"""),15.0)</f>
        <v>15</v>
      </c>
      <c r="I128">
        <f>IFERROR(__xludf.DUMMYFUNCTION("""COMPUTED_VALUE"""),-15.0)</f>
        <v>-15</v>
      </c>
      <c r="J128">
        <f>IFERROR(__xludf.DUMMYFUNCTION("""COMPUTED_VALUE"""),30.0)</f>
        <v>30</v>
      </c>
      <c r="K128">
        <f>IFERROR(__xludf.DUMMYFUNCTION("""COMPUTED_VALUE"""),30.0)</f>
        <v>30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4!W1"")"),"Question: 21")</f>
        <v>Question: 21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4!C1:H3""),IMPORTRANGE(""16i4gsLDaJasgGgtJt27HweoboYNaal3qpX3MtxIR2f0"",""Round 4!M1:R3"")}"),"Canyon Crest B (V)")</f>
        <v>Canyon Crest B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IFERROR(__xludf.DUMMYFUNCTION("""COMPUTED_VALUE"""),"Cathedral Catholic (V)")</f>
        <v>Cathedral Catholic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4!I32""))"),"A BP: 220")</f>
        <v>A BP: 220</v>
      </c>
      <c r="B132" t="str">
        <f>IFERROR(__xludf.DUMMYFUNCTION("""COMPUTED_VALUE"""),"Score: 370")</f>
        <v>Score: 370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30")</f>
        <v>Score: 30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4!S32""))"),"B BP: 20")</f>
        <v>B BP: 20</v>
      </c>
      <c r="B133" t="str">
        <f>IFERROR(__xludf.DUMMYFUNCTION("""COMPUTED_VALUE"""),"Shreyank Kadadi (12)")</f>
        <v>Shreyank Kadadi (12)</v>
      </c>
      <c r="C133" t="str">
        <f>IFERROR(__xludf.DUMMYFUNCTION("""COMPUTED_VALUE"""),"Jonathan Hsieh (12)")</f>
        <v>Jonathan Hsieh (12)</v>
      </c>
      <c r="D133" t="str">
        <f>IFERROR(__xludf.DUMMYFUNCTION("""COMPUTED_VALUE"""),"Kevin Luo (10)")</f>
        <v>Kevin Luo (10)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IFERROR(__xludf.DUMMYFUNCTION("""COMPUTED_VALUE"""),"Ryan Shakiba (10)")</f>
        <v>Ryan Shakiba (10)</v>
      </c>
      <c r="I133" t="str">
        <f>IFERROR(__xludf.DUMMYFUNCTION("""COMPUTED_VALUE"""),"Mikayla Nang (11)")</f>
        <v>Mikayla Nang (11)</v>
      </c>
      <c r="J133" t="str">
        <f>IFERROR(__xludf.DUMMYFUNCTION("""COMPUTED_VALUE"""),"Jacob Titcomb (11)")</f>
        <v>Jacob Titcomb (11)</v>
      </c>
      <c r="K133" t="str">
        <f>IFERROR(__xludf.DUMMYFUNCTION("""COMPUTED_VALUE"""),"Sinead Archdeacon (10)")</f>
        <v>Sinead Archdeacon (10)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4!C32:H36""),IMPORTRANGE(""16i4gsLDaJasgGgtJt27HweoboYNaal3qpX3MtxIR2f0"",""Round 4!M32:R36"")}"),20.0)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IFERROR(__xludf.DUMMYFUNCTION("""COMPUTED_VALUE"""),3.0)</f>
        <v>3</v>
      </c>
      <c r="C135">
        <f>IFERROR(__xludf.DUMMYFUNCTION("""COMPUTED_VALUE"""),2.0)</f>
        <v>2</v>
      </c>
      <c r="D135">
        <f>IFERROR(__xludf.DUMMYFUNCTION("""COMPUTED_VALUE"""),1.0)</f>
        <v>1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IFERROR(__xludf.DUMMYFUNCTION("""COMPUTED_VALUE"""),6.0)</f>
        <v>6</v>
      </c>
      <c r="C136">
        <f>IFERROR(__xludf.DUMMYFUNCTION("""COMPUTED_VALUE"""),0.0)</f>
        <v>0</v>
      </c>
      <c r="D136">
        <f>IFERROR(__xludf.DUMMYFUNCTION("""COMPUTED_VALUE"""),2.0)</f>
        <v>2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IFERROR(__xludf.DUMMYFUNCTION("""COMPUTED_VALUE"""),1.0)</f>
        <v>1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IFERROR(__xludf.DUMMYFUNCTION("""COMPUTED_VALUE"""),1.0)</f>
        <v>1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IFERROR(__xludf.DUMMYFUNCTION("""COMPUTED_VALUE"""),3.0)</f>
        <v>3</v>
      </c>
      <c r="C137">
        <f>IFERROR(__xludf.DUMMYFUNCTION("""COMPUTED_VALUE"""),0.0)</f>
        <v>0</v>
      </c>
      <c r="D137">
        <f>IFERROR(__xludf.DUMMYFUNCTION("""COMPUTED_VALUE"""),1.0)</f>
        <v>1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IFERROR(__xludf.DUMMYFUNCTION("""COMPUTED_VALUE"""),2.0)</f>
        <v>2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IFERROR(__xludf.DUMMYFUNCTION("""COMPUTED_VALUE"""),90.0)</f>
        <v>90</v>
      </c>
      <c r="C138">
        <f>IFERROR(__xludf.DUMMYFUNCTION("""COMPUTED_VALUE"""),30.0)</f>
        <v>30</v>
      </c>
      <c r="D138">
        <f>IFERROR(__xludf.DUMMYFUNCTION("""COMPUTED_VALUE"""),30.0)</f>
        <v>30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IFERROR(__xludf.DUMMYFUNCTION("""COMPUTED_VALUE"""),10.0)</f>
        <v>10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4!W1"")"),"Question: 20")</f>
        <v>Question: 20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4!C1:H3""),IMPORTRANGE(""1KRyI2c190uhOTF270Hsdzh1rgG565QIaE9TymteaGNY"",""Round 4!M1:R3"")}"),"Arcadia (V)")</f>
        <v>Arcadia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IFERROR(__xludf.DUMMYFUNCTION("""COMPUTED_VALUE"""),"Troy A (V)")</f>
        <v>Troy A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4!I32""))"),"A BP: 130")</f>
        <v>A BP: 130</v>
      </c>
      <c r="B142" t="str">
        <f>IFERROR(__xludf.DUMMYFUNCTION("""COMPUTED_VALUE"""),"Score: 265")</f>
        <v>Score: 265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15")</f>
        <v>Score: 15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4!S32""))"),"B BP: 0")</f>
        <v>B BP: 0</v>
      </c>
      <c r="B143" t="str">
        <f>IFERROR(__xludf.DUMMYFUNCTION("""COMPUTED_VALUE"""),"Spencer Cheng (12)")</f>
        <v>Spencer Cheng (12)</v>
      </c>
      <c r="C143" t="str">
        <f>IFERROR(__xludf.DUMMYFUNCTION("""COMPUTED_VALUE"""),"Ryan Sun (10)")</f>
        <v>Ryan Sun (10)</v>
      </c>
      <c r="D143" t="str">
        <f>IFERROR(__xludf.DUMMYFUNCTION("""COMPUTED_VALUE"""),"Michael Kwok (10)")</f>
        <v>Michael Kwok (10)</v>
      </c>
      <c r="E143" t="str">
        <f>IFERROR(__xludf.DUMMYFUNCTION("""COMPUTED_VALUE"""),"Sanjith Menon (10)")</f>
        <v>Sanjith Menon (10)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IFERROR(__xludf.DUMMYFUNCTION("""COMPUTED_VALUE"""),"Luke Park (11)")</f>
        <v>Luke Park (11)</v>
      </c>
      <c r="I143" t="str">
        <f>IFERROR(__xludf.DUMMYFUNCTION("""COMPUTED_VALUE"""),"Tyler Kim (11)")</f>
        <v>Tyler Kim (11)</v>
      </c>
      <c r="J143" t="str">
        <f>IFERROR(__xludf.DUMMYFUNCTION("""COMPUTED_VALUE"""),"Henry Tang (10)")</f>
        <v>Henry Tang (10)</v>
      </c>
      <c r="K143" t="str">
        <f>IFERROR(__xludf.DUMMYFUNCTION("""COMPUTED_VALUE"""),"Daniel Shin (10)")</f>
        <v>Daniel Shin (10)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4!C32:H36""),IMPORTRANGE(""1KRyI2c190uhOTF270Hsdzh1rgG565QIaE9TymteaGNY"",""Round 4!M32:R36"")}"),20.0)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IFERROR(__xludf.DUMMYFUNCTION("""COMPUTED_VALUE"""),3.0)</f>
        <v>3</v>
      </c>
      <c r="C145">
        <f>IFERROR(__xludf.DUMMYFUNCTION("""COMPUTED_VALUE"""),2.0)</f>
        <v>2</v>
      </c>
      <c r="D145">
        <f>IFERROR(__xludf.DUMMYFUNCTION("""COMPUTED_VALUE"""),1.0)</f>
        <v>1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IFERROR(__xludf.DUMMYFUNCTION("""COMPUTED_VALUE"""),2.0)</f>
        <v>2</v>
      </c>
      <c r="C146">
        <f>IFERROR(__xludf.DUMMYFUNCTION("""COMPUTED_VALUE"""),1.0)</f>
        <v>1</v>
      </c>
      <c r="D146">
        <f>IFERROR(__xludf.DUMMYFUNCTION("""COMPUTED_VALUE"""),3.0)</f>
        <v>3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IFERROR(__xludf.DUMMYFUNCTION("""COMPUTED_VALUE"""),1.0)</f>
        <v>1</v>
      </c>
      <c r="J146">
        <f>IFERROR(__xludf.DUMMYFUNCTION("""COMPUTED_VALUE"""),1.0)</f>
        <v>1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IFERROR(__xludf.DUMMYFUNCTION("""COMPUTED_VALUE"""),2.0)</f>
        <v>2</v>
      </c>
      <c r="C147">
        <f>IFERROR(__xludf.DUMMYFUNCTION("""COMPUTED_VALUE"""),1.0)</f>
        <v>1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IFERROR(__xludf.DUMMYFUNCTION("""COMPUTED_VALUE"""),1.0)</f>
        <v>1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IFERROR(__xludf.DUMMYFUNCTION("""COMPUTED_VALUE"""),55.0)</f>
        <v>55</v>
      </c>
      <c r="C148">
        <f>IFERROR(__xludf.DUMMYFUNCTION("""COMPUTED_VALUE"""),35.0)</f>
        <v>35</v>
      </c>
      <c r="D148">
        <f>IFERROR(__xludf.DUMMYFUNCTION("""COMPUTED_VALUE"""),45.0)</f>
        <v>45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IFERROR(__xludf.DUMMYFUNCTION("""COMPUTED_VALUE"""),5.0)</f>
        <v>5</v>
      </c>
      <c r="J148">
        <f>IFERROR(__xludf.DUMMYFUNCTION("""COMPUTED_VALUE"""),10.0)</f>
        <v>10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4!W1"")"),"Question: 21")</f>
        <v>Question: 21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4!C1:H3""),IMPORTRANGE(""1zr0uYCpJ5izByVOUCsr6JXezthGEdLXnwOrjIKGx5XI"",""Round 4!M1:R3"")}"),"Westview A (V)")</f>
        <v>Westview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IFERROR(__xludf.DUMMYFUNCTION("""COMPUTED_VALUE"""),"Canyon Crest C (V)")</f>
        <v>Canyon Crest C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4!I32""))"),"A BP: 300")</f>
        <v>A BP: 300</v>
      </c>
      <c r="B152" t="str">
        <f>IFERROR(__xludf.DUMMYFUNCTION("""COMPUTED_VALUE"""),"Score: 435")</f>
        <v>Score: 435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50")</f>
        <v>Score: 50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4!S32""))"),"B BP: 30")</f>
        <v>B BP: 30</v>
      </c>
      <c r="B153" t="str">
        <f>IFERROR(__xludf.DUMMYFUNCTION("""COMPUTED_VALUE"""),"Shahar Schwartz (12)")</f>
        <v>Shahar Schwartz (12)</v>
      </c>
      <c r="C153" t="str">
        <f>IFERROR(__xludf.DUMMYFUNCTION("""COMPUTED_VALUE"""),"Junu Song (12)")</f>
        <v>Junu Song (12)</v>
      </c>
      <c r="D153" t="str">
        <f>IFERROR(__xludf.DUMMYFUNCTION("""COMPUTED_VALUE"""),"Daniel Jung (12)")</f>
        <v>Daniel Jung (12)</v>
      </c>
      <c r="E153" t="str">
        <f>IFERROR(__xludf.DUMMYFUNCTION("""COMPUTED_VALUE"""),"Gary Lin (11)")</f>
        <v>Gary Lin (11)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IFERROR(__xludf.DUMMYFUNCTION("""COMPUTED_VALUE"""),"Paul Mola (11)")</f>
        <v>Paul Mola (11)</v>
      </c>
      <c r="I153" t="str">
        <f>IFERROR(__xludf.DUMMYFUNCTION("""COMPUTED_VALUE"""),"James Wright (11)")</f>
        <v>James Wright (11)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4!C32:H36""),IMPORTRANGE(""1zr0uYCpJ5izByVOUCsr6JXezthGEdLXnwOrjIKGx5XI"",""Round 4!M32:R36"")}"),20.0)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IFERROR(__xludf.DUMMYFUNCTION("""COMPUTED_VALUE"""),4.0)</f>
        <v>4</v>
      </c>
      <c r="C155">
        <f>IFERROR(__xludf.DUMMYFUNCTION("""COMPUTED_VALUE"""),1.0)</f>
        <v>1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IFERROR(__xludf.DUMMYFUNCTION("""COMPUTED_VALUE"""),4.0)</f>
        <v>4</v>
      </c>
      <c r="C156">
        <f>IFERROR(__xludf.DUMMYFUNCTION("""COMPUTED_VALUE"""),2.0)</f>
        <v>2</v>
      </c>
      <c r="D156">
        <f>IFERROR(__xludf.DUMMYFUNCTION("""COMPUTED_VALUE"""),0.0)</f>
        <v>0</v>
      </c>
      <c r="E156">
        <f>IFERROR(__xludf.DUMMYFUNCTION("""COMPUTED_VALUE"""),3.0)</f>
        <v>3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IFERROR(__xludf.DUMMYFUNCTION("""COMPUTED_VALUE"""),2.0)</f>
        <v>2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IFERROR(__xludf.DUMMYFUNCTION("""COMPUTED_VALUE"""),3.0)</f>
        <v>3</v>
      </c>
      <c r="C157">
        <f>IFERROR(__xludf.DUMMYFUNCTION("""COMPUTED_VALUE"""),0.0)</f>
        <v>0</v>
      </c>
      <c r="D157">
        <f>IFERROR(__xludf.DUMMYFUNCTION("""COMPUTED_VALUE"""),1.0)</f>
        <v>1</v>
      </c>
      <c r="E157">
        <f>IFERROR(__xludf.DUMMYFUNCTION("""COMPUTED_VALUE"""),2.0)</f>
        <v>2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IFERROR(__xludf.DUMMYFUNCTION("""COMPUTED_VALUE"""),85.0)</f>
        <v>85</v>
      </c>
      <c r="C158">
        <f>IFERROR(__xludf.DUMMYFUNCTION("""COMPUTED_VALUE"""),35.0)</f>
        <v>35</v>
      </c>
      <c r="D158">
        <f>IFERROR(__xludf.DUMMYFUNCTION("""COMPUTED_VALUE"""),-5.0)</f>
        <v>-5</v>
      </c>
      <c r="E158">
        <f>IFERROR(__xludf.DUMMYFUNCTION("""COMPUTED_VALUE"""),20.0)</f>
        <v>20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IFERROR(__xludf.DUMMYFUNCTION("""COMPUTED_VALUE"""),20.0)</f>
        <v>20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4!W1"")"),"Question: 21")</f>
        <v>Question: 21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4!C1:H3""),IMPORTRANGE(""1TVrjNI5RE1VozIr906BhaTKMFP0VPx8aUGpyt_loukE"",""Round 4!M1:R3"")}"),"Scripps Ranch A (V)")</f>
        <v>Scripps Ranch 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IFERROR(__xludf.DUMMYFUNCTION("""COMPUTED_VALUE"""),"Canyon Crest A (V)")</f>
        <v>Canyon Crest A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4!I32""))"),"A BP: 40")</f>
        <v>A BP: 40</v>
      </c>
      <c r="B162" t="str">
        <f>IFERROR(__xludf.DUMMYFUNCTION("""COMPUTED_VALUE"""),"Score: 70")</f>
        <v>Score: 70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405")</f>
        <v>Score: 405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4!S32""))"),"B BP: 250")</f>
        <v>B BP: 250</v>
      </c>
      <c r="B163" t="str">
        <f>IFERROR(__xludf.DUMMYFUNCTION("""COMPUTED_VALUE"""),"Albert Gu (12)")</f>
        <v>Albert Gu (12)</v>
      </c>
      <c r="C163" t="str">
        <f>IFERROR(__xludf.DUMMYFUNCTION("""COMPUTED_VALUE"""),"Jeremy Ngo (12)")</f>
        <v>Jeremy Ngo (12)</v>
      </c>
      <c r="D163" t="str">
        <f>IFERROR(__xludf.DUMMYFUNCTION("""COMPUTED_VALUE"""),"Jack Hoover (12)")</f>
        <v>Jack Hoover (12)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IFERROR(__xludf.DUMMYFUNCTION("""COMPUTED_VALUE"""),"Leo Gu (10)")</f>
        <v>Leo Gu (10)</v>
      </c>
      <c r="I163" t="str">
        <f>IFERROR(__xludf.DUMMYFUNCTION("""COMPUTED_VALUE"""),"Wesley Zhang (12)")</f>
        <v>Wesley Zhang (12)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4!C32:H36""),IMPORTRANGE(""1TVrjNI5RE1VozIr906BhaTKMFP0VPx8aUGpyt_loukE"",""Round 4!M32:R36"")}"),20.0)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IFERROR(__xludf.DUMMYFUNCTION("""COMPUTED_VALUE"""),1.0)</f>
        <v>1</v>
      </c>
      <c r="I165">
        <f>IFERROR(__xludf.DUMMYFUNCTION("""COMPUTED_VALUE"""),5.0)</f>
        <v>5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IFERROR(__xludf.DUMMYFUNCTION("""COMPUTED_VALUE"""),0.0)</f>
        <v>0</v>
      </c>
      <c r="C166">
        <f>IFERROR(__xludf.DUMMYFUNCTION("""COMPUTED_VALUE"""),3.0)</f>
        <v>3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IFERROR(__xludf.DUMMYFUNCTION("""COMPUTED_VALUE"""),1.0)</f>
        <v>1</v>
      </c>
      <c r="I166">
        <f>IFERROR(__xludf.DUMMYFUNCTION("""COMPUTED_VALUE"""),7.0)</f>
        <v>7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IFERROR(__xludf.DUMMYFUNCTION("""COMPUTED_VALUE"""),2.0)</f>
        <v>2</v>
      </c>
      <c r="I167">
        <f>IFERROR(__xludf.DUMMYFUNCTION("""COMPUTED_VALUE"""),1.0)</f>
        <v>1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IFERROR(__xludf.DUMMYFUNCTION("""COMPUTED_VALUE"""),0.0)</f>
        <v>0</v>
      </c>
      <c r="C168">
        <f>IFERROR(__xludf.DUMMYFUNCTION("""COMPUTED_VALUE"""),30.0)</f>
        <v>30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IFERROR(__xludf.DUMMYFUNCTION("""COMPUTED_VALUE"""),15.0)</f>
        <v>15</v>
      </c>
      <c r="I168">
        <f>IFERROR(__xludf.DUMMYFUNCTION("""COMPUTED_VALUE"""),140.0)</f>
        <v>140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4!W1"")"),"Question: 21")</f>
        <v>Question: 21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4!C1:H3""),IMPORTRANGE(""1xRz0po-ejgp-QRvMkY44z3u2CePgTccasdyrrVALbmE"",""Round 4!M1:R3"")}"),"Team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4!I32""))"),"A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4!S32""))"),"B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4!C32:H36""),IMPORTRANGE(""1xRz0po-ejgp-QRvMkY44z3u2CePgTccasdyrrVALbmE"",""Round 4!M32:R36"")}"),20.0)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4!W1"")"),"Question: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5!C1:H3""),IMPORTRANGE(""1JXwZ4AjXctyKvWy9qFKCX518NRYJYhSX9Jii0HPBCUs"",""Round 5!M1:R3"")}"),"Team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5!I32""))"),"A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5!S32""))"),"B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5!C32:H36""),IMPORTRANGE(""1JXwZ4AjXctyKvWy9qFKCX518NRYJYhSX9Jii0HPBCUs"",""Round 5!M32:R36"")}"),20.0)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5!W1"")"),"Question: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5!C1:H3""),IMPORTRANGE(""1GBDUn_ZojNLX5OJCVBEhvJbdm0c55Z7lPcE4L6WH89o"",""Round 5!M1:R3"")}"),"Team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5!I32""))"),"A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5!S32""))"),"B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5!C32:H36""),IMPORTRANGE(""1GBDUn_ZojNLX5OJCVBEhvJbdm0c55Z7lPcE4L6WH89o"",""Round 5!M32:R36"")}"),20.0)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5!W1"")"),"Question: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5!C1:H3""),IMPORTRANGE(""19Dum1qlL_dEwf1AEniLf02Eg9XaNXi1GMkI5M4_Ei6w"",""Round 5!M1:R3"")}"),"Team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5!I32""))"),"A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5!S32""))"),"B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5!C32:H36""),IMPORTRANGE(""19Dum1qlL_dEwf1AEniLf02Eg9XaNXi1GMkI5M4_Ei6w"",""Round 5!M32:R36"")}"),20.0)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5!W1"")"),"Question: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5!C1:H3""),IMPORTRANGE(""18KjuM_F6goZYnozVb7folIb5Hw_mfKQrNdVWKGx6j4s"",""Round 5!M1:R3"")}"),"Team A")</f>
        <v>Team A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IFERROR(__xludf.DUMMYFUNCTION("""COMPUTED_VALUE"""),"Rancho Bernardo (JV)")</f>
        <v>Rancho Bernardo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5!I32""))"),"A BP: 0")</f>
        <v>A BP: 0</v>
      </c>
      <c r="B32" t="str">
        <f>IFERROR(__xludf.DUMMYFUNCTION("""COMPUTED_VALUE"""),"Score: 0")</f>
        <v>Score: 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0")</f>
        <v>Score: 0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5!S32""))"),"B BP: 0")</f>
        <v>B BP: 0</v>
      </c>
      <c r="B33" t="str">
        <f>IFERROR(__xludf.DUMMYFUNCTION("""COMPUTED_VALUE"""),"Player 1")</f>
        <v>Player 1</v>
      </c>
      <c r="C33" t="str">
        <f>IFERROR(__xludf.DUMMYFUNCTION("""COMPUTED_VALUE"""),"Player 2")</f>
        <v>Player 2</v>
      </c>
      <c r="D33" t="str">
        <f>IFERROR(__xludf.DUMMYFUNCTION("""COMPUTED_VALUE"""),"Player 3")</f>
        <v>Player 3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IFERROR(__xludf.DUMMYFUNCTION("""COMPUTED_VALUE"""),"Sandy Tran (12)")</f>
        <v>Sandy Tran (12)</v>
      </c>
      <c r="I33" t="str">
        <f>IFERROR(__xludf.DUMMYFUNCTION("""COMPUTED_VALUE"""),"Patrick Joyce (11)")</f>
        <v>Patrick Joyce (11)</v>
      </c>
      <c r="J33" t="str">
        <f>IFERROR(__xludf.DUMMYFUNCTION("""COMPUTED_VALUE"""),"Katheryn Garrett (11)")</f>
        <v>Katheryn Garrett (11)</v>
      </c>
      <c r="K33" t="str">
        <f>IFERROR(__xludf.DUMMYFUNCTION("""COMPUTED_VALUE"""),"YungYi Sun (12)")</f>
        <v>YungYi Sun (12)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5!C32:H36""),IMPORTRANGE(""18KjuM_F6goZYnozVb7folIb5Hw_mfKQrNdVWKGx6j4s"",""Round 5!M32:R36"")}"),20.0)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IFERROR(__xludf.DUMMYFUNCTION("""COMPUTED_VALUE"""),0.0)</f>
        <v>0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IFERROR(__xludf.DUMMYFUNCTION("""COMPUTED_VALUE"""),0.0)</f>
        <v>0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IFERROR(__xludf.DUMMYFUNCTION("""COMPUTED_VALUE"""),0.0)</f>
        <v>0</v>
      </c>
      <c r="C36">
        <f>IFERROR(__xludf.DUMMYFUNCTION("""COMPUTED_VALUE"""),0.0)</f>
        <v>0</v>
      </c>
      <c r="D36">
        <f>IFERROR(__xludf.DUMMYFUNCTION("""COMPUTED_VALUE"""),0.0)</f>
        <v>0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IFERROR(__xludf.DUMMYFUNCTION("""COMPUTED_VALUE"""),0.0)</f>
        <v>0</v>
      </c>
      <c r="I36">
        <f>IFERROR(__xludf.DUMMYFUNCTION("""COMPUTED_VALUE"""),0.0)</f>
        <v>0</v>
      </c>
      <c r="J36">
        <f>IFERROR(__xludf.DUMMYFUNCTION("""COMPUTED_VALUE"""),0.0)</f>
        <v>0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IFERROR(__xludf.DUMMYFUNCTION("""COMPUTED_VALUE"""),0.0)</f>
        <v>0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IFERROR(__xludf.DUMMYFUNCTION("""COMPUTED_VALUE"""),0.0)</f>
        <v>0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IFERROR(__xludf.DUMMYFUNCTION("""COMPUTED_VALUE"""),0.0)</f>
        <v>0</v>
      </c>
      <c r="C38">
        <f>IFERROR(__xludf.DUMMYFUNCTION("""COMPUTED_VALUE"""),0.0)</f>
        <v>0</v>
      </c>
      <c r="D38">
        <f>IFERROR(__xludf.DUMMYFUNCTION("""COMPUTED_VALUE"""),0.0)</f>
        <v>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IFERROR(__xludf.DUMMYFUNCTION("""COMPUTED_VALUE"""),0.0)</f>
        <v>0</v>
      </c>
      <c r="I38">
        <f>IFERROR(__xludf.DUMMYFUNCTION("""COMPUTED_VALUE"""),0.0)</f>
        <v>0</v>
      </c>
      <c r="J38">
        <f>IFERROR(__xludf.DUMMYFUNCTION("""COMPUTED_VALUE"""),0.0)</f>
        <v>0</v>
      </c>
      <c r="K38">
        <f>IFERROR(__xludf.DUMMYFUNCTION("""COMPUTED_VALUE"""),0.0)</f>
        <v>0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5!W1"")"),"Question: 1")</f>
        <v>Question: 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5!C1:H3""),IMPORTRANGE(""1_YEY20HiFjspjicPICCMlL_lQXsksdB6d3m5vzHwuOI"",""Round 5!M1:R3"")}"),"Team A")</f>
        <v>Team A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IFERROR(__xludf.DUMMYFUNCTION("""COMPUTED_VALUE"""),"Team B")</f>
        <v>Team B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5!I32""))"),"A BP: 0")</f>
        <v>A BP: 0</v>
      </c>
      <c r="B42" t="str">
        <f>IFERROR(__xludf.DUMMYFUNCTION("""COMPUTED_VALUE"""),"Score: 0")</f>
        <v>Score: 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0")</f>
        <v>Score: 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5!S32""))"),"B BP: 0")</f>
        <v>B BP: 0</v>
      </c>
      <c r="B43" t="str">
        <f>IFERROR(__xludf.DUMMYFUNCTION("""COMPUTED_VALUE"""),"Player 1")</f>
        <v>Player 1</v>
      </c>
      <c r="C43" t="str">
        <f>IFERROR(__xludf.DUMMYFUNCTION("""COMPUTED_VALUE"""),"Player 2")</f>
        <v>Player 2</v>
      </c>
      <c r="D43" t="str">
        <f>IFERROR(__xludf.DUMMYFUNCTION("""COMPUTED_VALUE"""),"Player 3")</f>
        <v>Player 3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IFERROR(__xludf.DUMMYFUNCTION("""COMPUTED_VALUE"""),"Player 1")</f>
        <v>Player 1</v>
      </c>
      <c r="I43" t="str">
        <f>IFERROR(__xludf.DUMMYFUNCTION("""COMPUTED_VALUE"""),"Player 2")</f>
        <v>Player 2</v>
      </c>
      <c r="J43" t="str">
        <f>IFERROR(__xludf.DUMMYFUNCTION("""COMPUTED_VALUE"""),"Player 3")</f>
        <v>Player 3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5!C32:H36""),IMPORTRANGE(""1_YEY20HiFjspjicPICCMlL_lQXsksdB6d3m5vzHwuOI"",""Round 5!M32:R36"")}"),20.0)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IFERROR(__xludf.DUMMYFUNCTION("""COMPUTED_VALUE"""),0.0)</f>
        <v>0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IFERROR(__xludf.DUMMYFUNCTION("""COMPUTED_VALUE"""),0.0)</f>
        <v>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IFERROR(__xludf.DUMMYFUNCTION("""COMPUTED_VALUE"""),0.0)</f>
        <v>0</v>
      </c>
      <c r="J48">
        <f>IFERROR(__xludf.DUMMYFUNCTION("""COMPUTED_VALUE"""),0.0)</f>
        <v>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5!W1"")"),"Question: 1")</f>
        <v>Question: 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5!C1:H3""),IMPORTRANGE(""1SYS5Ef48991ZUgqcGqj51eX2YgqKCzfrEZ_pUY01Lwo"",""Round 5!M1:R3"")}"),"Team A")</f>
        <v>Team A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IFERROR(__xludf.DUMMYFUNCTION("""COMPUTED_VALUE"""),"Team B")</f>
        <v>Team B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5!I32""))"),"A BP: 0")</f>
        <v>A BP: 0</v>
      </c>
      <c r="B52" t="str">
        <f>IFERROR(__xludf.DUMMYFUNCTION("""COMPUTED_VALUE"""),"Score: 0")</f>
        <v>Score: 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0")</f>
        <v>Score: 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5!S32""))"),"B BP: 0")</f>
        <v>B BP: 0</v>
      </c>
      <c r="B53" t="str">
        <f>IFERROR(__xludf.DUMMYFUNCTION("""COMPUTED_VALUE"""),"Player 1")</f>
        <v>Player 1</v>
      </c>
      <c r="C53" t="str">
        <f>IFERROR(__xludf.DUMMYFUNCTION("""COMPUTED_VALUE"""),"Player 2")</f>
        <v>Player 2</v>
      </c>
      <c r="D53" t="str">
        <f>IFERROR(__xludf.DUMMYFUNCTION("""COMPUTED_VALUE"""),"Player 3")</f>
        <v>Player 3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IFERROR(__xludf.DUMMYFUNCTION("""COMPUTED_VALUE"""),"Player 1")</f>
        <v>Player 1</v>
      </c>
      <c r="I53" t="str">
        <f>IFERROR(__xludf.DUMMYFUNCTION("""COMPUTED_VALUE"""),"Player 2")</f>
        <v>Player 2</v>
      </c>
      <c r="J53" t="str">
        <f>IFERROR(__xludf.DUMMYFUNCTION("""COMPUTED_VALUE"""),"Player 3")</f>
        <v>Player 3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5!C32:H36""),IMPORTRANGE(""1SYS5Ef48991ZUgqcGqj51eX2YgqKCzfrEZ_pUY01Lwo"",""Round 5!M32:R36"")}"),20.0)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IFERROR(__xludf.DUMMYFUNCTION("""COMPUTED_VALUE"""),0.0)</f>
        <v>0</v>
      </c>
      <c r="C56">
        <f>IFERROR(__xludf.DUMMYFUNCTION("""COMPUTED_VALUE"""),0.0)</f>
        <v>0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IFERROR(__xludf.DUMMYFUNCTION("""COMPUTED_VALUE"""),0.0)</f>
        <v>0</v>
      </c>
      <c r="I56">
        <f>IFERROR(__xludf.DUMMYFUNCTION("""COMPUTED_VALUE"""),0.0)</f>
        <v>0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IFERROR(__xludf.DUMMYFUNCTION("""COMPUTED_VALUE"""),0.0)</f>
        <v>0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IFERROR(__xludf.DUMMYFUNCTION("""COMPUTED_VALUE"""),0.0)</f>
        <v>0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IFERROR(__xludf.DUMMYFUNCTION("""COMPUTED_VALUE"""),0.0)</f>
        <v>0</v>
      </c>
      <c r="I58">
        <f>IFERROR(__xludf.DUMMYFUNCTION("""COMPUTED_VALUE"""),0.0)</f>
        <v>0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5!W1"")"),"Question: 1")</f>
        <v>Question: 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5!C1:H3""),IMPORTRANGE(""1UJlRLlhI2Hg_SAQqQOg0JGdwHhiagF7EVAtCX8UOYFc"",""Round 5!M1:R3"")}"),"Team A")</f>
        <v>Team A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IFERROR(__xludf.DUMMYFUNCTION("""COMPUTED_VALUE"""),"Team B")</f>
        <v>Team B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5!I32""))"),"A BP: 0")</f>
        <v>A BP: 0</v>
      </c>
      <c r="B62" t="str">
        <f>IFERROR(__xludf.DUMMYFUNCTION("""COMPUTED_VALUE"""),"Score: 0")</f>
        <v>Score: 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0")</f>
        <v>Score: 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5!S32""))"),"B BP: 0")</f>
        <v>B BP: 0</v>
      </c>
      <c r="B63" t="str">
        <f>IFERROR(__xludf.DUMMYFUNCTION("""COMPUTED_VALUE"""),"Player 1")</f>
        <v>Player 1</v>
      </c>
      <c r="C63" t="str">
        <f>IFERROR(__xludf.DUMMYFUNCTION("""COMPUTED_VALUE"""),"Player 2")</f>
        <v>Player 2</v>
      </c>
      <c r="D63" t="str">
        <f>IFERROR(__xludf.DUMMYFUNCTION("""COMPUTED_VALUE"""),"Player 3")</f>
        <v>Player 3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IFERROR(__xludf.DUMMYFUNCTION("""COMPUTED_VALUE"""),"Player 1")</f>
        <v>Player 1</v>
      </c>
      <c r="I63" t="str">
        <f>IFERROR(__xludf.DUMMYFUNCTION("""COMPUTED_VALUE"""),"Player 2")</f>
        <v>Player 2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5!C32:H36""),IMPORTRANGE(""1UJlRLlhI2Hg_SAQqQOg0JGdwHhiagF7EVAtCX8UOYFc"",""Round 5!M32:R36"")}"),20.0)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IFERROR(__xludf.DUMMYFUNCTION("""COMPUTED_VALUE"""),0.0)</f>
        <v>0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IFERROR(__xludf.DUMMYFUNCTION("""COMPUTED_VALUE"""),0.0)</f>
        <v>0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IFERROR(__xludf.DUMMYFUNCTION("""COMPUTED_VALUE"""),0.0)</f>
        <v>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IFERROR(__xludf.DUMMYFUNCTION("""COMPUTED_VALUE"""),0.0)</f>
        <v>0</v>
      </c>
      <c r="I68">
        <f>IFERROR(__xludf.DUMMYFUNCTION("""COMPUTED_VALUE"""),0.0)</f>
        <v>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5!W1"")"),"Question: 1")</f>
        <v>Question: 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5!C1:H3""),IMPORTRANGE(""1jA96n0qbauznSt6-hkr51AslpxJqfrWgkafVtMV8_xU"",""Round 5!M1:R3"")}"),"Team A")</f>
        <v>Team A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IFERROR(__xludf.DUMMYFUNCTION("""COMPUTED_VALUE"""),"Team B")</f>
        <v>Team B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5!I32""))"),"A BP: 0")</f>
        <v>A BP: 0</v>
      </c>
      <c r="B72" t="str">
        <f>IFERROR(__xludf.DUMMYFUNCTION("""COMPUTED_VALUE"""),"Score: 0")</f>
        <v>Score: 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0")</f>
        <v>Score: 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5!S32""))"),"B BP: 0")</f>
        <v>B BP: 0</v>
      </c>
      <c r="B73" t="str">
        <f>IFERROR(__xludf.DUMMYFUNCTION("""COMPUTED_VALUE"""),"Player 1")</f>
        <v>Player 1</v>
      </c>
      <c r="C73" t="str">
        <f>IFERROR(__xludf.DUMMYFUNCTION("""COMPUTED_VALUE"""),"Player 2")</f>
        <v>Player 2</v>
      </c>
      <c r="D73" t="str">
        <f>IFERROR(__xludf.DUMMYFUNCTION("""COMPUTED_VALUE"""),"Player 3")</f>
        <v>Player 3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IFERROR(__xludf.DUMMYFUNCTION("""COMPUTED_VALUE"""),"Player 1")</f>
        <v>Player 1</v>
      </c>
      <c r="I73" t="str">
        <f>IFERROR(__xludf.DUMMYFUNCTION("""COMPUTED_VALUE"""),"Player 2")</f>
        <v>Player 2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5!C32:H36""),IMPORTRANGE(""1jA96n0qbauznSt6-hkr51AslpxJqfrWgkafVtMV8_xU"",""Round 5!M32:R36"")}"),20.0)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IFERROR(__xludf.DUMMYFUNCTION("""COMPUTED_VALUE"""),0.0)</f>
        <v>0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IFERROR(__xludf.DUMMYFUNCTION("""COMPUTED_VALUE"""),0.0)</f>
        <v>0</v>
      </c>
      <c r="C76">
        <f>IFERROR(__xludf.DUMMYFUNCTION("""COMPUTED_VALUE"""),0.0)</f>
        <v>0</v>
      </c>
      <c r="D76">
        <f>IFERROR(__xludf.DUMMYFUNCTION("""COMPUTED_VALUE"""),0.0)</f>
        <v>0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IFERROR(__xludf.DUMMYFUNCTION("""COMPUTED_VALUE"""),0.0)</f>
        <v>0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IFERROR(__xludf.DUMMYFUNCTION("""COMPUTED_VALUE"""),0.0)</f>
        <v>0</v>
      </c>
      <c r="C78">
        <f>IFERROR(__xludf.DUMMYFUNCTION("""COMPUTED_VALUE"""),0.0)</f>
        <v>0</v>
      </c>
      <c r="D78">
        <f>IFERROR(__xludf.DUMMYFUNCTION("""COMPUTED_VALUE"""),0.0)</f>
        <v>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IFERROR(__xludf.DUMMYFUNCTION("""COMPUTED_VALUE"""),0.0)</f>
        <v>0</v>
      </c>
      <c r="I78">
        <f>IFERROR(__xludf.DUMMYFUNCTION("""COMPUTED_VALUE"""),0.0)</f>
        <v>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5!W1"")"),"Question: 1")</f>
        <v>Question: 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5!C1:H3""),IMPORTRANGE(""1xw1EOjVhrK1PNJfOYiUsuJNrlpV53SmfJxYsFFolQ3s"",""Round 5!M1:R3"")}"),"Team A")</f>
        <v>Team A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IFERROR(__xludf.DUMMYFUNCTION("""COMPUTED_VALUE"""),"Team B")</f>
        <v>Team B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5!I32""))"),"A BP: 0")</f>
        <v>A BP: 0</v>
      </c>
      <c r="B82" t="str">
        <f>IFERROR(__xludf.DUMMYFUNCTION("""COMPUTED_VALUE"""),"Score: 0")</f>
        <v>Score: 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0")</f>
        <v>Score: 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5!S32""))"),"B BP: 0")</f>
        <v>B BP: 0</v>
      </c>
      <c r="B83" t="str">
        <f>IFERROR(__xludf.DUMMYFUNCTION("""COMPUTED_VALUE"""),"Player 1")</f>
        <v>Player 1</v>
      </c>
      <c r="C83" t="str">
        <f>IFERROR(__xludf.DUMMYFUNCTION("""COMPUTED_VALUE"""),"Player 2")</f>
        <v>Player 2</v>
      </c>
      <c r="D83" t="str">
        <f>IFERROR(__xludf.DUMMYFUNCTION("""COMPUTED_VALUE"""),"Player 3")</f>
        <v>Player 3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IFERROR(__xludf.DUMMYFUNCTION("""COMPUTED_VALUE"""),"Player 1")</f>
        <v>Player 1</v>
      </c>
      <c r="I83" t="str">
        <f>IFERROR(__xludf.DUMMYFUNCTION("""COMPUTED_VALUE"""),"Player 2")</f>
        <v>Player 2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5!C32:H36""),IMPORTRANGE(""1xw1EOjVhrK1PNJfOYiUsuJNrlpV53SmfJxYsFFolQ3s"",""Round 5!M32:R36"")}"),20.0)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IFERROR(__xludf.DUMMYFUNCTION("""COMPUTED_VALUE"""),0.0)</f>
        <v>0</v>
      </c>
      <c r="C86">
        <f>IFERROR(__xludf.DUMMYFUNCTION("""COMPUTED_VALUE"""),0.0)</f>
        <v>0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IFERROR(__xludf.DUMMYFUNCTION("""COMPUTED_VALUE"""),0.0)</f>
        <v>0</v>
      </c>
      <c r="C88">
        <f>IFERROR(__xludf.DUMMYFUNCTION("""COMPUTED_VALUE"""),0.0)</f>
        <v>0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IFERROR(__xludf.DUMMYFUNCTION("""COMPUTED_VALUE"""),0.0)</f>
        <v>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5!W1"")"),"Question: 1")</f>
        <v>Question: 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5!C1:H3""),IMPORTRANGE(""15wOrdFuJAb1a4MoX5CG4apiBD2jUJ7mBu58Uk-8Mo7s"",""Round 5!M1:R3"")}"),"Team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5!I32""))"),"A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5!S32""))"),"B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5!C32:H36""),IMPORTRANGE(""15wOrdFuJAb1a4MoX5CG4apiBD2jUJ7mBu58Uk-8Mo7s"",""Round 5!M32:R36"")}"),20.0)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5!W1"")"),"Question: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5!C1:H3""),IMPORTRANGE(""1GfJqS1rsy-VutTmPVnm9E2VdinIG-GnQO5b3bhaiX1s"",""Round 5!M1:R3"")}"),"Team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5!I32""))"),"A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5!S32""))"),"B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5!C32:H36""),IMPORTRANGE(""1GfJqS1rsy-VutTmPVnm9E2VdinIG-GnQO5b3bhaiX1s"",""Round 5!M32:R36"")}"),20.0)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5!W1"")"),"Question: 1")</f>
        <v>Question: 1</v>
      </c>
      <c r="B109" s="7" t="s">
        <v>150</v>
      </c>
    </row>
    <row r="110">
      <c r="A110" s="6"/>
    </row>
    <row r="111">
      <c r="A111" s="2" t="s">
        <v>166</v>
      </c>
      <c r="B111" t="str">
        <f>IFERROR(__xludf.DUMMYFUNCTION("{IMPORTRANGE(""17CLUEFflDBSa8dyH5vsXfHme4RV8IhzD-mxe9_c9I5k"",""Round 5!C1:H3""),IMPORTRANGE(""17CLUEFflDBSa8dyH5vsXfHme4RV8IhzD-mxe9_c9I5k"",""Round 5!M1:R3"")}"),"Team A")</f>
        <v>Team A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IFERROR(__xludf.DUMMYFUNCTION("""COMPUTED_VALUE"""),"Team B")</f>
        <v>Team B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5!I32""))"),"A BP: 0")</f>
        <v>A BP: 0</v>
      </c>
      <c r="B112" t="str">
        <f>IFERROR(__xludf.DUMMYFUNCTION("""COMPUTED_VALUE"""),"Score: 0")</f>
        <v>Score: 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0")</f>
        <v>Score: 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5!S32""))"),"B BP: 0")</f>
        <v>B BP: 0</v>
      </c>
      <c r="B113" t="str">
        <f>IFERROR(__xludf.DUMMYFUNCTION("""COMPUTED_VALUE"""),"Player 1")</f>
        <v>Player 1</v>
      </c>
      <c r="C113" t="str">
        <f>IFERROR(__xludf.DUMMYFUNCTION("""COMPUTED_VALUE"""),"Player 2")</f>
        <v>Player 2</v>
      </c>
      <c r="D113" t="str">
        <f>IFERROR(__xludf.DUMMYFUNCTION("""COMPUTED_VALUE"""),"Player 3")</f>
        <v>Player 3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IFERROR(__xludf.DUMMYFUNCTION("""COMPUTED_VALUE"""),"Player 1")</f>
        <v>Player 1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5!C32:H36""),IMPORTRANGE(""17CLUEFflDBSa8dyH5vsXfHme4RV8IhzD-mxe9_c9I5k"",""Round 5!M32:R36"")}"),20.0)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IFERROR(__xludf.DUMMYFUNCTION("""COMPUTED_VALUE"""),0.0)</f>
        <v>0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IFERROR(__xludf.DUMMYFUNCTION("""COMPUTED_VALUE"""),0.0)</f>
        <v>0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IFERROR(__xludf.DUMMYFUNCTION("""COMPUTED_VALUE"""),0.0)</f>
        <v>0</v>
      </c>
      <c r="C116">
        <f>IFERROR(__xludf.DUMMYFUNCTION("""COMPUTED_VALUE"""),0.0)</f>
        <v>0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IFERROR(__xludf.DUMMYFUNCTION("""COMPUTED_VALUE"""),0.0)</f>
        <v>0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IFERROR(__xludf.DUMMYFUNCTION("""COMPUTED_VALUE"""),0.0)</f>
        <v>0</v>
      </c>
      <c r="C118">
        <f>IFERROR(__xludf.DUMMYFUNCTION("""COMPUTED_VALUE"""),0.0)</f>
        <v>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IFERROR(__xludf.DUMMYFUNCTION("""COMPUTED_VALUE"""),0.0)</f>
        <v>0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5!W1"")"),"Question: 1")</f>
        <v>Question: 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5!C1:H3""),IMPORTRANGE(""1Knt8XDGFY_MP2OzeadT1pDENTLOdk9Ab_Rd9IdW0kzc"",""Round 5!M1:R3"")}"),"Team A")</f>
        <v>Team A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IFERROR(__xludf.DUMMYFUNCTION("""COMPUTED_VALUE"""),"Team B")</f>
        <v>Team B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5!I32""))"),"A BP: 0")</f>
        <v>A BP: 0</v>
      </c>
      <c r="B122" t="str">
        <f>IFERROR(__xludf.DUMMYFUNCTION("""COMPUTED_VALUE"""),"Score: 0")</f>
        <v>Score: 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0")</f>
        <v>Score: 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5!S32""))"),"B BP: 0")</f>
        <v>B BP: 0</v>
      </c>
      <c r="B123" t="str">
        <f>IFERROR(__xludf.DUMMYFUNCTION("""COMPUTED_VALUE"""),"Player 1")</f>
        <v>Player 1</v>
      </c>
      <c r="C123" t="str">
        <f>IFERROR(__xludf.DUMMYFUNCTION("""COMPUTED_VALUE"""),"Player 2")</f>
        <v>Player 2</v>
      </c>
      <c r="D123" t="str">
        <f>IFERROR(__xludf.DUMMYFUNCTION("""COMPUTED_VALUE"""),"Player 3")</f>
        <v>Player 3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IFERROR(__xludf.DUMMYFUNCTION("""COMPUTED_VALUE"""),"Player 1")</f>
        <v>Player 1</v>
      </c>
      <c r="I123" t="str">
        <f>IFERROR(__xludf.DUMMYFUNCTION("""COMPUTED_VALUE"""),"Player 2")</f>
        <v>Player 2</v>
      </c>
      <c r="J123" t="str">
        <f>IFERROR(__xludf.DUMMYFUNCTION("""COMPUTED_VALUE"""),"Player 3")</f>
        <v>Player 3</v>
      </c>
      <c r="K123" t="str">
        <f>IFERROR(__xludf.DUMMYFUNCTION("""COMPUTED_VALUE"""),"Player 4")</f>
        <v>Player 4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5!C32:H36""),IMPORTRANGE(""1Knt8XDGFY_MP2OzeadT1pDENTLOdk9Ab_Rd9IdW0kzc"",""Round 5!M32:R36"")}"),20.0)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IFERROR(__xludf.DUMMYFUNCTION("""COMPUTED_VALUE"""),0.0)</f>
        <v>0</v>
      </c>
      <c r="C125">
        <f>IFERROR(__xludf.DUMMYFUNCTION("""COMPUTED_VALUE"""),0.0)</f>
        <v>0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IFERROR(__xludf.DUMMYFUNCTION("""COMPUTED_VALUE"""),0.0)</f>
        <v>0</v>
      </c>
      <c r="C126">
        <f>IFERROR(__xludf.DUMMYFUNCTION("""COMPUTED_VALUE"""),0.0)</f>
        <v>0</v>
      </c>
      <c r="D126">
        <f>IFERROR(__xludf.DUMMYFUNCTION("""COMPUTED_VALUE"""),0.0)</f>
        <v>0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IFERROR(__xludf.DUMMYFUNCTION("""COMPUTED_VALUE"""),0.0)</f>
        <v>0</v>
      </c>
      <c r="J126">
        <f>IFERROR(__xludf.DUMMYFUNCTION("""COMPUTED_VALUE"""),0.0)</f>
        <v>0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IFERROR(__xludf.DUMMYFUNCTION("""COMPUTED_VALUE"""),0.0)</f>
        <v>0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IFERROR(__xludf.DUMMYFUNCTION("""COMPUTED_VALUE"""),0.0)</f>
        <v>0</v>
      </c>
      <c r="C128">
        <f>IFERROR(__xludf.DUMMYFUNCTION("""COMPUTED_VALUE"""),0.0)</f>
        <v>0</v>
      </c>
      <c r="D128">
        <f>IFERROR(__xludf.DUMMYFUNCTION("""COMPUTED_VALUE"""),0.0)</f>
        <v>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IFERROR(__xludf.DUMMYFUNCTION("""COMPUTED_VALUE"""),0.0)</f>
        <v>0</v>
      </c>
      <c r="I128">
        <f>IFERROR(__xludf.DUMMYFUNCTION("""COMPUTED_VALUE"""),0.0)</f>
        <v>0</v>
      </c>
      <c r="J128">
        <f>IFERROR(__xludf.DUMMYFUNCTION("""COMPUTED_VALUE"""),0.0)</f>
        <v>0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5!W1"")"),"Question: 1")</f>
        <v>Question: 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5!C1:H3""),IMPORTRANGE(""16i4gsLDaJasgGgtJt27HweoboYNaal3qpX3MtxIR2f0"",""Round 5!M1:R3"")}"),"Team A")</f>
        <v>Team A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IFERROR(__xludf.DUMMYFUNCTION("""COMPUTED_VALUE"""),"Team B")</f>
        <v>Team B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5!I32""))"),"A BP: 0")</f>
        <v>A BP: 0</v>
      </c>
      <c r="B132" t="str">
        <f>IFERROR(__xludf.DUMMYFUNCTION("""COMPUTED_VALUE"""),"Score: 0")</f>
        <v>Score: 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0")</f>
        <v>Score: 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5!S32""))"),"B BP: 0")</f>
        <v>B BP: 0</v>
      </c>
      <c r="B133" t="str">
        <f>IFERROR(__xludf.DUMMYFUNCTION("""COMPUTED_VALUE"""),"Player 1")</f>
        <v>Player 1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IFERROR(__xludf.DUMMYFUNCTION("""COMPUTED_VALUE"""),"Player 1")</f>
        <v>Player 1</v>
      </c>
      <c r="I133" t="str">
        <f>IFERROR(__xludf.DUMMYFUNCTION("""COMPUTED_VALUE"""),"Player 2")</f>
        <v>Player 2</v>
      </c>
      <c r="J133" t="str">
        <f>IFERROR(__xludf.DUMMYFUNCTION("""COMPUTED_VALUE"""),"Player 3")</f>
        <v>Player 3</v>
      </c>
      <c r="K133" t="str">
        <f>IFERROR(__xludf.DUMMYFUNCTION("""COMPUTED_VALUE"""),"Player 4")</f>
        <v>Player 4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5!C32:H36""),IMPORTRANGE(""16i4gsLDaJasgGgtJt27HweoboYNaal3qpX3MtxIR2f0"",""Round 5!M32:R36"")}"),20.0)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IFERROR(__xludf.DUMMYFUNCTION("""COMPUTED_VALUE"""),0.0)</f>
        <v>0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IFERROR(__xludf.DUMMYFUNCTION("""COMPUTED_VALUE"""),0.0)</f>
        <v>0</v>
      </c>
      <c r="I135">
        <f>IFERROR(__xludf.DUMMYFUNCTION("""COMPUTED_VALUE"""),0.0)</f>
        <v>0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IFERROR(__xludf.DUMMYFUNCTION("""COMPUTED_VALUE"""),0.0)</f>
        <v>0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IFERROR(__xludf.DUMMYFUNCTION("""COMPUTED_VALUE"""),0.0)</f>
        <v>0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IFERROR(__xludf.DUMMYFUNCTION("""COMPUTED_VALUE"""),0.0)</f>
        <v>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IFERROR(__xludf.DUMMYFUNCTION("""COMPUTED_VALUE"""),0.0)</f>
        <v>0</v>
      </c>
      <c r="I138">
        <f>IFERROR(__xludf.DUMMYFUNCTION("""COMPUTED_VALUE"""),0.0)</f>
        <v>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5!W1"")"),"Question: 1")</f>
        <v>Question: 1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5!C1:H3""),IMPORTRANGE(""1KRyI2c190uhOTF270Hsdzh1rgG565QIaE9TymteaGNY"",""Round 5!M1:R3"")}"),"Team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IFERROR(__xludf.DUMMYFUNCTION("""COMPUTED_VALUE"""),"Team B")</f>
        <v>Team B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5!I32""))"),"A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5!S32""))"),"B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IFERROR(__xludf.DUMMYFUNCTION("""COMPUTED_VALUE"""),"Player 1")</f>
        <v>Player 1</v>
      </c>
      <c r="I143" t="str">
        <f>IFERROR(__xludf.DUMMYFUNCTION("""COMPUTED_VALUE"""),"Player 2")</f>
        <v>Player 2</v>
      </c>
      <c r="J143" t="str">
        <f>IFERROR(__xludf.DUMMYFUNCTION("""COMPUTED_VALUE"""),"Player 3")</f>
        <v>Player 3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5!C32:H36""),IMPORTRANGE(""1KRyI2c190uhOTF270Hsdzh1rgG565QIaE9TymteaGNY"",""Round 5!M32:R36"")}"),20.0)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5!W1"")"),"Question: 1")</f>
        <v>Question: 1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5!C1:H3""),IMPORTRANGE(""1zr0uYCpJ5izByVOUCsr6JXezthGEdLXnwOrjIKGx5XI"",""Round 5!M1:R3"")}"),"Team A")</f>
        <v>Team A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IFERROR(__xludf.DUMMYFUNCTION("""COMPUTED_VALUE"""),"Team B")</f>
        <v>Team B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5!I32""))"),"A BP: 0")</f>
        <v>A BP: 0</v>
      </c>
      <c r="B152" t="str">
        <f>IFERROR(__xludf.DUMMYFUNCTION("""COMPUTED_VALUE"""),"Score: 0")</f>
        <v>Score: 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0")</f>
        <v>Score: 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5!S32""))"),"B BP: 0")</f>
        <v>B BP: 0</v>
      </c>
      <c r="B153" t="str">
        <f>IFERROR(__xludf.DUMMYFUNCTION("""COMPUTED_VALUE"""),"Player 1")</f>
        <v>Player 1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IFERROR(__xludf.DUMMYFUNCTION("""COMPUTED_VALUE"""),"Player 1")</f>
        <v>Player 1</v>
      </c>
      <c r="I153" t="str">
        <f>IFERROR(__xludf.DUMMYFUNCTION("""COMPUTED_VALUE"""),"Player 2")</f>
        <v>Player 2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5!C32:H36""),IMPORTRANGE(""1zr0uYCpJ5izByVOUCsr6JXezthGEdLXnwOrjIKGx5XI"",""Round 5!M32:R36"")}"),20.0)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IFERROR(__xludf.DUMMYFUNCTION("""COMPUTED_VALUE"""),0.0)</f>
        <v>0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IFERROR(__xludf.DUMMYFUNCTION("""COMPUTED_VALUE"""),0.0)</f>
        <v>0</v>
      </c>
      <c r="I155">
        <f>IFERROR(__xludf.DUMMYFUNCTION("""COMPUTED_VALUE"""),0.0)</f>
        <v>0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IFERROR(__xludf.DUMMYFUNCTION("""COMPUTED_VALUE"""),0.0)</f>
        <v>0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IFERROR(__xludf.DUMMYFUNCTION("""COMPUTED_VALUE"""),0.0)</f>
        <v>0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IFERROR(__xludf.DUMMYFUNCTION("""COMPUTED_VALUE"""),0.0)</f>
        <v>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IFERROR(__xludf.DUMMYFUNCTION("""COMPUTED_VALUE"""),0.0)</f>
        <v>0</v>
      </c>
      <c r="I158">
        <f>IFERROR(__xludf.DUMMYFUNCTION("""COMPUTED_VALUE"""),0.0)</f>
        <v>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5!W1"")"),"Question: 1")</f>
        <v>Question: 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5!C1:H3""),IMPORTRANGE(""1TVrjNI5RE1VozIr906BhaTKMFP0VPx8aUGpyt_loukE"",""Round 5!M1:R3"")}"),"Team A")</f>
        <v>Team A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IFERROR(__xludf.DUMMYFUNCTION("""COMPUTED_VALUE"""),"Team B")</f>
        <v>Team B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5!I32""))"),"A BP: 0")</f>
        <v>A BP: 0</v>
      </c>
      <c r="B162" t="str">
        <f>IFERROR(__xludf.DUMMYFUNCTION("""COMPUTED_VALUE"""),"Score: 0")</f>
        <v>Score: 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0")</f>
        <v>Score: 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5!S32""))"),"B BP: 0")</f>
        <v>B BP: 0</v>
      </c>
      <c r="B163" t="str">
        <f>IFERROR(__xludf.DUMMYFUNCTION("""COMPUTED_VALUE"""),"Player 1")</f>
        <v>Player 1</v>
      </c>
      <c r="C163" t="str">
        <f>IFERROR(__xludf.DUMMYFUNCTION("""COMPUTED_VALUE"""),"Player 2")</f>
        <v>Player 2</v>
      </c>
      <c r="D163" t="str">
        <f>IFERROR(__xludf.DUMMYFUNCTION("""COMPUTED_VALUE"""),"Player 3")</f>
        <v>Player 3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IFERROR(__xludf.DUMMYFUNCTION("""COMPUTED_VALUE"""),"Player 1")</f>
        <v>Player 1</v>
      </c>
      <c r="I163" t="str">
        <f>IFERROR(__xludf.DUMMYFUNCTION("""COMPUTED_VALUE"""),"Player 2")</f>
        <v>Player 2</v>
      </c>
      <c r="J163" t="str">
        <f>IFERROR(__xludf.DUMMYFUNCTION("""COMPUTED_VALUE"""),"Player 3")</f>
        <v>Player 3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5!C32:H36""),IMPORTRANGE(""1TVrjNI5RE1VozIr906BhaTKMFP0VPx8aUGpyt_loukE"",""Round 5!M32:R36"")}"),20.0)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IFERROR(__xludf.DUMMYFUNCTION("""COMPUTED_VALUE"""),0.0)</f>
        <v>0</v>
      </c>
      <c r="C166">
        <f>IFERROR(__xludf.DUMMYFUNCTION("""COMPUTED_VALUE"""),0.0)</f>
        <v>0</v>
      </c>
      <c r="D166">
        <f>IFERROR(__xludf.DUMMYFUNCTION("""COMPUTED_VALUE"""),0.0)</f>
        <v>0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IFERROR(__xludf.DUMMYFUNCTION("""COMPUTED_VALUE"""),0.0)</f>
        <v>0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IFERROR(__xludf.DUMMYFUNCTION("""COMPUTED_VALUE"""),0.0)</f>
        <v>0</v>
      </c>
      <c r="D167">
        <f>IFERROR(__xludf.DUMMYFUNCTION("""COMPUTED_VALUE"""),0.0)</f>
        <v>0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IFERROR(__xludf.DUMMYFUNCTION("""COMPUTED_VALUE"""),0.0)</f>
        <v>0</v>
      </c>
      <c r="C168">
        <f>IFERROR(__xludf.DUMMYFUNCTION("""COMPUTED_VALUE"""),0.0)</f>
        <v>0</v>
      </c>
      <c r="D168">
        <f>IFERROR(__xludf.DUMMYFUNCTION("""COMPUTED_VALUE"""),0.0)</f>
        <v>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IFERROR(__xludf.DUMMYFUNCTION("""COMPUTED_VALUE"""),0.0)</f>
        <v>0</v>
      </c>
      <c r="I168">
        <f>IFERROR(__xludf.DUMMYFUNCTION("""COMPUTED_VALUE"""),0.0)</f>
        <v>0</v>
      </c>
      <c r="J168">
        <f>IFERROR(__xludf.DUMMYFUNCTION("""COMPUTED_VALUE"""),0.0)</f>
        <v>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5!W1"")"),"Question: 1")</f>
        <v>Question: 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5!C1:H3""),IMPORTRANGE(""1xRz0po-ejgp-QRvMkY44z3u2CePgTccasdyrrVALbmE"",""Round 5!M1:R3"")}"),"Team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5!I32""))"),"A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5!S32""))"),"B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5!C32:H36""),IMPORTRANGE(""1xRz0po-ejgp-QRvMkY44z3u2CePgTccasdyrrVALbmE"",""Round 5!M32:R36"")}"),20.0)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5!W1"")"),"Question: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6!C1:H3""),IMPORTRANGE(""1JXwZ4AjXctyKvWy9qFKCX518NRYJYhSX9Jii0HPBCUs"",""Round 6!M1:R3"")}"),"Team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6!I32""))"),"A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6!S32""))"),"B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6!C32:H36""),IMPORTRANGE(""1JXwZ4AjXctyKvWy9qFKCX518NRYJYhSX9Jii0HPBCUs"",""Round 6!M32:R36"")}"),20.0)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6!W1"")"),"Question: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6!C1:H3""),IMPORTRANGE(""1GBDUn_ZojNLX5OJCVBEhvJbdm0c55Z7lPcE4L6WH89o"",""Round 6!M1:R3"")}"),"Team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6!I32""))"),"A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6!S32""))"),"B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6!C32:H36""),IMPORTRANGE(""1GBDUn_ZojNLX5OJCVBEhvJbdm0c55Z7lPcE4L6WH89o"",""Round 6!M32:R36"")}"),20.0)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6!W1"")"),"Question: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6!C1:H3""),IMPORTRANGE(""19Dum1qlL_dEwf1AEniLf02Eg9XaNXi1GMkI5M4_Ei6w"",""Round 6!M1:R3"")}"),"Team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6!I32""))"),"A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6!S32""))"),"B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6!C32:H36""),IMPORTRANGE(""19Dum1qlL_dEwf1AEniLf02Eg9XaNXi1GMkI5M4_Ei6w"",""Round 6!M32:R36"")}"),20.0)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6!W1"")"),"Question: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6!C1:H3""),IMPORTRANGE(""18KjuM_F6goZYnozVb7folIb5Hw_mfKQrNdVWKGx6j4s"",""Round 6!M1:R3"")}"),"Oak Valley C (JV)")</f>
        <v>Oak Valley C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IFERROR(__xludf.DUMMYFUNCTION("""COMPUTED_VALUE"""),"Rancho Bernardo (JV)")</f>
        <v>Rancho Bernardo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6!I32""))"),"A BP: 10")</f>
        <v>A BP: 10</v>
      </c>
      <c r="B32" t="str">
        <f>IFERROR(__xludf.DUMMYFUNCTION("""COMPUTED_VALUE"""),"Score: 45")</f>
        <v>Score: 45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295")</f>
        <v>Score: 295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6!S32""))"),"B BP: 160")</f>
        <v>B BP: 160</v>
      </c>
      <c r="B33" t="str">
        <f>IFERROR(__xludf.DUMMYFUNCTION("""COMPUTED_VALUE"""),"Sarah Feng (6)")</f>
        <v>Sarah Feng (6)</v>
      </c>
      <c r="C33" t="str">
        <f>IFERROR(__xludf.DUMMYFUNCTION("""COMPUTED_VALUE"""),"Saanvi Agarwal (6)")</f>
        <v>Saanvi Agarwal (6)</v>
      </c>
      <c r="D33" t="str">
        <f>IFERROR(__xludf.DUMMYFUNCTION("""COMPUTED_VALUE"""),"Tay Kim (7)")</f>
        <v>Tay Kim (7)</v>
      </c>
      <c r="E33" t="str">
        <f>IFERROR(__xludf.DUMMYFUNCTION("""COMPUTED_VALUE"""),"Chinmay Ramamurthy (7)")</f>
        <v>Chinmay Ramamurthy (7)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IFERROR(__xludf.DUMMYFUNCTION("""COMPUTED_VALUE"""),"Sandy Tran (12)")</f>
        <v>Sandy Tran (12)</v>
      </c>
      <c r="I33" t="str">
        <f>IFERROR(__xludf.DUMMYFUNCTION("""COMPUTED_VALUE"""),"Patrick Joyce (11)")</f>
        <v>Patrick Joyce (11)</v>
      </c>
      <c r="J33" t="str">
        <f>IFERROR(__xludf.DUMMYFUNCTION("""COMPUTED_VALUE"""),"Katheryn Garrett (11)")</f>
        <v>Katheryn Garrett (11)</v>
      </c>
      <c r="K33" t="str">
        <f>IFERROR(__xludf.DUMMYFUNCTION("""COMPUTED_VALUE"""),"YungYi Sun (12)")</f>
        <v>YungYi Sun (12)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6!C32:H36""),IMPORTRANGE(""18KjuM_F6goZYnozVb7folIb5Hw_mfKQrNdVWKGx6j4s"",""Round 6!M32:R36"")}"),20.0)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IFERROR(__xludf.DUMMYFUNCTION("""COMPUTED_VALUE"""),0.0)</f>
        <v>0</v>
      </c>
      <c r="C35">
        <f>IFERROR(__xludf.DUMMYFUNCTION("""COMPUTED_VALUE"""),1.0)</f>
        <v>1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IFERROR(__xludf.DUMMYFUNCTION("""COMPUTED_VALUE"""),3.0)</f>
        <v>3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IFERROR(__xludf.DUMMYFUNCTION("""COMPUTED_VALUE"""),0.0)</f>
        <v>0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IFERROR(__xludf.DUMMYFUNCTION("""COMPUTED_VALUE"""),1.0)</f>
        <v>1</v>
      </c>
      <c r="C36">
        <f>IFERROR(__xludf.DUMMYFUNCTION("""COMPUTED_VALUE"""),1.0)</f>
        <v>1</v>
      </c>
      <c r="D36">
        <f>IFERROR(__xludf.DUMMYFUNCTION("""COMPUTED_VALUE"""),0.0)</f>
        <v>0</v>
      </c>
      <c r="E36">
        <f>IFERROR(__xludf.DUMMYFUNCTION("""COMPUTED_VALUE"""),1.0)</f>
        <v>1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IFERROR(__xludf.DUMMYFUNCTION("""COMPUTED_VALUE"""),8.0)</f>
        <v>8</v>
      </c>
      <c r="I36">
        <f>IFERROR(__xludf.DUMMYFUNCTION("""COMPUTED_VALUE"""),0.0)</f>
        <v>0</v>
      </c>
      <c r="J36">
        <f>IFERROR(__xludf.DUMMYFUNCTION("""COMPUTED_VALUE"""),1.0)</f>
        <v>1</v>
      </c>
      <c r="K36">
        <f>IFERROR(__xludf.DUMMYFUNCTION("""COMPUTED_VALUE"""),1.0)</f>
        <v>1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IFERROR(__xludf.DUMMYFUNCTION("""COMPUTED_VALUE"""),0.0)</f>
        <v>0</v>
      </c>
      <c r="C37">
        <f>IFERROR(__xludf.DUMMYFUNCTION("""COMPUTED_VALUE"""),1.0)</f>
        <v>1</v>
      </c>
      <c r="D37">
        <f>IFERROR(__xludf.DUMMYFUNCTION("""COMPUTED_VALUE"""),0.0)</f>
        <v>0</v>
      </c>
      <c r="E37">
        <f>IFERROR(__xludf.DUMMYFUNCTION("""COMPUTED_VALUE"""),1.0)</f>
        <v>1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IFERROR(__xludf.DUMMYFUNCTION("""COMPUTED_VALUE"""),1.0)</f>
        <v>1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IFERROR(__xludf.DUMMYFUNCTION("""COMPUTED_VALUE"""),10.0)</f>
        <v>10</v>
      </c>
      <c r="C38">
        <f>IFERROR(__xludf.DUMMYFUNCTION("""COMPUTED_VALUE"""),20.0)</f>
        <v>20</v>
      </c>
      <c r="D38">
        <f>IFERROR(__xludf.DUMMYFUNCTION("""COMPUTED_VALUE"""),0.0)</f>
        <v>0</v>
      </c>
      <c r="E38">
        <f>IFERROR(__xludf.DUMMYFUNCTION("""COMPUTED_VALUE"""),5.0)</f>
        <v>5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IFERROR(__xludf.DUMMYFUNCTION("""COMPUTED_VALUE"""),120.0)</f>
        <v>120</v>
      </c>
      <c r="I38">
        <f>IFERROR(__xludf.DUMMYFUNCTION("""COMPUTED_VALUE"""),0.0)</f>
        <v>0</v>
      </c>
      <c r="J38">
        <f>IFERROR(__xludf.DUMMYFUNCTION("""COMPUTED_VALUE"""),10.0)</f>
        <v>10</v>
      </c>
      <c r="K38">
        <f>IFERROR(__xludf.DUMMYFUNCTION("""COMPUTED_VALUE"""),5.0)</f>
        <v>5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6!W1"")"),"Question: 21")</f>
        <v>Question: 21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6!C1:H3""),IMPORTRANGE(""1_YEY20HiFjspjicPICCMlL_lQXsksdB6d3m5vzHwuOI"",""Round 6!M1:R3"")}"),"Westview C (JV)")</f>
        <v>Westview C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IFERROR(__xludf.DUMMYFUNCTION("""COMPUTED_VALUE"""),"La Serna A (JV)")</f>
        <v>La Serna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6!I32""))"),"A BP: 110")</f>
        <v>A BP: 110</v>
      </c>
      <c r="B42" t="str">
        <f>IFERROR(__xludf.DUMMYFUNCTION("""COMPUTED_VALUE"""),"Score: 185")</f>
        <v>Score: 185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350")</f>
        <v>Score: 350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6!S32""))"),"B BP: 200")</f>
        <v>B BP: 200</v>
      </c>
      <c r="B43" t="str">
        <f>IFERROR(__xludf.DUMMYFUNCTION("""COMPUTED_VALUE"""),"Rohan Kumar (11)")</f>
        <v>Rohan Kumar (11)</v>
      </c>
      <c r="C43" t="str">
        <f>IFERROR(__xludf.DUMMYFUNCTION("""COMPUTED_VALUE"""),"Aiken Wang (9)")</f>
        <v>Aiken Wang (9)</v>
      </c>
      <c r="D43" t="str">
        <f>IFERROR(__xludf.DUMMYFUNCTION("""COMPUTED_VALUE"""),"Radhika Sreelal (10)")</f>
        <v>Radhika Sreelal (10)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IFERROR(__xludf.DUMMYFUNCTION("""COMPUTED_VALUE"""),"Jay Gamez (12)")</f>
        <v>Jay Gamez (12)</v>
      </c>
      <c r="I43" t="str">
        <f>IFERROR(__xludf.DUMMYFUNCTION("""COMPUTED_VALUE"""),"Cole Aedo (12)")</f>
        <v>Cole Aedo (12)</v>
      </c>
      <c r="J43" t="str">
        <f>IFERROR(__xludf.DUMMYFUNCTION("""COMPUTED_VALUE"""),"Ian Brennan (12)")</f>
        <v>Ian Brennan (12)</v>
      </c>
      <c r="K43" t="str">
        <f>IFERROR(__xludf.DUMMYFUNCTION("""COMPUTED_VALUE"""),"Player 4")</f>
        <v>Player 4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6!C32:H36""),IMPORTRANGE(""1_YEY20HiFjspjicPICCMlL_lQXsksdB6d3m5vzHwuOI"",""Round 6!M32:R36"")}"),20.0)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IFERROR(__xludf.DUMMYFUNCTION("""COMPUTED_VALUE"""),0.0)</f>
        <v>0</v>
      </c>
      <c r="C45">
        <f>IFERROR(__xludf.DUMMYFUNCTION("""COMPUTED_VALUE"""),2.0)</f>
        <v>2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IFERROR(__xludf.DUMMYFUNCTION("""COMPUTED_VALUE"""),0.0)</f>
        <v>0</v>
      </c>
      <c r="I45">
        <f>IFERROR(__xludf.DUMMYFUNCTION("""COMPUTED_VALUE"""),4.0)</f>
        <v>4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IFERROR(__xludf.DUMMYFUNCTION("""COMPUTED_VALUE"""),2.0)</f>
        <v>2</v>
      </c>
      <c r="C46">
        <f>IFERROR(__xludf.DUMMYFUNCTION("""COMPUTED_VALUE"""),3.0)</f>
        <v>3</v>
      </c>
      <c r="D46">
        <f>IFERROR(__xludf.DUMMYFUNCTION("""COMPUTED_VALUE"""),0.0)</f>
        <v>0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IFERROR(__xludf.DUMMYFUNCTION("""COMPUTED_VALUE"""),0.0)</f>
        <v>0</v>
      </c>
      <c r="I46">
        <f>IFERROR(__xludf.DUMMYFUNCTION("""COMPUTED_VALUE"""),6.0)</f>
        <v>6</v>
      </c>
      <c r="J46">
        <f>IFERROR(__xludf.DUMMYFUNCTION("""COMPUTED_VALUE"""),3.0)</f>
        <v>3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IFERROR(__xludf.DUMMYFUNCTION("""COMPUTED_VALUE"""),0.0)</f>
        <v>0</v>
      </c>
      <c r="C47">
        <f>IFERROR(__xludf.DUMMYFUNCTION("""COMPUTED_VALUE"""),0.0)</f>
        <v>0</v>
      </c>
      <c r="D47">
        <f>IFERROR(__xludf.DUMMYFUNCTION("""COMPUTED_VALUE"""),1.0)</f>
        <v>1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IFERROR(__xludf.DUMMYFUNCTION("""COMPUTED_VALUE"""),0.0)</f>
        <v>0</v>
      </c>
      <c r="I47">
        <f>IFERROR(__xludf.DUMMYFUNCTION("""COMPUTED_VALUE"""),0.0)</f>
        <v>0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IFERROR(__xludf.DUMMYFUNCTION("""COMPUTED_VALUE"""),20.0)</f>
        <v>20</v>
      </c>
      <c r="C48">
        <f>IFERROR(__xludf.DUMMYFUNCTION("""COMPUTED_VALUE"""),60.0)</f>
        <v>60</v>
      </c>
      <c r="D48">
        <f>IFERROR(__xludf.DUMMYFUNCTION("""COMPUTED_VALUE"""),-5.0)</f>
        <v>-5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IFERROR(__xludf.DUMMYFUNCTION("""COMPUTED_VALUE"""),0.0)</f>
        <v>0</v>
      </c>
      <c r="I48">
        <f>IFERROR(__xludf.DUMMYFUNCTION("""COMPUTED_VALUE"""),120.0)</f>
        <v>120</v>
      </c>
      <c r="J48">
        <f>IFERROR(__xludf.DUMMYFUNCTION("""COMPUTED_VALUE"""),30.0)</f>
        <v>30</v>
      </c>
      <c r="K48">
        <f>IFERROR(__xludf.DUMMYFUNCTION("""COMPUTED_VALUE"""),0.0)</f>
        <v>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6!W1"")"),"Question: 21")</f>
        <v>Question: 21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6!C1:H3""),IMPORTRANGE(""1SYS5Ef48991ZUgqcGqj51eX2YgqKCzfrEZ_pUY01Lwo"",""Round 6!M1:R3"")}"),"Canyon Crest D (JV)")</f>
        <v>Canyon Crest D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IFERROR(__xludf.DUMMYFUNCTION("""COMPUTED_VALUE"""),"Troy B (JV)")</f>
        <v>Troy B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6!I32""))"),"A BP: 210")</f>
        <v>A BP: 210</v>
      </c>
      <c r="B52" t="str">
        <f>IFERROR(__xludf.DUMMYFUNCTION("""COMPUTED_VALUE"""),"Score: 365")</f>
        <v>Score: 365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60")</f>
        <v>Score: 60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6!S32""))"),"B BP: 30")</f>
        <v>B BP: 30</v>
      </c>
      <c r="B53" t="str">
        <f>IFERROR(__xludf.DUMMYFUNCTION("""COMPUTED_VALUE"""),"Tompson Hsu (12)")</f>
        <v>Tompson Hsu (12)</v>
      </c>
      <c r="C53" t="str">
        <f>IFERROR(__xludf.DUMMYFUNCTION("""COMPUTED_VALUE"""),"Demitrius Hong (12)")</f>
        <v>Demitrius Hong (12)</v>
      </c>
      <c r="D53" t="str">
        <f>IFERROR(__xludf.DUMMYFUNCTION("""COMPUTED_VALUE"""),"Kyle Lu (12)")</f>
        <v>Kyle Lu (12)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IFERROR(__xludf.DUMMYFUNCTION("""COMPUTED_VALUE"""),"Ryan Salehi (11)")</f>
        <v>Ryan Salehi (11)</v>
      </c>
      <c r="I53" t="str">
        <f>IFERROR(__xludf.DUMMYFUNCTION("""COMPUTED_VALUE"""),"Juan Manalo (11)")</f>
        <v>Juan Manalo (11)</v>
      </c>
      <c r="J53" t="str">
        <f>IFERROR(__xludf.DUMMYFUNCTION("""COMPUTED_VALUE"""),"Luke Waldo (11)")</f>
        <v>Luke Waldo (11)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6!C32:H36""),IMPORTRANGE(""1SYS5Ef48991ZUgqcGqj51eX2YgqKCzfrEZ_pUY01Lwo"",""Round 6!M32:R36"")}"),20.0)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IFERROR(__xludf.DUMMYFUNCTION("""COMPUTED_VALUE"""),3.0)</f>
        <v>3</v>
      </c>
      <c r="C55">
        <f>IFERROR(__xludf.DUMMYFUNCTION("""COMPUTED_VALUE"""),1.0)</f>
        <v>1</v>
      </c>
      <c r="D55">
        <f>IFERROR(__xludf.DUMMYFUNCTION("""COMPUTED_VALUE"""),1.0)</f>
        <v>1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IFERROR(__xludf.DUMMYFUNCTION("""COMPUTED_VALUE"""),1.0)</f>
        <v>1</v>
      </c>
      <c r="C56">
        <f>IFERROR(__xludf.DUMMYFUNCTION("""COMPUTED_VALUE"""),5.0)</f>
        <v>5</v>
      </c>
      <c r="D56">
        <f>IFERROR(__xludf.DUMMYFUNCTION("""COMPUTED_VALUE"""),2.0)</f>
        <v>2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IFERROR(__xludf.DUMMYFUNCTION("""COMPUTED_VALUE"""),1.0)</f>
        <v>1</v>
      </c>
      <c r="I56">
        <f>IFERROR(__xludf.DUMMYFUNCTION("""COMPUTED_VALUE"""),1.0)</f>
        <v>1</v>
      </c>
      <c r="J56">
        <f>IFERROR(__xludf.DUMMYFUNCTION("""COMPUTED_VALUE"""),1.0)</f>
        <v>1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IFERROR(__xludf.DUMMYFUNCTION("""COMPUTED_VALUE"""),2.0)</f>
        <v>2</v>
      </c>
      <c r="I57">
        <f>IFERROR(__xludf.DUMMYFUNCTION("""COMPUTED_VALUE"""),1.0)</f>
        <v>1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IFERROR(__xludf.DUMMYFUNCTION("""COMPUTED_VALUE"""),55.0)</f>
        <v>55</v>
      </c>
      <c r="C58">
        <f>IFERROR(__xludf.DUMMYFUNCTION("""COMPUTED_VALUE"""),65.0)</f>
        <v>65</v>
      </c>
      <c r="D58">
        <f>IFERROR(__xludf.DUMMYFUNCTION("""COMPUTED_VALUE"""),35.0)</f>
        <v>35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IFERROR(__xludf.DUMMYFUNCTION("""COMPUTED_VALUE"""),15.0)</f>
        <v>15</v>
      </c>
      <c r="I58">
        <f>IFERROR(__xludf.DUMMYFUNCTION("""COMPUTED_VALUE"""),5.0)</f>
        <v>5</v>
      </c>
      <c r="J58">
        <f>IFERROR(__xludf.DUMMYFUNCTION("""COMPUTED_VALUE"""),10.0)</f>
        <v>10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6!W1"")"),"Question: 21")</f>
        <v>Question: 21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6!C1:H3""),IMPORTRANGE(""1UJlRLlhI2Hg_SAQqQOg0JGdwHhiagF7EVAtCX8UOYFc"",""Round 6!M1:R3"")}"),"Oak Valley A (JV)")</f>
        <v>Oak Valley A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IFERROR(__xludf.DUMMYFUNCTION("""COMPUTED_VALUE"""),"Valley Center (JV)")</f>
        <v>Valley Center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6!I32""))"),"A BP: 470")</f>
        <v>A BP: 470</v>
      </c>
      <c r="B62" t="str">
        <f>IFERROR(__xludf.DUMMYFUNCTION("""COMPUTED_VALUE"""),"Score: 675")</f>
        <v>Score: 675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5")</f>
        <v>Score: 5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6!S32""))"),"B BP: 10")</f>
        <v>B BP: 10</v>
      </c>
      <c r="B63" t="str">
        <f>IFERROR(__xludf.DUMMYFUNCTION("""COMPUTED_VALUE"""),"Conner Feng (8)")</f>
        <v>Conner Feng (8)</v>
      </c>
      <c r="C63" t="str">
        <f>IFERROR(__xludf.DUMMYFUNCTION("""COMPUTED_VALUE"""),"Raunak Mondal (7)")</f>
        <v>Raunak Mondal (7)</v>
      </c>
      <c r="D63" t="str">
        <f>IFERROR(__xludf.DUMMYFUNCTION("""COMPUTED_VALUE"""),"Jadon Pandian (7)")</f>
        <v>Jadon Pandian (7)</v>
      </c>
      <c r="E63" t="str">
        <f>IFERROR(__xludf.DUMMYFUNCTION("""COMPUTED_VALUE"""),"Jonas Brown (7)")</f>
        <v>Jonas Brown (7)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IFERROR(__xludf.DUMMYFUNCTION("""COMPUTED_VALUE"""),"Ava Downey (12)")</f>
        <v>Ava Downey (12)</v>
      </c>
      <c r="I63" t="str">
        <f>IFERROR(__xludf.DUMMYFUNCTION("""COMPUTED_VALUE"""),"Leon Thigh (11)")</f>
        <v>Leon Thigh (11)</v>
      </c>
      <c r="J63" t="str">
        <f>IFERROR(__xludf.DUMMYFUNCTION("""COMPUTED_VALUE"""),"Aaron Martinez (11)")</f>
        <v>Aaron Martinez (11)</v>
      </c>
      <c r="K63" t="str">
        <f>IFERROR(__xludf.DUMMYFUNCTION("""COMPUTED_VALUE"""),"Mehreen Sing (12)")</f>
        <v>Mehreen Sing (12)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6!C32:H36""),IMPORTRANGE(""1UJlRLlhI2Hg_SAQqQOg0JGdwHhiagF7EVAtCX8UOYFc"",""Round 6!M32:R36"")}"),20.0)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IFERROR(__xludf.DUMMYFUNCTION("""COMPUTED_VALUE"""),3.0)</f>
        <v>3</v>
      </c>
      <c r="C65">
        <f>IFERROR(__xludf.DUMMYFUNCTION("""COMPUTED_VALUE"""),2.0)</f>
        <v>2</v>
      </c>
      <c r="D65">
        <f>IFERROR(__xludf.DUMMYFUNCTION("""COMPUTED_VALUE"""),0.0)</f>
        <v>0</v>
      </c>
      <c r="E65">
        <f>IFERROR(__xludf.DUMMYFUNCTION("""COMPUTED_VALUE"""),1.0)</f>
        <v>1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IFERROR(__xludf.DUMMYFUNCTION("""COMPUTED_VALUE"""),0.0)</f>
        <v>0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IFERROR(__xludf.DUMMYFUNCTION("""COMPUTED_VALUE"""),2.0)</f>
        <v>2</v>
      </c>
      <c r="C66">
        <f>IFERROR(__xludf.DUMMYFUNCTION("""COMPUTED_VALUE"""),6.0)</f>
        <v>6</v>
      </c>
      <c r="D66">
        <f>IFERROR(__xludf.DUMMYFUNCTION("""COMPUTED_VALUE"""),1.0)</f>
        <v>1</v>
      </c>
      <c r="E66">
        <f>IFERROR(__xludf.DUMMYFUNCTION("""COMPUTED_VALUE"""),3.0)</f>
        <v>3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IFERROR(__xludf.DUMMYFUNCTION("""COMPUTED_VALUE"""),1.0)</f>
        <v>1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IFERROR(__xludf.DUMMYFUNCTION("""COMPUTED_VALUE"""),1.0)</f>
        <v>1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IFERROR(__xludf.DUMMYFUNCTION("""COMPUTED_VALUE"""),1.0)</f>
        <v>1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IFERROR(__xludf.DUMMYFUNCTION("""COMPUTED_VALUE"""),65.0)</f>
        <v>65</v>
      </c>
      <c r="C68">
        <f>IFERROR(__xludf.DUMMYFUNCTION("""COMPUTED_VALUE"""),90.0)</f>
        <v>90</v>
      </c>
      <c r="D68">
        <f>IFERROR(__xludf.DUMMYFUNCTION("""COMPUTED_VALUE"""),10.0)</f>
        <v>10</v>
      </c>
      <c r="E68">
        <f>IFERROR(__xludf.DUMMYFUNCTION("""COMPUTED_VALUE"""),40.0)</f>
        <v>40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IFERROR(__xludf.DUMMYFUNCTION("""COMPUTED_VALUE"""),-10.0)</f>
        <v>-10</v>
      </c>
      <c r="I68">
        <f>IFERROR(__xludf.DUMMYFUNCTION("""COMPUTED_VALUE"""),10.0)</f>
        <v>10</v>
      </c>
      <c r="J68">
        <f>IFERROR(__xludf.DUMMYFUNCTION("""COMPUTED_VALUE"""),-5.0)</f>
        <v>-5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6!W1"")"),"Question: 21")</f>
        <v>Question: 21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6!C1:H3""),IMPORTRANGE(""1jA96n0qbauznSt6-hkr51AslpxJqfrWgkafVtMV8_xU"",""Round 6!M1:R3"")}"),"La Serna B (JV)")</f>
        <v>La Serna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IFERROR(__xludf.DUMMYFUNCTION("""COMPUTED_VALUE"""),"Black Mountain A (JV)")</f>
        <v>Black Mountain A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6!I32""))"),"A BP: 30")</f>
        <v>A BP: 30</v>
      </c>
      <c r="B72" t="str">
        <f>IFERROR(__xludf.DUMMYFUNCTION("""COMPUTED_VALUE"""),"Score: 70")</f>
        <v>Score: 70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340")</f>
        <v>Score: 340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6!S32""))"),"B BP: 200")</f>
        <v>B BP: 200</v>
      </c>
      <c r="B73" t="str">
        <f>IFERROR(__xludf.DUMMYFUNCTION("""COMPUTED_VALUE"""),"Colin Twisselmann (10)")</f>
        <v>Colin Twisselmann (10)</v>
      </c>
      <c r="C73" t="str">
        <f>IFERROR(__xludf.DUMMYFUNCTION("""COMPUTED_VALUE"""),"Liz Carrasco (12)")</f>
        <v>Liz Carrasco (12)</v>
      </c>
      <c r="D73" t="str">
        <f>IFERROR(__xludf.DUMMYFUNCTION("""COMPUTED_VALUE"""),"Jerred Casillas (12)")</f>
        <v>Jerred Casillas (12)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IFERROR(__xludf.DUMMYFUNCTION("""COMPUTED_VALUE"""),"Adarsh Venkateswaran (8)")</f>
        <v>Adarsh Venkateswaran (8)</v>
      </c>
      <c r="I73" t="str">
        <f>IFERROR(__xludf.DUMMYFUNCTION("""COMPUTED_VALUE"""),"Anvit Watwani (7)")</f>
        <v>Anvit Watwani (7)</v>
      </c>
      <c r="J73" t="str">
        <f>IFERROR(__xludf.DUMMYFUNCTION("""COMPUTED_VALUE"""),"Tanvi Bhide (7)")</f>
        <v>Tanvi Bhide (7)</v>
      </c>
      <c r="K73" t="str">
        <f>IFERROR(__xludf.DUMMYFUNCTION("""COMPUTED_VALUE"""),"Edwin Chang (8)")</f>
        <v>Edwin Chang (8)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6!C32:H36""),IMPORTRANGE(""1jA96n0qbauznSt6-hkr51AslpxJqfrWgkafVtMV8_xU"",""Round 6!M32:R36"")}"),20.0)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IFERROR(__xludf.DUMMYFUNCTION("""COMPUTED_VALUE"""),2.0)</f>
        <v>2</v>
      </c>
      <c r="I75">
        <f>IFERROR(__xludf.DUMMYFUNCTION("""COMPUTED_VALUE"""),1.0)</f>
        <v>1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IFERROR(__xludf.DUMMYFUNCTION("""COMPUTED_VALUE"""),2.0)</f>
        <v>2</v>
      </c>
      <c r="C76">
        <f>IFERROR(__xludf.DUMMYFUNCTION("""COMPUTED_VALUE"""),1.0)</f>
        <v>1</v>
      </c>
      <c r="D76">
        <f>IFERROR(__xludf.DUMMYFUNCTION("""COMPUTED_VALUE"""),1.0)</f>
        <v>1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IFERROR(__xludf.DUMMYFUNCTION("""COMPUTED_VALUE"""),5.0)</f>
        <v>5</v>
      </c>
      <c r="I76">
        <f>IFERROR(__xludf.DUMMYFUNCTION("""COMPUTED_VALUE"""),2.0)</f>
        <v>2</v>
      </c>
      <c r="J76">
        <f>IFERROR(__xludf.DUMMYFUNCTION("""COMPUTED_VALUE"""),2.0)</f>
        <v>2</v>
      </c>
      <c r="K76">
        <f>IFERROR(__xludf.DUMMYFUNCTION("""COMPUTED_VALUE"""),1.0)</f>
        <v>1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IFERROR(__xludf.DUMMYFUNCTION("""COMPUTED_VALUE"""),1.0)</f>
        <v>1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IFERROR(__xludf.DUMMYFUNCTION("""COMPUTED_VALUE"""),20.0)</f>
        <v>20</v>
      </c>
      <c r="C78">
        <f>IFERROR(__xludf.DUMMYFUNCTION("""COMPUTED_VALUE"""),10.0)</f>
        <v>10</v>
      </c>
      <c r="D78">
        <f>IFERROR(__xludf.DUMMYFUNCTION("""COMPUTED_VALUE"""),10.0)</f>
        <v>10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IFERROR(__xludf.DUMMYFUNCTION("""COMPUTED_VALUE"""),75.0)</f>
        <v>75</v>
      </c>
      <c r="I78">
        <f>IFERROR(__xludf.DUMMYFUNCTION("""COMPUTED_VALUE"""),35.0)</f>
        <v>35</v>
      </c>
      <c r="J78">
        <f>IFERROR(__xludf.DUMMYFUNCTION("""COMPUTED_VALUE"""),20.0)</f>
        <v>20</v>
      </c>
      <c r="K78">
        <f>IFERROR(__xludf.DUMMYFUNCTION("""COMPUTED_VALUE"""),10.0)</f>
        <v>10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6!W1"")"),"Question: 22")</f>
        <v>Question: 22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6!C1:H3""),IMPORTRANGE(""1xw1EOjVhrK1PNJfOYiUsuJNrlpV53SmfJxYsFFolQ3s"",""Round 6!M1:R3"")}"),"Scripps Ranch B (JV)")</f>
        <v>Scripps Ranch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IFERROR(__xludf.DUMMYFUNCTION("""COMPUTED_VALUE"""),"Del Norte (JV)")</f>
        <v>Del Norte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6!I32""))"),"A BP: 140")</f>
        <v>A BP: 140</v>
      </c>
      <c r="B82" t="str">
        <f>IFERROR(__xludf.DUMMYFUNCTION("""COMPUTED_VALUE"""),"Score: 245")</f>
        <v>Score: 245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240")</f>
        <v>Score: 240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6!S32""))"),"B BP: 130")</f>
        <v>B BP: 130</v>
      </c>
      <c r="B83" t="str">
        <f>IFERROR(__xludf.DUMMYFUNCTION("""COMPUTED_VALUE"""),"Sam Wu (9)")</f>
        <v>Sam Wu (9)</v>
      </c>
      <c r="C83" t="str">
        <f>IFERROR(__xludf.DUMMYFUNCTION("""COMPUTED_VALUE"""),"Lawrence Lo (9)")</f>
        <v>Lawrence Lo (9)</v>
      </c>
      <c r="D83" t="str">
        <f>IFERROR(__xludf.DUMMYFUNCTION("""COMPUTED_VALUE"""),"Tristan Thai (9)")</f>
        <v>Tristan Thai (9)</v>
      </c>
      <c r="E83" t="str">
        <f>IFERROR(__xludf.DUMMYFUNCTION("""COMPUTED_VALUE"""),"Shabdika Gubba (9)")</f>
        <v>Shabdika Gubba (9)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IFERROR(__xludf.DUMMYFUNCTION("""COMPUTED_VALUE"""),"Kyle Nagasawa (11)")</f>
        <v>Kyle Nagasawa (11)</v>
      </c>
      <c r="I83" t="str">
        <f>IFERROR(__xludf.DUMMYFUNCTION("""COMPUTED_VALUE"""),"Kinish Sathish (9)")</f>
        <v>Kinish Sathish (9)</v>
      </c>
      <c r="J83" t="str">
        <f>IFERROR(__xludf.DUMMYFUNCTION("""COMPUTED_VALUE"""),"Player 3")</f>
        <v>Player 3</v>
      </c>
      <c r="K83" t="str">
        <f>IFERROR(__xludf.DUMMYFUNCTION("""COMPUTED_VALUE"""),"Player 4")</f>
        <v>Player 4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6!C32:H36""),IMPORTRANGE(""1xw1EOjVhrK1PNJfOYiUsuJNrlpV53SmfJxYsFFolQ3s"",""Round 6!M32:R36"")}"),20.0)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IFERROR(__xludf.DUMMYFUNCTION("""COMPUTED_VALUE"""),2.0)</f>
        <v>2</v>
      </c>
      <c r="C85">
        <f>IFERROR(__xludf.DUMMYFUNCTION("""COMPUTED_VALUE"""),1.0)</f>
        <v>1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IFERROR(__xludf.DUMMYFUNCTION("""COMPUTED_VALUE"""),2.0)</f>
        <v>2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IFERROR(__xludf.DUMMYFUNCTION("""COMPUTED_VALUE"""),3.0)</f>
        <v>3</v>
      </c>
      <c r="C86">
        <f>IFERROR(__xludf.DUMMYFUNCTION("""COMPUTED_VALUE"""),3.0)</f>
        <v>3</v>
      </c>
      <c r="D86">
        <f>IFERROR(__xludf.DUMMYFUNCTION("""COMPUTED_VALUE"""),0.0)</f>
        <v>0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IFERROR(__xludf.DUMMYFUNCTION("""COMPUTED_VALUE"""),2.0)</f>
        <v>2</v>
      </c>
      <c r="I86">
        <f>IFERROR(__xludf.DUMMYFUNCTION("""COMPUTED_VALUE"""),6.0)</f>
        <v>6</v>
      </c>
      <c r="J86">
        <f>IFERROR(__xludf.DUMMYFUNCTION("""COMPUTED_VALUE"""),0.0)</f>
        <v>0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IFERROR(__xludf.DUMMYFUNCTION("""COMPUTED_VALUE"""),60.0)</f>
        <v>60</v>
      </c>
      <c r="C88">
        <f>IFERROR(__xludf.DUMMYFUNCTION("""COMPUTED_VALUE"""),45.0)</f>
        <v>45</v>
      </c>
      <c r="D88">
        <f>IFERROR(__xludf.DUMMYFUNCTION("""COMPUTED_VALUE"""),0.0)</f>
        <v>0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IFERROR(__xludf.DUMMYFUNCTION("""COMPUTED_VALUE"""),20.0)</f>
        <v>20</v>
      </c>
      <c r="I88">
        <f>IFERROR(__xludf.DUMMYFUNCTION("""COMPUTED_VALUE"""),90.0)</f>
        <v>90</v>
      </c>
      <c r="J88">
        <f>IFERROR(__xludf.DUMMYFUNCTION("""COMPUTED_VALUE"""),0.0)</f>
        <v>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6!W1"")"),"Question: 21")</f>
        <v>Question: 21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6!C1:H3""),IMPORTRANGE(""15wOrdFuJAb1a4MoX5CG4apiBD2jUJ7mBu58Uk-8Mo7s"",""Round 6!M1:R3"")}"),"Team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6!I32""))"),"A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6!S32""))"),"B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6!C32:H36""),IMPORTRANGE(""15wOrdFuJAb1a4MoX5CG4apiBD2jUJ7mBu58Uk-8Mo7s"",""Round 6!M32:R36"")}"),20.0)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6!W1"")"),"Question: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6!C1:H3""),IMPORTRANGE(""1GfJqS1rsy-VutTmPVnm9E2VdinIG-GnQO5b3bhaiX1s"",""Round 6!M1:R3"")}"),"Team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6!I32""))"),"A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6!S32""))"),"B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6!C32:H36""),IMPORTRANGE(""1GfJqS1rsy-VutTmPVnm9E2VdinIG-GnQO5b3bhaiX1s"",""Round 6!M32:R36"")}"),20.0)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6!W1"")"),"Question: 1")</f>
        <v>Question: 1</v>
      </c>
      <c r="B109" s="7" t="s">
        <v>150</v>
      </c>
    </row>
    <row r="110">
      <c r="A110" s="6"/>
    </row>
    <row r="111">
      <c r="A111" s="2" t="s">
        <v>166</v>
      </c>
      <c r="B111" t="str">
        <f>IFERROR(__xludf.DUMMYFUNCTION("{IMPORTRANGE(""17CLUEFflDBSa8dyH5vsXfHme4RV8IhzD-mxe9_c9I5k"",""Round 6!C1:H3""),IMPORTRANGE(""17CLUEFflDBSa8dyH5vsXfHme4RV8IhzD-mxe9_c9I5k"",""Round 6!M1:R3"")}"),"Canyon Crest A (V)")</f>
        <v>Canyon Crest A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IFERROR(__xludf.DUMMYFUNCTION("""COMPUTED_VALUE"""),"Westview A (V)")</f>
        <v>Westview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6!I32""))"),"A BP: 180")</f>
        <v>A BP: 180</v>
      </c>
      <c r="B112" t="str">
        <f>IFERROR(__xludf.DUMMYFUNCTION("""COMPUTED_VALUE"""),"Score: 320")</f>
        <v>Score: 320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315")</f>
        <v>Score: 315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6!S32""))"),"B BP: 210")</f>
        <v>B BP: 210</v>
      </c>
      <c r="B113" t="str">
        <f>IFERROR(__xludf.DUMMYFUNCTION("""COMPUTED_VALUE"""),"Wesley Zhang (12)")</f>
        <v>Wesley Zhang (12)</v>
      </c>
      <c r="C113" t="str">
        <f>IFERROR(__xludf.DUMMYFUNCTION("""COMPUTED_VALUE"""),"Leo Gu (10)")</f>
        <v>Leo Gu (10)</v>
      </c>
      <c r="D113" t="str">
        <f>IFERROR(__xludf.DUMMYFUNCTION("""COMPUTED_VALUE"""),"")</f>
        <v/>
      </c>
      <c r="E113" t="str">
        <f>IFERROR(__xludf.DUMMYFUNCTION("""COMPUTED_VALUE"""),"")</f>
        <v/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IFERROR(__xludf.DUMMYFUNCTION("""COMPUTED_VALUE"""),"Shahar Schwartz (12)")</f>
        <v>Shahar Schwartz (12)</v>
      </c>
      <c r="I113" t="str">
        <f>IFERROR(__xludf.DUMMYFUNCTION("""COMPUTED_VALUE"""),"Junu Song (12)")</f>
        <v>Junu Song (12)</v>
      </c>
      <c r="J113" t="str">
        <f>IFERROR(__xludf.DUMMYFUNCTION("""COMPUTED_VALUE"""),"Daniel Jung (12)")</f>
        <v>Daniel Jung (12)</v>
      </c>
      <c r="K113" t="str">
        <f>IFERROR(__xludf.DUMMYFUNCTION("""COMPUTED_VALUE"""),"Gary Lin (11)")</f>
        <v>Gary Lin (11)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6!C32:H36""),IMPORTRANGE(""17CLUEFflDBSa8dyH5vsXfHme4RV8IhzD-mxe9_c9I5k"",""Round 6!M32:R36"")}"),20.0)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IFERROR(__xludf.DUMMYFUNCTION("""COMPUTED_VALUE"""),6.0)</f>
        <v>6</v>
      </c>
      <c r="C115">
        <f>IFERROR(__xludf.DUMMYFUNCTION("""COMPUTED_VALUE"""),0.0)</f>
        <v>0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IFERROR(__xludf.DUMMYFUNCTION("""COMPUTED_VALUE"""),4.0)</f>
        <v>4</v>
      </c>
      <c r="I115">
        <f>IFERROR(__xludf.DUMMYFUNCTION("""COMPUTED_VALUE"""),0.0)</f>
        <v>0</v>
      </c>
      <c r="J115">
        <f>IFERROR(__xludf.DUMMYFUNCTION("""COMPUTED_VALUE"""),2.0)</f>
        <v>2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IFERROR(__xludf.DUMMYFUNCTION("""COMPUTED_VALUE"""),4.0)</f>
        <v>4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IFERROR(__xludf.DUMMYFUNCTION("""COMPUTED_VALUE"""),2.0)</f>
        <v>2</v>
      </c>
      <c r="I116">
        <f>IFERROR(__xludf.DUMMYFUNCTION("""COMPUTED_VALUE"""),1.0)</f>
        <v>1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IFERROR(__xludf.DUMMYFUNCTION("""COMPUTED_VALUE"""),0.0)</f>
        <v>0</v>
      </c>
      <c r="C117">
        <f>IFERROR(__xludf.DUMMYFUNCTION("""COMPUTED_VALUE"""),0.0)</f>
        <v>0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IFERROR(__xludf.DUMMYFUNCTION("""COMPUTED_VALUE"""),2.0)</f>
        <v>2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IFERROR(__xludf.DUMMYFUNCTION("""COMPUTED_VALUE"""),1.0)</f>
        <v>1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IFERROR(__xludf.DUMMYFUNCTION("""COMPUTED_VALUE"""),130.0)</f>
        <v>130</v>
      </c>
      <c r="C118">
        <f>IFERROR(__xludf.DUMMYFUNCTION("""COMPUTED_VALUE"""),10.0)</f>
        <v>10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IFERROR(__xludf.DUMMYFUNCTION("""COMPUTED_VALUE"""),70.0)</f>
        <v>70</v>
      </c>
      <c r="I118">
        <f>IFERROR(__xludf.DUMMYFUNCTION("""COMPUTED_VALUE"""),10.0)</f>
        <v>10</v>
      </c>
      <c r="J118">
        <f>IFERROR(__xludf.DUMMYFUNCTION("""COMPUTED_VALUE"""),30.0)</f>
        <v>30</v>
      </c>
      <c r="K118">
        <f>IFERROR(__xludf.DUMMYFUNCTION("""COMPUTED_VALUE"""),-5.0)</f>
        <v>-5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6!W1"")"),"Question: 21")</f>
        <v>Question: 21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6!C1:H3""),IMPORTRANGE(""1Knt8XDGFY_MP2OzeadT1pDENTLOdk9Ab_Rd9IdW0kzc"",""Round 6!M1:R3"")}"),"Scripps Ranch A (V)")</f>
        <v>Scripps Ranch A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IFERROR(__xludf.DUMMYFUNCTION("""COMPUTED_VALUE"""),"La Jolla (V)")</f>
        <v>La Jolla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6!I32""))"),"A BP: 180")</f>
        <v>A BP: 180</v>
      </c>
      <c r="B122" t="str">
        <f>IFERROR(__xludf.DUMMYFUNCTION("""COMPUTED_VALUE"""),"Score: 335")</f>
        <v>Score: 335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20")</f>
        <v>Score: 20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6!S32""))"),"B BP: 20")</f>
        <v>B BP: 20</v>
      </c>
      <c r="B123" t="str">
        <f>IFERROR(__xludf.DUMMYFUNCTION("""COMPUTED_VALUE"""),"Jack Hoover (12)")</f>
        <v>Jack Hoover (12)</v>
      </c>
      <c r="C123" t="str">
        <f>IFERROR(__xludf.DUMMYFUNCTION("""COMPUTED_VALUE"""),"Jeremy Ngo (12)")</f>
        <v>Jeremy Ngo (12)</v>
      </c>
      <c r="D123" t="str">
        <f>IFERROR(__xludf.DUMMYFUNCTION("""COMPUTED_VALUE"""),"Albert Gu (12)")</f>
        <v>Albert Gu (12)</v>
      </c>
      <c r="E123" t="str">
        <f>IFERROR(__xludf.DUMMYFUNCTION("""COMPUTED_VALUE"""),"Player 4")</f>
        <v>Player 4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IFERROR(__xludf.DUMMYFUNCTION("""COMPUTED_VALUE"""),"Caleb Cruz (11)")</f>
        <v>Caleb Cruz (11)</v>
      </c>
      <c r="I123" t="str">
        <f>IFERROR(__xludf.DUMMYFUNCTION("""COMPUTED_VALUE"""),"Kevin Park (11)")</f>
        <v>Kevin Park (11)</v>
      </c>
      <c r="J123" t="str">
        <f>IFERROR(__xludf.DUMMYFUNCTION("""COMPUTED_VALUE"""),"Richard Chao (11)")</f>
        <v>Richard Chao (11)</v>
      </c>
      <c r="K123" t="str">
        <f>IFERROR(__xludf.DUMMYFUNCTION("""COMPUTED_VALUE"""),"David Smith (11)")</f>
        <v>David Smith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6!C32:H36""),IMPORTRANGE(""1Knt8XDGFY_MP2OzeadT1pDENTLOdk9Ab_Rd9IdW0kzc"",""Round 6!M32:R36"")}"),20.0)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IFERROR(__xludf.DUMMYFUNCTION("""COMPUTED_VALUE"""),0.0)</f>
        <v>0</v>
      </c>
      <c r="C125">
        <f>IFERROR(__xludf.DUMMYFUNCTION("""COMPUTED_VALUE"""),1.0)</f>
        <v>1</v>
      </c>
      <c r="D125">
        <f>IFERROR(__xludf.DUMMYFUNCTION("""COMPUTED_VALUE"""),2.0)</f>
        <v>2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IFERROR(__xludf.DUMMYFUNCTION("""COMPUTED_VALUE"""),1.0)</f>
        <v>1</v>
      </c>
      <c r="I125">
        <f>IFERROR(__xludf.DUMMYFUNCTION("""COMPUTED_VALUE"""),0.0)</f>
        <v>0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IFERROR(__xludf.DUMMYFUNCTION("""COMPUTED_VALUE"""),2.0)</f>
        <v>2</v>
      </c>
      <c r="C126">
        <f>IFERROR(__xludf.DUMMYFUNCTION("""COMPUTED_VALUE"""),4.0)</f>
        <v>4</v>
      </c>
      <c r="D126">
        <f>IFERROR(__xludf.DUMMYFUNCTION("""COMPUTED_VALUE"""),5.0)</f>
        <v>5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IFERROR(__xludf.DUMMYFUNCTION("""COMPUTED_VALUE"""),0.0)</f>
        <v>0</v>
      </c>
      <c r="I126">
        <f>IFERROR(__xludf.DUMMYFUNCTION("""COMPUTED_VALUE"""),0.0)</f>
        <v>0</v>
      </c>
      <c r="J126">
        <f>IFERROR(__xludf.DUMMYFUNCTION("""COMPUTED_VALUE"""),0.0)</f>
        <v>0</v>
      </c>
      <c r="K126">
        <f>IFERROR(__xludf.DUMMYFUNCTION("""COMPUTED_VALUE"""),1.0)</f>
        <v>1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IFERROR(__xludf.DUMMYFUNCTION("""COMPUTED_VALUE"""),0.0)</f>
        <v>0</v>
      </c>
      <c r="C127">
        <f>IFERROR(__xludf.DUMMYFUNCTION("""COMPUTED_VALUE"""),0.0)</f>
        <v>0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IFERROR(__xludf.DUMMYFUNCTION("""COMPUTED_VALUE"""),2.0)</f>
        <v>2</v>
      </c>
      <c r="J127">
        <f>IFERROR(__xludf.DUMMYFUNCTION("""COMPUTED_VALUE"""),3.0)</f>
        <v>3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IFERROR(__xludf.DUMMYFUNCTION("""COMPUTED_VALUE"""),20.0)</f>
        <v>20</v>
      </c>
      <c r="C128">
        <f>IFERROR(__xludf.DUMMYFUNCTION("""COMPUTED_VALUE"""),55.0)</f>
        <v>55</v>
      </c>
      <c r="D128">
        <f>IFERROR(__xludf.DUMMYFUNCTION("""COMPUTED_VALUE"""),80.0)</f>
        <v>80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IFERROR(__xludf.DUMMYFUNCTION("""COMPUTED_VALUE"""),15.0)</f>
        <v>15</v>
      </c>
      <c r="I128">
        <f>IFERROR(__xludf.DUMMYFUNCTION("""COMPUTED_VALUE"""),-10.0)</f>
        <v>-10</v>
      </c>
      <c r="J128">
        <f>IFERROR(__xludf.DUMMYFUNCTION("""COMPUTED_VALUE"""),-15.0)</f>
        <v>-15</v>
      </c>
      <c r="K128">
        <f>IFERROR(__xludf.DUMMYFUNCTION("""COMPUTED_VALUE"""),10.0)</f>
        <v>10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6!W1"")"),"Question: 21")</f>
        <v>Question: 21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6!C1:H3""),IMPORTRANGE(""16i4gsLDaJasgGgtJt27HweoboYNaal3qpX3MtxIR2f0"",""Round 6!M1:R3"")}"),"Canyon Crest B (V)")</f>
        <v>Canyon Crest B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IFERROR(__xludf.DUMMYFUNCTION("""COMPUTED_VALUE"""),"Arcadia (V)")</f>
        <v>Arcadia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6!I32""))"),"A BP: 110")</f>
        <v>A BP: 110</v>
      </c>
      <c r="B132" t="str">
        <f>IFERROR(__xludf.DUMMYFUNCTION("""COMPUTED_VALUE"""),"Score: 185")</f>
        <v>Score: 185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415")</f>
        <v>Score: 415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6!S32""))"),"B BP: 260")</f>
        <v>B BP: 260</v>
      </c>
      <c r="B133" t="str">
        <f>IFERROR(__xludf.DUMMYFUNCTION("""COMPUTED_VALUE"""),"Shreyank Kadadi (12)")</f>
        <v>Shreyank Kadadi (12)</v>
      </c>
      <c r="C133" t="str">
        <f>IFERROR(__xludf.DUMMYFUNCTION("""COMPUTED_VALUE"""),"Jonathan Hsieh (12)")</f>
        <v>Jonathan Hsieh (12)</v>
      </c>
      <c r="D133" t="str">
        <f>IFERROR(__xludf.DUMMYFUNCTION("""COMPUTED_VALUE"""),"Kevin Luo (10)")</f>
        <v>Kevin Luo (10)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IFERROR(__xludf.DUMMYFUNCTION("""COMPUTED_VALUE"""),"Amogh Kulkarni (10)")</f>
        <v>Amogh Kulkarni (10)</v>
      </c>
      <c r="I133" t="str">
        <f>IFERROR(__xludf.DUMMYFUNCTION("""COMPUTED_VALUE"""),"Ryan Sun (10)")</f>
        <v>Ryan Sun (10)</v>
      </c>
      <c r="J133" t="str">
        <f>IFERROR(__xludf.DUMMYFUNCTION("""COMPUTED_VALUE"""),"Michael Kwok (10)")</f>
        <v>Michael Kwok (10)</v>
      </c>
      <c r="K133" t="str">
        <f>IFERROR(__xludf.DUMMYFUNCTION("""COMPUTED_VALUE"""),"Sanjith Menon (10)")</f>
        <v>Sanjith Menon (10)</v>
      </c>
      <c r="L133" t="str">
        <f>IFERROR(__xludf.DUMMYFUNCTION("""COMPUTED_VALUE"""),"Spencer Cheng (12)")</f>
        <v>Spencer Cheng (12)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6!C32:H36""),IMPORTRANGE(""16i4gsLDaJasgGgtJt27HweoboYNaal3qpX3MtxIR2f0"",""Round 6!M32:R36"")}"),20.0)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IFERROR(__xludf.DUMMYFUNCTION("""COMPUTED_VALUE"""),10.0)</f>
        <v>10</v>
      </c>
      <c r="L134">
        <f>IFERROR(__xludf.DUMMYFUNCTION("""COMPUTED_VALUE"""),10.0)</f>
        <v>10</v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IFERROR(__xludf.DUMMYFUNCTION("""COMPUTED_VALUE"""),1.0)</f>
        <v>1</v>
      </c>
      <c r="C135">
        <f>IFERROR(__xludf.DUMMYFUNCTION("""COMPUTED_VALUE"""),3.0)</f>
        <v>3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IFERROR(__xludf.DUMMYFUNCTION("""COMPUTED_VALUE"""),5.0)</f>
        <v>5</v>
      </c>
      <c r="I135">
        <f>IFERROR(__xludf.DUMMYFUNCTION("""COMPUTED_VALUE"""),2.0)</f>
        <v>2</v>
      </c>
      <c r="J135">
        <f>IFERROR(__xludf.DUMMYFUNCTION("""COMPUTED_VALUE"""),0.0)</f>
        <v>0</v>
      </c>
      <c r="K135">
        <f>IFERROR(__xludf.DUMMYFUNCTION("""COMPUTED_VALUE"""),0.0)</f>
        <v>0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IFERROR(__xludf.DUMMYFUNCTION("""COMPUTED_VALUE"""),2.0)</f>
        <v>2</v>
      </c>
      <c r="C136">
        <f>IFERROR(__xludf.DUMMYFUNCTION("""COMPUTED_VALUE"""),1.0)</f>
        <v>1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IFERROR(__xludf.DUMMYFUNCTION("""COMPUTED_VALUE"""),4.0)</f>
        <v>4</v>
      </c>
      <c r="I136">
        <f>IFERROR(__xludf.DUMMYFUNCTION("""COMPUTED_VALUE"""),0.0)</f>
        <v>0</v>
      </c>
      <c r="J136">
        <f>IFERROR(__xludf.DUMMYFUNCTION("""COMPUTED_VALUE"""),0.0)</f>
        <v>0</v>
      </c>
      <c r="K136">
        <f>IFERROR(__xludf.DUMMYFUNCTION("""COMPUTED_VALUE"""),0.0)</f>
        <v>0</v>
      </c>
      <c r="L136">
        <f>IFERROR(__xludf.DUMMYFUNCTION("""COMPUTED_VALUE"""),1.0)</f>
        <v>1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IFERROR(__xludf.DUMMYFUNCTION("""COMPUTED_VALUE"""),1.0)</f>
        <v>1</v>
      </c>
      <c r="C137">
        <f>IFERROR(__xludf.DUMMYFUNCTION("""COMPUTED_VALUE"""),0.0)</f>
        <v>0</v>
      </c>
      <c r="D137">
        <f>IFERROR(__xludf.DUMMYFUNCTION("""COMPUTED_VALUE"""),2.0)</f>
        <v>2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IFERROR(__xludf.DUMMYFUNCTION("""COMPUTED_VALUE"""),30.0)</f>
        <v>30</v>
      </c>
      <c r="C138">
        <f>IFERROR(__xludf.DUMMYFUNCTION("""COMPUTED_VALUE"""),55.0)</f>
        <v>55</v>
      </c>
      <c r="D138">
        <f>IFERROR(__xludf.DUMMYFUNCTION("""COMPUTED_VALUE"""),-10.0)</f>
        <v>-10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IFERROR(__xludf.DUMMYFUNCTION("""COMPUTED_VALUE"""),115.0)</f>
        <v>115</v>
      </c>
      <c r="I138">
        <f>IFERROR(__xludf.DUMMYFUNCTION("""COMPUTED_VALUE"""),30.0)</f>
        <v>30</v>
      </c>
      <c r="J138">
        <f>IFERROR(__xludf.DUMMYFUNCTION("""COMPUTED_VALUE"""),0.0)</f>
        <v>0</v>
      </c>
      <c r="K138">
        <f>IFERROR(__xludf.DUMMYFUNCTION("""COMPUTED_VALUE"""),0.0)</f>
        <v>0</v>
      </c>
      <c r="L138">
        <f>IFERROR(__xludf.DUMMYFUNCTION("""COMPUTED_VALUE"""),10.0)</f>
        <v>10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6!W1"")"),"Question: 21")</f>
        <v>Question: 21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6!C1:H3""),IMPORTRANGE(""1KRyI2c190uhOTF270Hsdzh1rgG565QIaE9TymteaGNY"",""Round 6!M1:R3"")}"),"Canyon Crest C (V)")</f>
        <v>Canyon Crest C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IFERROR(__xludf.DUMMYFUNCTION("""COMPUTED_VALUE"""),"Santa Monica B (V)")</f>
        <v>Santa Monica B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6!I32""))"),"A BP: 110")</f>
        <v>A BP: 110</v>
      </c>
      <c r="B142" t="str">
        <f>IFERROR(__xludf.DUMMYFUNCTION("""COMPUTED_VALUE"""),"Score: 190")</f>
        <v>Score: 190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55")</f>
        <v>Score: 55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6!S32""))"),"B BP: 20")</f>
        <v>B BP: 20</v>
      </c>
      <c r="B143" t="str">
        <f>IFERROR(__xludf.DUMMYFUNCTION("""COMPUTED_VALUE"""),"Paul Mola (11)")</f>
        <v>Paul Mola (11)</v>
      </c>
      <c r="C143" t="str">
        <f>IFERROR(__xludf.DUMMYFUNCTION("""COMPUTED_VALUE"""),"James Wright (11)")</f>
        <v>James Wright (11)</v>
      </c>
      <c r="D143" t="str">
        <f>IFERROR(__xludf.DUMMYFUNCTION("""COMPUTED_VALUE"""),"Cade McAllister (10)")</f>
        <v>Cade McAllister (10)</v>
      </c>
      <c r="E143" t="str">
        <f>IFERROR(__xludf.DUMMYFUNCTION("""COMPUTED_VALUE"""),"Nithin Chilakapati (10)")</f>
        <v>Nithin Chilakapati (10)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IFERROR(__xludf.DUMMYFUNCTION("""COMPUTED_VALUE"""),"Kethan Raman (10)")</f>
        <v>Kethan Raman (10)</v>
      </c>
      <c r="I143" t="str">
        <f>IFERROR(__xludf.DUMMYFUNCTION("""COMPUTED_VALUE"""),"Ethan Hopkins (10)")</f>
        <v>Ethan Hopkins (10)</v>
      </c>
      <c r="J143" t="str">
        <f>IFERROR(__xludf.DUMMYFUNCTION("""COMPUTED_VALUE"""),"Jacob Cohen (10)")</f>
        <v>Jacob Cohen (10)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6!C32:H36""),IMPORTRANGE(""1KRyI2c190uhOTF270Hsdzh1rgG565QIaE9TymteaGNY"",""Round 6!M32:R36"")}"),20.0)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IFERROR(__xludf.DUMMYFUNCTION("""COMPUTED_VALUE"""),1.0)</f>
        <v>1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IFERROR(__xludf.DUMMYFUNCTION("""COMPUTED_VALUE"""),1.0)</f>
        <v>1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IFERROR(__xludf.DUMMYFUNCTION("""COMPUTED_VALUE"""),4.0)</f>
        <v>4</v>
      </c>
      <c r="C146">
        <f>IFERROR(__xludf.DUMMYFUNCTION("""COMPUTED_VALUE"""),2.0)</f>
        <v>2</v>
      </c>
      <c r="D146">
        <f>IFERROR(__xludf.DUMMYFUNCTION("""COMPUTED_VALUE"""),0.0)</f>
        <v>0</v>
      </c>
      <c r="E146">
        <f>IFERROR(__xludf.DUMMYFUNCTION("""COMPUTED_VALUE"""),2.0)</f>
        <v>2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IFERROR(__xludf.DUMMYFUNCTION("""COMPUTED_VALUE"""),1.0)</f>
        <v>1</v>
      </c>
      <c r="I146">
        <f>IFERROR(__xludf.DUMMYFUNCTION("""COMPUTED_VALUE"""),0.0)</f>
        <v>0</v>
      </c>
      <c r="J146">
        <f>IFERROR(__xludf.DUMMYFUNCTION("""COMPUTED_VALUE"""),2.0)</f>
        <v>2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IFERROR(__xludf.DUMMYFUNCTION("""COMPUTED_VALUE"""),2.0)</f>
        <v>2</v>
      </c>
      <c r="C147">
        <f>IFERROR(__xludf.DUMMYFUNCTION("""COMPUTED_VALUE"""),0.0)</f>
        <v>0</v>
      </c>
      <c r="D147">
        <f>IFERROR(__xludf.DUMMYFUNCTION("""COMPUTED_VALUE"""),1.0)</f>
        <v>1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IFERROR(__xludf.DUMMYFUNCTION("""COMPUTED_VALUE"""),1.0)</f>
        <v>1</v>
      </c>
      <c r="I147">
        <f>IFERROR(__xludf.DUMMYFUNCTION("""COMPUTED_VALUE"""),1.0)</f>
        <v>1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IFERROR(__xludf.DUMMYFUNCTION("""COMPUTED_VALUE"""),45.0)</f>
        <v>45</v>
      </c>
      <c r="C148">
        <f>IFERROR(__xludf.DUMMYFUNCTION("""COMPUTED_VALUE"""),20.0)</f>
        <v>20</v>
      </c>
      <c r="D148">
        <f>IFERROR(__xludf.DUMMYFUNCTION("""COMPUTED_VALUE"""),-5.0)</f>
        <v>-5</v>
      </c>
      <c r="E148">
        <f>IFERROR(__xludf.DUMMYFUNCTION("""COMPUTED_VALUE"""),20.0)</f>
        <v>20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IFERROR(__xludf.DUMMYFUNCTION("""COMPUTED_VALUE"""),20.0)</f>
        <v>20</v>
      </c>
      <c r="I148">
        <f>IFERROR(__xludf.DUMMYFUNCTION("""COMPUTED_VALUE"""),-5.0)</f>
        <v>-5</v>
      </c>
      <c r="J148">
        <f>IFERROR(__xludf.DUMMYFUNCTION("""COMPUTED_VALUE"""),20.0)</f>
        <v>20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6!W1"")"),"Question: 19")</f>
        <v>Question: 19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6!C1:H3""),IMPORTRANGE(""1zr0uYCpJ5izByVOUCsr6JXezthGEdLXnwOrjIKGx5XI"",""Round 6!M1:R3"")}"),"Santa Monica A (V)")</f>
        <v>Santa Monica 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IFERROR(__xludf.DUMMYFUNCTION("""COMPUTED_VALUE"""),"Westview B (V)")</f>
        <v>Westview B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6!I32""))"),"A BP: 140")</f>
        <v>A BP: 140</v>
      </c>
      <c r="B152" t="str">
        <f>IFERROR(__xludf.DUMMYFUNCTION("""COMPUTED_VALUE"""),"Score: 280")</f>
        <v>Score: 280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200")</f>
        <v>Score: 200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6!S32""))"),"B BP: 120")</f>
        <v>B BP: 120</v>
      </c>
      <c r="B153" t="str">
        <f>IFERROR(__xludf.DUMMYFUNCTION("""COMPUTED_VALUE"""),"Josh Xu (11)")</f>
        <v>Josh Xu (11)</v>
      </c>
      <c r="C153" t="str">
        <f>IFERROR(__xludf.DUMMYFUNCTION("""COMPUTED_VALUE"""),"Player 2")</f>
        <v>Player 2</v>
      </c>
      <c r="D153" t="str">
        <f>IFERROR(__xludf.DUMMYFUNCTION("""COMPUTED_VALUE"""),"Player 3")</f>
        <v>Player 3</v>
      </c>
      <c r="E153" t="str">
        <f>IFERROR(__xludf.DUMMYFUNCTION("""COMPUTED_VALUE"""),"Player 4")</f>
        <v>Player 4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IFERROR(__xludf.DUMMYFUNCTION("""COMPUTED_VALUE"""),"Nicholas Dai (11)")</f>
        <v>Nicholas Dai (11)</v>
      </c>
      <c r="I153" t="str">
        <f>IFERROR(__xludf.DUMMYFUNCTION("""COMPUTED_VALUE"""),"Andrew Jia (11)")</f>
        <v>Andrew Jia (11)</v>
      </c>
      <c r="J153" t="str">
        <f>IFERROR(__xludf.DUMMYFUNCTION("""COMPUTED_VALUE"""),"Richard Lin (9)")</f>
        <v>Richard Lin (9)</v>
      </c>
      <c r="K153" t="str">
        <f>IFERROR(__xludf.DUMMYFUNCTION("""COMPUTED_VALUE"""),"Rohan Venkateswaran (12)")</f>
        <v>Rohan Venkateswaran (12)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6!C32:H36""),IMPORTRANGE(""1zr0uYCpJ5izByVOUCsr6JXezthGEdLXnwOrjIKGx5XI"",""Round 6!M32:R36"")}"),20.0)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IFERROR(__xludf.DUMMYFUNCTION("""COMPUTED_VALUE"""),15.0)</f>
        <v>15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IFERROR(__xludf.DUMMYFUNCTION("""COMPUTED_VALUE"""),4.0)</f>
        <v>4</v>
      </c>
      <c r="C155">
        <f>IFERROR(__xludf.DUMMYFUNCTION("""COMPUTED_VALUE"""),0.0)</f>
        <v>0</v>
      </c>
      <c r="D155">
        <f>IFERROR(__xludf.DUMMYFUNCTION("""COMPUTED_VALUE"""),0.0)</f>
        <v>0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IFERROR(__xludf.DUMMYFUNCTION("""COMPUTED_VALUE"""),1.0)</f>
        <v>1</v>
      </c>
      <c r="I155">
        <f>IFERROR(__xludf.DUMMYFUNCTION("""COMPUTED_VALUE"""),1.0)</f>
        <v>1</v>
      </c>
      <c r="J155">
        <f>IFERROR(__xludf.DUMMYFUNCTION("""COMPUTED_VALUE"""),0.0)</f>
        <v>0</v>
      </c>
      <c r="K155">
        <f>IFERROR(__xludf.DUMMYFUNCTION("""COMPUTED_VALUE"""),3.0)</f>
        <v>3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IFERROR(__xludf.DUMMYFUNCTION("""COMPUTED_VALUE"""),8.0)</f>
        <v>8</v>
      </c>
      <c r="C156">
        <f>IFERROR(__xludf.DUMMYFUNCTION("""COMPUTED_VALUE"""),0.0)</f>
        <v>0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IFERROR(__xludf.DUMMYFUNCTION("""COMPUTED_VALUE"""),0.0)</f>
        <v>0</v>
      </c>
      <c r="J156">
        <f>IFERROR(__xludf.DUMMYFUNCTION("""COMPUTED_VALUE"""),0.0)</f>
        <v>0</v>
      </c>
      <c r="K156">
        <f>IFERROR(__xludf.DUMMYFUNCTION("""COMPUTED_VALUE"""),2.0)</f>
        <v>2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IFERROR(__xludf.DUMMYFUNCTION("""COMPUTED_VALUE"""),0.0)</f>
        <v>0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IFERROR(__xludf.DUMMYFUNCTION("""COMPUTED_VALUE"""),2.0)</f>
        <v>2</v>
      </c>
      <c r="J157">
        <f>IFERROR(__xludf.DUMMYFUNCTION("""COMPUTED_VALUE"""),0.0)</f>
        <v>0</v>
      </c>
      <c r="K157">
        <f>IFERROR(__xludf.DUMMYFUNCTION("""COMPUTED_VALUE"""),1.0)</f>
        <v>1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IFERROR(__xludf.DUMMYFUNCTION("""COMPUTED_VALUE"""),140.0)</f>
        <v>140</v>
      </c>
      <c r="C158">
        <f>IFERROR(__xludf.DUMMYFUNCTION("""COMPUTED_VALUE"""),0.0)</f>
        <v>0</v>
      </c>
      <c r="D158">
        <f>IFERROR(__xludf.DUMMYFUNCTION("""COMPUTED_VALUE"""),0.0)</f>
        <v>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IFERROR(__xludf.DUMMYFUNCTION("""COMPUTED_VALUE"""),15.0)</f>
        <v>15</v>
      </c>
      <c r="I158">
        <f>IFERROR(__xludf.DUMMYFUNCTION("""COMPUTED_VALUE"""),5.0)</f>
        <v>5</v>
      </c>
      <c r="J158">
        <f>IFERROR(__xludf.DUMMYFUNCTION("""COMPUTED_VALUE"""),0.0)</f>
        <v>0</v>
      </c>
      <c r="K158">
        <f>IFERROR(__xludf.DUMMYFUNCTION("""COMPUTED_VALUE"""),60.0)</f>
        <v>60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6!W1"")"),"Question: 21")</f>
        <v>Question: 21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6!C1:H3""),IMPORTRANGE(""1TVrjNI5RE1VozIr906BhaTKMFP0VPx8aUGpyt_loukE"",""Round 6!M1:R3"")}"),"Troy A (V)")</f>
        <v>Troy 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IFERROR(__xludf.DUMMYFUNCTION("""COMPUTED_VALUE"""),"Cathedral Catholic (V)")</f>
        <v>Cathedral Catholic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6!I32""))"),"A BP: 100")</f>
        <v>A BP: 100</v>
      </c>
      <c r="B162" t="str">
        <f>IFERROR(__xludf.DUMMYFUNCTION("""COMPUTED_VALUE"""),"Score: 170")</f>
        <v>Score: 170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125")</f>
        <v>Score: 125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6!S32""))"),"B BP: 60")</f>
        <v>B BP: 60</v>
      </c>
      <c r="B163" t="str">
        <f>IFERROR(__xludf.DUMMYFUNCTION("""COMPUTED_VALUE"""),"Luke Park (11)")</f>
        <v>Luke Park (11)</v>
      </c>
      <c r="C163" t="str">
        <f>IFERROR(__xludf.DUMMYFUNCTION("""COMPUTED_VALUE"""),"Tyler Kim (11)")</f>
        <v>Tyler Kim (11)</v>
      </c>
      <c r="D163" t="str">
        <f>IFERROR(__xludf.DUMMYFUNCTION("""COMPUTED_VALUE"""),"Henry Tang (10)")</f>
        <v>Henry Tang (10)</v>
      </c>
      <c r="E163" t="str">
        <f>IFERROR(__xludf.DUMMYFUNCTION("""COMPUTED_VALUE"""),"Daniel Shin (10)")</f>
        <v>Daniel Shin (10)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IFERROR(__xludf.DUMMYFUNCTION("""COMPUTED_VALUE"""),"Ryan Shakiba (10)")</f>
        <v>Ryan Shakiba (10)</v>
      </c>
      <c r="I163" t="str">
        <f>IFERROR(__xludf.DUMMYFUNCTION("""COMPUTED_VALUE"""),"Jacob Titcomb (11)")</f>
        <v>Jacob Titcomb (11)</v>
      </c>
      <c r="J163" t="str">
        <f>IFERROR(__xludf.DUMMYFUNCTION("""COMPUTED_VALUE"""),"Sinead Archdeacon (10)")</f>
        <v>Sinead Archdeacon (10)</v>
      </c>
      <c r="K163" t="str">
        <f>IFERROR(__xludf.DUMMYFUNCTION("""COMPUTED_VALUE"""),"Mikayla Nang (11)")</f>
        <v>Mikayla Nang (11)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6!C32:H36""),IMPORTRANGE(""1TVrjNI5RE1VozIr906BhaTKMFP0VPx8aUGpyt_loukE"",""Round 6!M32:R36"")}"),20.0)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IFERROR(__xludf.DUMMYFUNCTION("""COMPUTED_VALUE"""),0.0)</f>
        <v>0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IFERROR(__xludf.DUMMYFUNCTION("""COMPUTED_VALUE"""),2.0)</f>
        <v>2</v>
      </c>
      <c r="C166">
        <f>IFERROR(__xludf.DUMMYFUNCTION("""COMPUTED_VALUE"""),2.0)</f>
        <v>2</v>
      </c>
      <c r="D166">
        <f>IFERROR(__xludf.DUMMYFUNCTION("""COMPUTED_VALUE"""),4.0)</f>
        <v>4</v>
      </c>
      <c r="E166">
        <f>IFERROR(__xludf.DUMMYFUNCTION("""COMPUTED_VALUE"""),1.0)</f>
        <v>1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IFERROR(__xludf.DUMMYFUNCTION("""COMPUTED_VALUE"""),1.0)</f>
        <v>1</v>
      </c>
      <c r="I166">
        <f>IFERROR(__xludf.DUMMYFUNCTION("""COMPUTED_VALUE"""),2.0)</f>
        <v>2</v>
      </c>
      <c r="J166">
        <f>IFERROR(__xludf.DUMMYFUNCTION("""COMPUTED_VALUE"""),3.0)</f>
        <v>3</v>
      </c>
      <c r="K166">
        <f>IFERROR(__xludf.DUMMYFUNCTION("""COMPUTED_VALUE"""),1.0)</f>
        <v>1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IFERROR(__xludf.DUMMYFUNCTION("""COMPUTED_VALUE"""),2.0)</f>
        <v>2</v>
      </c>
      <c r="C167">
        <f>IFERROR(__xludf.DUMMYFUNCTION("""COMPUTED_VALUE"""),1.0)</f>
        <v>1</v>
      </c>
      <c r="D167">
        <f>IFERROR(__xludf.DUMMYFUNCTION("""COMPUTED_VALUE"""),1.0)</f>
        <v>1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IFERROR(__xludf.DUMMYFUNCTION("""COMPUTED_VALUE"""),1.0)</f>
        <v>1</v>
      </c>
      <c r="I167">
        <f>IFERROR(__xludf.DUMMYFUNCTION("""COMPUTED_VALUE"""),0.0)</f>
        <v>0</v>
      </c>
      <c r="J167">
        <f>IFERROR(__xludf.DUMMYFUNCTION("""COMPUTED_VALUE"""),0.0)</f>
        <v>0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IFERROR(__xludf.DUMMYFUNCTION("""COMPUTED_VALUE"""),10.0)</f>
        <v>10</v>
      </c>
      <c r="C168">
        <f>IFERROR(__xludf.DUMMYFUNCTION("""COMPUTED_VALUE"""),15.0)</f>
        <v>15</v>
      </c>
      <c r="D168">
        <f>IFERROR(__xludf.DUMMYFUNCTION("""COMPUTED_VALUE"""),35.0)</f>
        <v>35</v>
      </c>
      <c r="E168">
        <f>IFERROR(__xludf.DUMMYFUNCTION("""COMPUTED_VALUE"""),10.0)</f>
        <v>10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IFERROR(__xludf.DUMMYFUNCTION("""COMPUTED_VALUE"""),5.0)</f>
        <v>5</v>
      </c>
      <c r="I168">
        <f>IFERROR(__xludf.DUMMYFUNCTION("""COMPUTED_VALUE"""),20.0)</f>
        <v>20</v>
      </c>
      <c r="J168">
        <f>IFERROR(__xludf.DUMMYFUNCTION("""COMPUTED_VALUE"""),30.0)</f>
        <v>30</v>
      </c>
      <c r="K168">
        <f>IFERROR(__xludf.DUMMYFUNCTION("""COMPUTED_VALUE"""),10.0)</f>
        <v>10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6!W1"")"),"Question: 21")</f>
        <v>Question: 21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6!C1:H3""),IMPORTRANGE(""1xRz0po-ejgp-QRvMkY44z3u2CePgTccasdyrrVALbmE"",""Round 6!M1:R3"")}"),"Team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6!I32""))"),"A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6!S32""))"),"B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6!C32:H36""),IMPORTRANGE(""1xRz0po-ejgp-QRvMkY44z3u2CePgTccasdyrrVALbmE"",""Round 6!M32:R36"")}"),20.0)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6!W1"")"),"Question: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7!C1:H3""),IMPORTRANGE(""1JXwZ4AjXctyKvWy9qFKCX518NRYJYhSX9Jii0HPBCUs"",""Round 7!M1:R3"")}"),"Team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7!I32""))"),"A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7!S32""))"),"B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7!C32:H36""),IMPORTRANGE(""1JXwZ4AjXctyKvWy9qFKCX518NRYJYhSX9Jii0HPBCUs"",""Round 7!M32:R36"")}"),20.0)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7!W1"")"),"Question: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7!C1:H3""),IMPORTRANGE(""1GBDUn_ZojNLX5OJCVBEhvJbdm0c55Z7lPcE4L6WH89o"",""Round 7!M1:R3"")}"),"Team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7!I32""))"),"A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7!S32""))"),"B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7!C32:H36""),IMPORTRANGE(""1GBDUn_ZojNLX5OJCVBEhvJbdm0c55Z7lPcE4L6WH89o"",""Round 7!M32:R36"")}"),20.0)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7!W1"")"),"Question: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7!C1:H3""),IMPORTRANGE(""19Dum1qlL_dEwf1AEniLf02Eg9XaNXi1GMkI5M4_Ei6w"",""Round 7!M1:R3"")}"),"Team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7!I32""))"),"A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7!S32""))"),"B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7!C32:H36""),IMPORTRANGE(""19Dum1qlL_dEwf1AEniLf02Eg9XaNXi1GMkI5M4_Ei6w"",""Round 7!M32:R36"")}"),20.0)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7!W1"")"),"Question: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7!C1:H3""),IMPORTRANGE(""18KjuM_F6goZYnozVb7folIb5Hw_mfKQrNdVWKGx6j4s"",""Round 7!M1:R3"")}"),"Canyon Crest D (JV)")</f>
        <v>Canyon Crest D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IFERROR(__xludf.DUMMYFUNCTION("""COMPUTED_VALUE"""),"Rancho Bernardo (JV)")</f>
        <v>Rancho Bernardo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7!I32""))"),"A BP: 120")</f>
        <v>A BP: 120</v>
      </c>
      <c r="B32" t="str">
        <f>IFERROR(__xludf.DUMMYFUNCTION("""COMPUTED_VALUE"""),"Score: 175")</f>
        <v>Score: 175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205")</f>
        <v>Score: 205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7!S32""))"),"B BP: 110")</f>
        <v>B BP: 110</v>
      </c>
      <c r="B33" t="str">
        <f>IFERROR(__xludf.DUMMYFUNCTION("""COMPUTED_VALUE"""),"Tompson Hsu (12)")</f>
        <v>Tompson Hsu (12)</v>
      </c>
      <c r="C33" t="str">
        <f>IFERROR(__xludf.DUMMYFUNCTION("""COMPUTED_VALUE"""),"Demitrius Hong (12)")</f>
        <v>Demitrius Hong (12)</v>
      </c>
      <c r="D33" t="str">
        <f>IFERROR(__xludf.DUMMYFUNCTION("""COMPUTED_VALUE"""),"Kyle Lu (12)")</f>
        <v>Kyle Lu (12)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IFERROR(__xludf.DUMMYFUNCTION("""COMPUTED_VALUE"""),"Sandy Tran (12)")</f>
        <v>Sandy Tran (12)</v>
      </c>
      <c r="I33" t="str">
        <f>IFERROR(__xludf.DUMMYFUNCTION("""COMPUTED_VALUE"""),"Patrick Joyce (11)")</f>
        <v>Patrick Joyce (11)</v>
      </c>
      <c r="J33" t="str">
        <f>IFERROR(__xludf.DUMMYFUNCTION("""COMPUTED_VALUE"""),"Katheryn Garrett (11)")</f>
        <v>Katheryn Garrett (11)</v>
      </c>
      <c r="K33" t="str">
        <f>IFERROR(__xludf.DUMMYFUNCTION("""COMPUTED_VALUE"""),"YungYi Sun (12)")</f>
        <v>YungYi Sun (12)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7!C32:H36""),IMPORTRANGE(""18KjuM_F6goZYnozVb7folIb5Hw_mfKQrNdVWKGx6j4s"",""Round 7!M32:R36"")}"),20.0)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IFERROR(__xludf.DUMMYFUNCTION("""COMPUTED_VALUE"""),1.0)</f>
        <v>1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IFERROR(__xludf.DUMMYFUNCTION("""COMPUTED_VALUE"""),1.0)</f>
        <v>1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IFERROR(__xludf.DUMMYFUNCTION("""COMPUTED_VALUE"""),1.0)</f>
        <v>1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IFERROR(__xludf.DUMMYFUNCTION("""COMPUTED_VALUE"""),3.0)</f>
        <v>3</v>
      </c>
      <c r="C36">
        <f>IFERROR(__xludf.DUMMYFUNCTION("""COMPUTED_VALUE"""),1.0)</f>
        <v>1</v>
      </c>
      <c r="D36">
        <f>IFERROR(__xludf.DUMMYFUNCTION("""COMPUTED_VALUE"""),2.0)</f>
        <v>2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IFERROR(__xludf.DUMMYFUNCTION("""COMPUTED_VALUE"""),4.0)</f>
        <v>4</v>
      </c>
      <c r="I36">
        <f>IFERROR(__xludf.DUMMYFUNCTION("""COMPUTED_VALUE"""),1.0)</f>
        <v>1</v>
      </c>
      <c r="J36">
        <f>IFERROR(__xludf.DUMMYFUNCTION("""COMPUTED_VALUE"""),0.0)</f>
        <v>0</v>
      </c>
      <c r="K36">
        <f>IFERROR(__xludf.DUMMYFUNCTION("""COMPUTED_VALUE"""),2.0)</f>
        <v>2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IFERROR(__xludf.DUMMYFUNCTION("""COMPUTED_VALUE"""),1.0)</f>
        <v>1</v>
      </c>
      <c r="C37">
        <f>IFERROR(__xludf.DUMMYFUNCTION("""COMPUTED_VALUE"""),3.0)</f>
        <v>3</v>
      </c>
      <c r="D37">
        <f>IFERROR(__xludf.DUMMYFUNCTION("""COMPUTED_VALUE"""),0.0)</f>
        <v>0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IFERROR(__xludf.DUMMYFUNCTION("""COMPUTED_VALUE"""),40.0)</f>
        <v>40</v>
      </c>
      <c r="C38">
        <f>IFERROR(__xludf.DUMMYFUNCTION("""COMPUTED_VALUE"""),-5.0)</f>
        <v>-5</v>
      </c>
      <c r="D38">
        <f>IFERROR(__xludf.DUMMYFUNCTION("""COMPUTED_VALUE"""),20.0)</f>
        <v>20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IFERROR(__xludf.DUMMYFUNCTION("""COMPUTED_VALUE"""),50.0)</f>
        <v>50</v>
      </c>
      <c r="I38">
        <f>IFERROR(__xludf.DUMMYFUNCTION("""COMPUTED_VALUE"""),10.0)</f>
        <v>10</v>
      </c>
      <c r="J38">
        <f>IFERROR(__xludf.DUMMYFUNCTION("""COMPUTED_VALUE"""),0.0)</f>
        <v>0</v>
      </c>
      <c r="K38">
        <f>IFERROR(__xludf.DUMMYFUNCTION("""COMPUTED_VALUE"""),35.0)</f>
        <v>35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7!W1"")"),"Question: 21")</f>
        <v>Question: 21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7!C1:H3""),IMPORTRANGE(""1_YEY20HiFjspjicPICCMlL_lQXsksdB6d3m5vzHwuOI"",""Round 7!M1:R3"")}"),"Westview C (JV)")</f>
        <v>Westview C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IFERROR(__xludf.DUMMYFUNCTION("""COMPUTED_VALUE"""),"Oak Valley A (JV)")</f>
        <v>Oak Valley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7!I32""))"),"A BP: 90")</f>
        <v>A BP: 90</v>
      </c>
      <c r="B42" t="str">
        <f>IFERROR(__xludf.DUMMYFUNCTION("""COMPUTED_VALUE"""),"Score: 150")</f>
        <v>Score: 150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280")</f>
        <v>Score: 280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7!S32""))"),"B BP: 180")</f>
        <v>B BP: 180</v>
      </c>
      <c r="B43" t="str">
        <f>IFERROR(__xludf.DUMMYFUNCTION("""COMPUTED_VALUE"""),"Rohan Kumar (11)")</f>
        <v>Rohan Kumar (11)</v>
      </c>
      <c r="C43" t="str">
        <f>IFERROR(__xludf.DUMMYFUNCTION("""COMPUTED_VALUE"""),"Aiken Wang (9)")</f>
        <v>Aiken Wang (9)</v>
      </c>
      <c r="D43" t="str">
        <f>IFERROR(__xludf.DUMMYFUNCTION("""COMPUTED_VALUE"""),"Radhika Sreelal (10)")</f>
        <v>Radhika Sreelal (10)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IFERROR(__xludf.DUMMYFUNCTION("""COMPUTED_VALUE"""),"Conner Feng (8)")</f>
        <v>Conner Feng (8)</v>
      </c>
      <c r="I43" t="str">
        <f>IFERROR(__xludf.DUMMYFUNCTION("""COMPUTED_VALUE"""),"Raunak Mondal (7)")</f>
        <v>Raunak Mondal (7)</v>
      </c>
      <c r="J43" t="str">
        <f>IFERROR(__xludf.DUMMYFUNCTION("""COMPUTED_VALUE"""),"Jadon Pandian (7)")</f>
        <v>Jadon Pandian (7)</v>
      </c>
      <c r="K43" t="str">
        <f>IFERROR(__xludf.DUMMYFUNCTION("""COMPUTED_VALUE"""),"Jonas Brown (7)")</f>
        <v>Jonas Brown (7)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7!C32:H36""),IMPORTRANGE(""1_YEY20HiFjspjicPICCMlL_lQXsksdB6d3m5vzHwuOI"",""Round 7!M32:R36"")}"),20.0)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IFERROR(__xludf.DUMMYFUNCTION("""COMPUTED_VALUE"""),0.0)</f>
        <v>0</v>
      </c>
      <c r="C45">
        <f>IFERROR(__xludf.DUMMYFUNCTION("""COMPUTED_VALUE"""),0.0)</f>
        <v>0</v>
      </c>
      <c r="D45">
        <f>IFERROR(__xludf.DUMMYFUNCTION("""COMPUTED_VALUE"""),1.0)</f>
        <v>1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IFERROR(__xludf.DUMMYFUNCTION("""COMPUTED_VALUE"""),2.0)</f>
        <v>2</v>
      </c>
      <c r="I45">
        <f>IFERROR(__xludf.DUMMYFUNCTION("""COMPUTED_VALUE"""),0.0)</f>
        <v>0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IFERROR(__xludf.DUMMYFUNCTION("""COMPUTED_VALUE"""),3.0)</f>
        <v>3</v>
      </c>
      <c r="C46">
        <f>IFERROR(__xludf.DUMMYFUNCTION("""COMPUTED_VALUE"""),2.0)</f>
        <v>2</v>
      </c>
      <c r="D46">
        <f>IFERROR(__xludf.DUMMYFUNCTION("""COMPUTED_VALUE"""),1.0)</f>
        <v>1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IFERROR(__xludf.DUMMYFUNCTION("""COMPUTED_VALUE"""),7.0)</f>
        <v>7</v>
      </c>
      <c r="I46">
        <f>IFERROR(__xludf.DUMMYFUNCTION("""COMPUTED_VALUE"""),0.0)</f>
        <v>0</v>
      </c>
      <c r="J46">
        <f>IFERROR(__xludf.DUMMYFUNCTION("""COMPUTED_VALUE"""),0.0)</f>
        <v>0</v>
      </c>
      <c r="K46">
        <f>IFERROR(__xludf.DUMMYFUNCTION("""COMPUTED_VALUE"""),1.0)</f>
        <v>1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IFERROR(__xludf.DUMMYFUNCTION("""COMPUTED_VALUE"""),1.0)</f>
        <v>1</v>
      </c>
      <c r="C47">
        <f>IFERROR(__xludf.DUMMYFUNCTION("""COMPUTED_VALUE"""),0.0)</f>
        <v>0</v>
      </c>
      <c r="D47">
        <f>IFERROR(__xludf.DUMMYFUNCTION("""COMPUTED_VALUE"""),2.0)</f>
        <v>2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IFERROR(__xludf.DUMMYFUNCTION("""COMPUTED_VALUE"""),1.0)</f>
        <v>1</v>
      </c>
      <c r="I47">
        <f>IFERROR(__xludf.DUMMYFUNCTION("""COMPUTED_VALUE"""),1.0)</f>
        <v>1</v>
      </c>
      <c r="J47">
        <f>IFERROR(__xludf.DUMMYFUNCTION("""COMPUTED_VALUE"""),0.0)</f>
        <v>0</v>
      </c>
      <c r="K47">
        <f>IFERROR(__xludf.DUMMYFUNCTION("""COMPUTED_VALUE"""),0.0)</f>
        <v>0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IFERROR(__xludf.DUMMYFUNCTION("""COMPUTED_VALUE"""),25.0)</f>
        <v>25</v>
      </c>
      <c r="C48">
        <f>IFERROR(__xludf.DUMMYFUNCTION("""COMPUTED_VALUE"""),20.0)</f>
        <v>20</v>
      </c>
      <c r="D48">
        <f>IFERROR(__xludf.DUMMYFUNCTION("""COMPUTED_VALUE"""),15.0)</f>
        <v>15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IFERROR(__xludf.DUMMYFUNCTION("""COMPUTED_VALUE"""),95.0)</f>
        <v>95</v>
      </c>
      <c r="I48">
        <f>IFERROR(__xludf.DUMMYFUNCTION("""COMPUTED_VALUE"""),-5.0)</f>
        <v>-5</v>
      </c>
      <c r="J48">
        <f>IFERROR(__xludf.DUMMYFUNCTION("""COMPUTED_VALUE"""),0.0)</f>
        <v>0</v>
      </c>
      <c r="K48">
        <f>IFERROR(__xludf.DUMMYFUNCTION("""COMPUTED_VALUE"""),10.0)</f>
        <v>10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7!W1"")"),"Question: 21")</f>
        <v>Question: 21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7!C1:H3""),IMPORTRANGE(""1SYS5Ef48991ZUgqcGqj51eX2YgqKCzfrEZ_pUY01Lwo"",""Round 7!M1:R3"")}"),"Oak Valley C (JV)")</f>
        <v>Oak Valley C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IFERROR(__xludf.DUMMYFUNCTION("""COMPUTED_VALUE"""),"Black Mountain A (JV)")</f>
        <v>Black Mountain A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7!I32""))"),"A BP: 50")</f>
        <v>A BP: 50</v>
      </c>
      <c r="B52" t="str">
        <f>IFERROR(__xludf.DUMMYFUNCTION("""COMPUTED_VALUE"""),"Score: 90")</f>
        <v>Score: 90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210")</f>
        <v>Score: 210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7!S32""))"),"B BP: 130")</f>
        <v>B BP: 130</v>
      </c>
      <c r="B53" t="str">
        <f>IFERROR(__xludf.DUMMYFUNCTION("""COMPUTED_VALUE"""),"Chinmay Ramamurthy (7)")</f>
        <v>Chinmay Ramamurthy (7)</v>
      </c>
      <c r="C53" t="str">
        <f>IFERROR(__xludf.DUMMYFUNCTION("""COMPUTED_VALUE"""),"Tay Kim (7)")</f>
        <v>Tay Kim (7)</v>
      </c>
      <c r="D53" t="str">
        <f>IFERROR(__xludf.DUMMYFUNCTION("""COMPUTED_VALUE"""),"Saanvi Agarwal (6)")</f>
        <v>Saanvi Agarwal (6)</v>
      </c>
      <c r="E53" t="str">
        <f>IFERROR(__xludf.DUMMYFUNCTION("""COMPUTED_VALUE"""),"Sarah Feng (6)")</f>
        <v>Sarah Feng (6)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IFERROR(__xludf.DUMMYFUNCTION("""COMPUTED_VALUE"""),"Adarsh Venkateswaran (8)")</f>
        <v>Adarsh Venkateswaran (8)</v>
      </c>
      <c r="I53" t="str">
        <f>IFERROR(__xludf.DUMMYFUNCTION("""COMPUTED_VALUE"""),"Anvit Watwani (7)")</f>
        <v>Anvit Watwani (7)</v>
      </c>
      <c r="J53" t="str">
        <f>IFERROR(__xludf.DUMMYFUNCTION("""COMPUTED_VALUE"""),"Tanvi Bhide (7)")</f>
        <v>Tanvi Bhide (7)</v>
      </c>
      <c r="K53" t="str">
        <f>IFERROR(__xludf.DUMMYFUNCTION("""COMPUTED_VALUE"""),"Edwin Chang (8)")</f>
        <v>Edwin Chang (8)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7!C32:H36""),IMPORTRANGE(""1SYS5Ef48991ZUgqcGqj51eX2YgqKCzfrEZ_pUY01Lwo"",""Round 7!M32:R36"")}"),20.0)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IFERROR(__xludf.DUMMYFUNCTION("""COMPUTED_VALUE"""),0.0)</f>
        <v>0</v>
      </c>
      <c r="C55">
        <f>IFERROR(__xludf.DUMMYFUNCTION("""COMPUTED_VALUE"""),0.0)</f>
        <v>0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IFERROR(__xludf.DUMMYFUNCTION("""COMPUTED_VALUE"""),0.0)</f>
        <v>0</v>
      </c>
      <c r="I55">
        <f>IFERROR(__xludf.DUMMYFUNCTION("""COMPUTED_VALUE"""),0.0)</f>
        <v>0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IFERROR(__xludf.DUMMYFUNCTION("""COMPUTED_VALUE"""),3.0)</f>
        <v>3</v>
      </c>
      <c r="C56">
        <f>IFERROR(__xludf.DUMMYFUNCTION("""COMPUTED_VALUE"""),1.0)</f>
        <v>1</v>
      </c>
      <c r="D56">
        <f>IFERROR(__xludf.DUMMYFUNCTION("""COMPUTED_VALUE"""),0.0)</f>
        <v>0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IFERROR(__xludf.DUMMYFUNCTION("""COMPUTED_VALUE"""),3.0)</f>
        <v>3</v>
      </c>
      <c r="I56">
        <f>IFERROR(__xludf.DUMMYFUNCTION("""COMPUTED_VALUE"""),6.0)</f>
        <v>6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IFERROR(__xludf.DUMMYFUNCTION("""COMPUTED_VALUE"""),1.0)</f>
        <v>1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IFERROR(__xludf.DUMMYFUNCTION("""COMPUTED_VALUE"""),1.0)</f>
        <v>1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IFERROR(__xludf.DUMMYFUNCTION("""COMPUTED_VALUE"""),30.0)</f>
        <v>30</v>
      </c>
      <c r="C58">
        <f>IFERROR(__xludf.DUMMYFUNCTION("""COMPUTED_VALUE"""),10.0)</f>
        <v>10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IFERROR(__xludf.DUMMYFUNCTION("""COMPUTED_VALUE"""),25.0)</f>
        <v>25</v>
      </c>
      <c r="I58">
        <f>IFERROR(__xludf.DUMMYFUNCTION("""COMPUTED_VALUE"""),60.0)</f>
        <v>60</v>
      </c>
      <c r="J58">
        <f>IFERROR(__xludf.DUMMYFUNCTION("""COMPUTED_VALUE"""),0.0)</f>
        <v>0</v>
      </c>
      <c r="K58">
        <f>IFERROR(__xludf.DUMMYFUNCTION("""COMPUTED_VALUE"""),-5.0)</f>
        <v>-5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7!W1"")"),"Question: 20")</f>
        <v>Question: 20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7!C1:H3""),IMPORTRANGE(""1UJlRLlhI2Hg_SAQqQOg0JGdwHhiagF7EVAtCX8UOYFc"",""Round 7!M1:R3"")}"),"La Serna A (JV)")</f>
        <v>La Serna A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IFERROR(__xludf.DUMMYFUNCTION("""COMPUTED_VALUE"""),"Del Norte (JV)")</f>
        <v>Del Norte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7!I32""))"),"A BP: 150")</f>
        <v>A BP: 150</v>
      </c>
      <c r="B62" t="str">
        <f>IFERROR(__xludf.DUMMYFUNCTION("""COMPUTED_VALUE"""),"Score: 255")</f>
        <v>Score: 255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190")</f>
        <v>Score: 190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7!S32""))"),"B BP: 120")</f>
        <v>B BP: 120</v>
      </c>
      <c r="B63" t="str">
        <f>IFERROR(__xludf.DUMMYFUNCTION("""COMPUTED_VALUE"""),"Cole Aedo (12)")</f>
        <v>Cole Aedo (12)</v>
      </c>
      <c r="C63" t="str">
        <f>IFERROR(__xludf.DUMMYFUNCTION("""COMPUTED_VALUE"""),"Jay Gamez (12)")</f>
        <v>Jay Gamez (12)</v>
      </c>
      <c r="D63" t="str">
        <f>IFERROR(__xludf.DUMMYFUNCTION("""COMPUTED_VALUE"""),"Ian Brennan (12)")</f>
        <v>Ian Brennan (12)</v>
      </c>
      <c r="E63" t="str">
        <f>IFERROR(__xludf.DUMMYFUNCTION("""COMPUTED_VALUE"""),"Player 4")</f>
        <v>Player 4</v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IFERROR(__xludf.DUMMYFUNCTION("""COMPUTED_VALUE"""),"Kyle Nagasawa (11)")</f>
        <v>Kyle Nagasawa (11)</v>
      </c>
      <c r="I63" t="str">
        <f>IFERROR(__xludf.DUMMYFUNCTION("""COMPUTED_VALUE"""),"Kinish Sathish (9)")</f>
        <v>Kinish Sathish (9)</v>
      </c>
      <c r="J63" t="str">
        <f>IFERROR(__xludf.DUMMYFUNCTION("""COMPUTED_VALUE"""),"Player 3")</f>
        <v>Player 3</v>
      </c>
      <c r="K63" t="str">
        <f>IFERROR(__xludf.DUMMYFUNCTION("""COMPUTED_VALUE"""),"Player 4")</f>
        <v>Player 4</v>
      </c>
      <c r="L63" t="str">
        <f>IFERROR(__xludf.DUMMYFUNCTION("""COMPUTED_VALUE"""),"Player 5")</f>
        <v>Player 5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7!C32:H36""),IMPORTRANGE(""1UJlRLlhI2Hg_SAQqQOg0JGdwHhiagF7EVAtCX8UOYFc"",""Round 7!M32:R36"")}"),20.0)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IFERROR(__xludf.DUMMYFUNCTION("""COMPUTED_VALUE"""),20.0)</f>
        <v>20</v>
      </c>
      <c r="L64" t="str">
        <f>IFERROR(__xludf.DUMMYFUNCTION("""COMPUTED_VALUE"""),"")</f>
        <v/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IFERROR(__xludf.DUMMYFUNCTION("""COMPUTED_VALUE"""),2.0)</f>
        <v>2</v>
      </c>
      <c r="C65">
        <f>IFERROR(__xludf.DUMMYFUNCTION("""COMPUTED_VALUE"""),1.0)</f>
        <v>1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IFERROR(__xludf.DUMMYFUNCTION("""COMPUTED_VALUE"""),2.0)</f>
        <v>2</v>
      </c>
      <c r="I65">
        <f>IFERROR(__xludf.DUMMYFUNCTION("""COMPUTED_VALUE"""),0.0)</f>
        <v>0</v>
      </c>
      <c r="J65">
        <f>IFERROR(__xludf.DUMMYFUNCTION("""COMPUTED_VALUE"""),0.0)</f>
        <v>0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IFERROR(__xludf.DUMMYFUNCTION("""COMPUTED_VALUE"""),2.0)</f>
        <v>2</v>
      </c>
      <c r="C66">
        <f>IFERROR(__xludf.DUMMYFUNCTION("""COMPUTED_VALUE"""),2.0)</f>
        <v>2</v>
      </c>
      <c r="D66">
        <f>IFERROR(__xludf.DUMMYFUNCTION("""COMPUTED_VALUE"""),2.0)</f>
        <v>2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IFERROR(__xludf.DUMMYFUNCTION("""COMPUTED_VALUE"""),0.0)</f>
        <v>0</v>
      </c>
      <c r="I66">
        <f>IFERROR(__xludf.DUMMYFUNCTION("""COMPUTED_VALUE"""),5.0)</f>
        <v>5</v>
      </c>
      <c r="J66">
        <f>IFERROR(__xludf.DUMMYFUNCTION("""COMPUTED_VALUE"""),0.0)</f>
        <v>0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IFERROR(__xludf.DUMMYFUNCTION("""COMPUTED_VALUE"""),0.0)</f>
        <v>0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IFERROR(__xludf.DUMMYFUNCTION("""COMPUTED_VALUE"""),50.0)</f>
        <v>50</v>
      </c>
      <c r="C68">
        <f>IFERROR(__xludf.DUMMYFUNCTION("""COMPUTED_VALUE"""),35.0)</f>
        <v>35</v>
      </c>
      <c r="D68">
        <f>IFERROR(__xludf.DUMMYFUNCTION("""COMPUTED_VALUE"""),20.0)</f>
        <v>20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IFERROR(__xludf.DUMMYFUNCTION("""COMPUTED_VALUE"""),20.0)</f>
        <v>20</v>
      </c>
      <c r="I68">
        <f>IFERROR(__xludf.DUMMYFUNCTION("""COMPUTED_VALUE"""),50.0)</f>
        <v>50</v>
      </c>
      <c r="J68">
        <f>IFERROR(__xludf.DUMMYFUNCTION("""COMPUTED_VALUE"""),0.0)</f>
        <v>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7!W1"")"),"Question: 21")</f>
        <v>Question: 21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7!C1:H3""),IMPORTRANGE(""1jA96n0qbauznSt6-hkr51AslpxJqfrWgkafVtMV8_xU"",""Round 7!M1:R3"")}"),"Troy B (JV)")</f>
        <v>Troy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IFERROR(__xludf.DUMMYFUNCTION("""COMPUTED_VALUE"""),"Oak Valley B (JV)")</f>
        <v>Oak Valley B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7!I32""))"),"A BP: 80")</f>
        <v>A BP: 80</v>
      </c>
      <c r="B72" t="str">
        <f>IFERROR(__xludf.DUMMYFUNCTION("""COMPUTED_VALUE"""),"Score: 150")</f>
        <v>Score: 150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235")</f>
        <v>Score: 235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7!S32""))"),"B BP: 130")</f>
        <v>B BP: 130</v>
      </c>
      <c r="B73" t="str">
        <f>IFERROR(__xludf.DUMMYFUNCTION("""COMPUTED_VALUE"""),"Ryan Salehi (11)")</f>
        <v>Ryan Salehi (11)</v>
      </c>
      <c r="C73" t="str">
        <f>IFERROR(__xludf.DUMMYFUNCTION("""COMPUTED_VALUE"""),"Luke Waldo (11)")</f>
        <v>Luke Waldo (11)</v>
      </c>
      <c r="D73" t="str">
        <f>IFERROR(__xludf.DUMMYFUNCTION("""COMPUTED_VALUE"""),"Juan Manalo (11)")</f>
        <v>Juan Manalo (11)</v>
      </c>
      <c r="E73" t="str">
        <f>IFERROR(__xludf.DUMMYFUNCTION("""COMPUTED_VALUE"""),"Player 4")</f>
        <v>Player 4</v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IFERROR(__xludf.DUMMYFUNCTION("""COMPUTED_VALUE"""),"Rohan Gaikwad (8)")</f>
        <v>Rohan Gaikwad (8)</v>
      </c>
      <c r="I73" t="str">
        <f>IFERROR(__xludf.DUMMYFUNCTION("""COMPUTED_VALUE"""),"John Bruvold (8)")</f>
        <v>John Bruvold (8)</v>
      </c>
      <c r="J73" t="str">
        <f>IFERROR(__xludf.DUMMYFUNCTION("""COMPUTED_VALUE"""),"Amina Aslam-Mir (7)")</f>
        <v>Amina Aslam-Mir (7)</v>
      </c>
      <c r="K73" t="str">
        <f>IFERROR(__xludf.DUMMYFUNCTION("""COMPUTED_VALUE"""),"Ethan Huang (7)")</f>
        <v>Ethan Huang (7)</v>
      </c>
      <c r="L73" t="str">
        <f>IFERROR(__xludf.DUMMYFUNCTION("""COMPUTED_VALUE"""),"Aditi Bandaru (7)")</f>
        <v>Aditi Bandaru (7)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7!C32:H36""),IMPORTRANGE(""1jA96n0qbauznSt6-hkr51AslpxJqfrWgkafVtMV8_xU"",""Round 7!M32:R36"")}"),20.0)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IFERROR(__xludf.DUMMYFUNCTION("""COMPUTED_VALUE"""),10.0)</f>
        <v>10</v>
      </c>
      <c r="L74">
        <f>IFERROR(__xludf.DUMMYFUNCTION("""COMPUTED_VALUE"""),10.0)</f>
        <v>10</v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IFERROR(__xludf.DUMMYFUNCTION("""COMPUTED_VALUE"""),2.0)</f>
        <v>2</v>
      </c>
      <c r="I75">
        <f>IFERROR(__xludf.DUMMYFUNCTION("""COMPUTED_VALUE"""),0.0)</f>
        <v>0</v>
      </c>
      <c r="J75">
        <f>IFERROR(__xludf.DUMMYFUNCTION("""COMPUTED_VALUE"""),1.0)</f>
        <v>1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IFERROR(__xludf.DUMMYFUNCTION("""COMPUTED_VALUE"""),4.0)</f>
        <v>4</v>
      </c>
      <c r="C76">
        <f>IFERROR(__xludf.DUMMYFUNCTION("""COMPUTED_VALUE"""),2.0)</f>
        <v>2</v>
      </c>
      <c r="D76">
        <f>IFERROR(__xludf.DUMMYFUNCTION("""COMPUTED_VALUE"""),2.0)</f>
        <v>2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IFERROR(__xludf.DUMMYFUNCTION("""COMPUTED_VALUE"""),6.0)</f>
        <v>6</v>
      </c>
      <c r="I76">
        <f>IFERROR(__xludf.DUMMYFUNCTION("""COMPUTED_VALUE"""),0.0)</f>
        <v>0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IFERROR(__xludf.DUMMYFUNCTION("""COMPUTED_VALUE"""),2.0)</f>
        <v>2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IFERROR(__xludf.DUMMYFUNCTION("""COMPUTED_VALUE"""),0.0)</f>
        <v>0</v>
      </c>
      <c r="I77">
        <f>IFERROR(__xludf.DUMMYFUNCTION("""COMPUTED_VALUE"""),0.0)</f>
        <v>0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IFERROR(__xludf.DUMMYFUNCTION("""COMPUTED_VALUE"""),40.0)</f>
        <v>40</v>
      </c>
      <c r="C78">
        <f>IFERROR(__xludf.DUMMYFUNCTION("""COMPUTED_VALUE"""),20.0)</f>
        <v>20</v>
      </c>
      <c r="D78">
        <f>IFERROR(__xludf.DUMMYFUNCTION("""COMPUTED_VALUE"""),10.0)</f>
        <v>10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IFERROR(__xludf.DUMMYFUNCTION("""COMPUTED_VALUE"""),90.0)</f>
        <v>90</v>
      </c>
      <c r="I78">
        <f>IFERROR(__xludf.DUMMYFUNCTION("""COMPUTED_VALUE"""),0.0)</f>
        <v>0</v>
      </c>
      <c r="J78">
        <f>IFERROR(__xludf.DUMMYFUNCTION("""COMPUTED_VALUE"""),15.0)</f>
        <v>15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7!W1"")"),"Question: 21")</f>
        <v>Question: 21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7!C1:H3""),IMPORTRANGE(""1xw1EOjVhrK1PNJfOYiUsuJNrlpV53SmfJxYsFFolQ3s"",""Round 7!M1:R3"")}"),"Valley Center (JV)")</f>
        <v>Valley Center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IFERROR(__xludf.DUMMYFUNCTION("""COMPUTED_VALUE"""),"Black Mountain B (JV)")</f>
        <v>Black Mountain B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7!I32""))"),"A BP: 100")</f>
        <v>A BP: 100</v>
      </c>
      <c r="B82" t="str">
        <f>IFERROR(__xludf.DUMMYFUNCTION("""COMPUTED_VALUE"""),"Score: 180")</f>
        <v>Score: 180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160")</f>
        <v>Score: 160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7!S32""))"),"B BP: 80")</f>
        <v>B BP: 80</v>
      </c>
      <c r="B83" t="str">
        <f>IFERROR(__xludf.DUMMYFUNCTION("""COMPUTED_VALUE"""),"Aaron Martinez (11)")</f>
        <v>Aaron Martinez (11)</v>
      </c>
      <c r="C83" t="str">
        <f>IFERROR(__xludf.DUMMYFUNCTION("""COMPUTED_VALUE"""),"Leon Thigh (11)")</f>
        <v>Leon Thigh (11)</v>
      </c>
      <c r="D83" t="str">
        <f>IFERROR(__xludf.DUMMYFUNCTION("""COMPUTED_VALUE"""),"Mehreen Sing (12)")</f>
        <v>Mehreen Sing (12)</v>
      </c>
      <c r="E83" t="str">
        <f>IFERROR(__xludf.DUMMYFUNCTION("""COMPUTED_VALUE"""),"Ava Downey (12)")</f>
        <v>Ava Downey (12)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IFERROR(__xludf.DUMMYFUNCTION("""COMPUTED_VALUE"""),"Raina Chatterjee (7)")</f>
        <v>Raina Chatterjee (7)</v>
      </c>
      <c r="I83" t="str">
        <f>IFERROR(__xludf.DUMMYFUNCTION("""COMPUTED_VALUE"""),"Pranay Kulkarni (7)")</f>
        <v>Pranay Kulkarni (7)</v>
      </c>
      <c r="J83" t="str">
        <f>IFERROR(__xludf.DUMMYFUNCTION("""COMPUTED_VALUE"""),"Lauren Yung (8)")</f>
        <v>Lauren Yung (8)</v>
      </c>
      <c r="K83" t="str">
        <f>IFERROR(__xludf.DUMMYFUNCTION("""COMPUTED_VALUE"""),"Anay Sabhnani (7)")</f>
        <v>Anay Sabhnani (7)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7!C32:H36""),IMPORTRANGE(""1xw1EOjVhrK1PNJfOYiUsuJNrlpV53SmfJxYsFFolQ3s"",""Round 7!M32:R36"")}"),20.0)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IFERROR(__xludf.DUMMYFUNCTION("""COMPUTED_VALUE"""),1.0)</f>
        <v>1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IFERROR(__xludf.DUMMYFUNCTION("""COMPUTED_VALUE"""),5.0)</f>
        <v>5</v>
      </c>
      <c r="C86">
        <f>IFERROR(__xludf.DUMMYFUNCTION("""COMPUTED_VALUE"""),0.0)</f>
        <v>0</v>
      </c>
      <c r="D86">
        <f>IFERROR(__xludf.DUMMYFUNCTION("""COMPUTED_VALUE"""),2.0)</f>
        <v>2</v>
      </c>
      <c r="E86">
        <f>IFERROR(__xludf.DUMMYFUNCTION("""COMPUTED_VALUE"""),1.0)</f>
        <v>1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IFERROR(__xludf.DUMMYFUNCTION("""COMPUTED_VALUE"""),2.0)</f>
        <v>2</v>
      </c>
      <c r="J86">
        <f>IFERROR(__xludf.DUMMYFUNCTION("""COMPUTED_VALUE"""),1.0)</f>
        <v>1</v>
      </c>
      <c r="K86">
        <f>IFERROR(__xludf.DUMMYFUNCTION("""COMPUTED_VALUE"""),4.0)</f>
        <v>4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IFERROR(__xludf.DUMMYFUNCTION("""COMPUTED_VALUE"""),0.0)</f>
        <v>0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IFERROR(__xludf.DUMMYFUNCTION("""COMPUTED_VALUE"""),0.0)</f>
        <v>0</v>
      </c>
      <c r="I87">
        <f>IFERROR(__xludf.DUMMYFUNCTION("""COMPUTED_VALUE"""),0.0)</f>
        <v>0</v>
      </c>
      <c r="J87">
        <f>IFERROR(__xludf.DUMMYFUNCTION("""COMPUTED_VALUE"""),1.0)</f>
        <v>1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IFERROR(__xludf.DUMMYFUNCTION("""COMPUTED_VALUE"""),50.0)</f>
        <v>50</v>
      </c>
      <c r="C88">
        <f>IFERROR(__xludf.DUMMYFUNCTION("""COMPUTED_VALUE"""),0.0)</f>
        <v>0</v>
      </c>
      <c r="D88">
        <f>IFERROR(__xludf.DUMMYFUNCTION("""COMPUTED_VALUE"""),20.0)</f>
        <v>20</v>
      </c>
      <c r="E88">
        <f>IFERROR(__xludf.DUMMYFUNCTION("""COMPUTED_VALUE"""),10.0)</f>
        <v>10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IFERROR(__xludf.DUMMYFUNCTION("""COMPUTED_VALUE"""),0.0)</f>
        <v>0</v>
      </c>
      <c r="I88">
        <f>IFERROR(__xludf.DUMMYFUNCTION("""COMPUTED_VALUE"""),20.0)</f>
        <v>20</v>
      </c>
      <c r="J88">
        <f>IFERROR(__xludf.DUMMYFUNCTION("""COMPUTED_VALUE"""),5.0)</f>
        <v>5</v>
      </c>
      <c r="K88">
        <f>IFERROR(__xludf.DUMMYFUNCTION("""COMPUTED_VALUE"""),55.0)</f>
        <v>55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7!W1"")"),"Question: 21")</f>
        <v>Question: 21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7!C1:H3""),IMPORTRANGE(""15wOrdFuJAb1a4MoX5CG4apiBD2jUJ7mBu58Uk-8Mo7s"",""Round 7!M1:R3"")}"),"Team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7!I32""))"),"A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7!S32""))"),"B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7!C32:H36""),IMPORTRANGE(""15wOrdFuJAb1a4MoX5CG4apiBD2jUJ7mBu58Uk-8Mo7s"",""Round 7!M32:R36"")}"),20.0)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7!W1"")"),"Question: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7!C1:H3""),IMPORTRANGE(""1GfJqS1rsy-VutTmPVnm9E2VdinIG-GnQO5b3bhaiX1s"",""Round 7!M1:R3"")}"),"Team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7!I32""))"),"A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7!S32""))"),"B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7!C32:H36""),IMPORTRANGE(""1GfJqS1rsy-VutTmPVnm9E2VdinIG-GnQO5b3bhaiX1s"",""Round 7!M32:R36"")}"),20.0)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7!W1"")"),"Question: 1")</f>
        <v>Question: 1</v>
      </c>
      <c r="B109" s="7" t="s">
        <v>150</v>
      </c>
    </row>
    <row r="110">
      <c r="A110" s="6"/>
    </row>
    <row r="111">
      <c r="A111" s="2" t="s">
        <v>166</v>
      </c>
      <c r="B111" t="str">
        <f>IFERROR(__xludf.DUMMYFUNCTION("{IMPORTRANGE(""17CLUEFflDBSa8dyH5vsXfHme4RV8IhzD-mxe9_c9I5k"",""Round 7!C1:H3""),IMPORTRANGE(""17CLUEFflDBSa8dyH5vsXfHme4RV8IhzD-mxe9_c9I5k"",""Round 7!M1:R3"")}"),"Canyon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IFERROR(__xludf.DUMMYFUNCTION("""COMPUTED_VALUE"""),"Canyon Crest A (V)")</f>
        <v>Canyon Crest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7!I32""))"),"A BP: 130")</f>
        <v>A BP: 130</v>
      </c>
      <c r="B112" t="str">
        <f>IFERROR(__xludf.DUMMYFUNCTION("""COMPUTED_VALUE"""),"Score: 200")</f>
        <v>Score: 200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310")</f>
        <v>Score: 310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7!S32""))"),"B BP: 200")</f>
        <v>B BP: 200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IFERROR(__xludf.DUMMYFUNCTION("""COMPUTED_VALUE"""),"Wesley Zhang (12)")</f>
        <v>Wesley Zhang (12)</v>
      </c>
      <c r="I113" t="str">
        <f>IFERROR(__xludf.DUMMYFUNCTION("""COMPUTED_VALUE"""),"Leo Gu (10)")</f>
        <v>Leo Gu (10)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7!C32:H36""),IMPORTRANGE(""17CLUEFflDBSa8dyH5vsXfHme4RV8IhzD-mxe9_c9I5k"",""Round 7!M32:R36"")}"),20.0)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IFERROR(__xludf.DUMMYFUNCTION("""COMPUTED_VALUE"""),1.0)</f>
        <v>1</v>
      </c>
      <c r="C115">
        <f>IFERROR(__xludf.DUMMYFUNCTION("""COMPUTED_VALUE"""),3.0)</f>
        <v>3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IFERROR(__xludf.DUMMYFUNCTION("""COMPUTED_VALUE"""),2.0)</f>
        <v>2</v>
      </c>
      <c r="I115">
        <f>IFERROR(__xludf.DUMMYFUNCTION("""COMPUTED_VALUE"""),2.0)</f>
        <v>2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IFERROR(__xludf.DUMMYFUNCTION("""COMPUTED_VALUE"""),4.0)</f>
        <v>4</v>
      </c>
      <c r="C116">
        <f>IFERROR(__xludf.DUMMYFUNCTION("""COMPUTED_VALUE"""),0.0)</f>
        <v>0</v>
      </c>
      <c r="D116">
        <f>IFERROR(__xludf.DUMMYFUNCTION("""COMPUTED_VALUE"""),1.0)</f>
        <v>1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IFERROR(__xludf.DUMMYFUNCTION("""COMPUTED_VALUE"""),1.0)</f>
        <v>1</v>
      </c>
      <c r="I116">
        <f>IFERROR(__xludf.DUMMYFUNCTION("""COMPUTED_VALUE"""),5.0)</f>
        <v>5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IFERROR(__xludf.DUMMYFUNCTION("""COMPUTED_VALUE"""),4.0)</f>
        <v>4</v>
      </c>
      <c r="C117">
        <f>IFERROR(__xludf.DUMMYFUNCTION("""COMPUTED_VALUE"""),2.0)</f>
        <v>2</v>
      </c>
      <c r="D117">
        <f>IFERROR(__xludf.DUMMYFUNCTION("""COMPUTED_VALUE"""),2.0)</f>
        <v>2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IFERROR(__xludf.DUMMYFUNCTION("""COMPUTED_VALUE"""),1.0)</f>
        <v>1</v>
      </c>
      <c r="I117">
        <f>IFERROR(__xludf.DUMMYFUNCTION("""COMPUTED_VALUE"""),1.0)</f>
        <v>1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IFERROR(__xludf.DUMMYFUNCTION("""COMPUTED_VALUE"""),35.0)</f>
        <v>35</v>
      </c>
      <c r="C118">
        <f>IFERROR(__xludf.DUMMYFUNCTION("""COMPUTED_VALUE"""),35.0)</f>
        <v>35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IFERROR(__xludf.DUMMYFUNCTION("""COMPUTED_VALUE"""),35.0)</f>
        <v>35</v>
      </c>
      <c r="I118">
        <f>IFERROR(__xludf.DUMMYFUNCTION("""COMPUTED_VALUE"""),75.0)</f>
        <v>75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7!W1"")"),"Question: 21")</f>
        <v>Question: 21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7!C1:H3""),IMPORTRANGE(""1Knt8XDGFY_MP2OzeadT1pDENTLOdk9Ab_Rd9IdW0kzc"",""Round 7!M1:R3"")}"),"Canyon Crest C (V)")</f>
        <v>Canyon Crest C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IFERROR(__xludf.DUMMYFUNCTION("""COMPUTED_VALUE"""),"La Jolla (V)")</f>
        <v>La Jolla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7!I32""))"),"A BP: 70")</f>
        <v>A BP: 70</v>
      </c>
      <c r="B122" t="str">
        <f>IFERROR(__xludf.DUMMYFUNCTION("""COMPUTED_VALUE"""),"Score: 125")</f>
        <v>Score: 125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280")</f>
        <v>Score: 280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7!S32""))"),"B BP: 170")</f>
        <v>B BP: 170</v>
      </c>
      <c r="B123" t="str">
        <f>IFERROR(__xludf.DUMMYFUNCTION("""COMPUTED_VALUE"""),"Paul Mola (11)")</f>
        <v>Paul Mola (11)</v>
      </c>
      <c r="C123" t="str">
        <f>IFERROR(__xludf.DUMMYFUNCTION("""COMPUTED_VALUE"""),"James Wright (11)")</f>
        <v>James Wright (11)</v>
      </c>
      <c r="D123" t="str">
        <f>IFERROR(__xludf.DUMMYFUNCTION("""COMPUTED_VALUE"""),"Cade McAllister (10)")</f>
        <v>Cade McAllister (10)</v>
      </c>
      <c r="E123" t="str">
        <f>IFERROR(__xludf.DUMMYFUNCTION("""COMPUTED_VALUE"""),"Nithin Chilakapati (10)")</f>
        <v>Nithin Chilakapati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IFERROR(__xludf.DUMMYFUNCTION("""COMPUTED_VALUE"""),"Caleb Cruz (11)")</f>
        <v>Caleb Cruz (11)</v>
      </c>
      <c r="I123" t="str">
        <f>IFERROR(__xludf.DUMMYFUNCTION("""COMPUTED_VALUE"""),"Kevin Park (11)")</f>
        <v>Kevin Park (11)</v>
      </c>
      <c r="J123" t="str">
        <f>IFERROR(__xludf.DUMMYFUNCTION("""COMPUTED_VALUE"""),"Richard Chao (11)")</f>
        <v>Richard Chao (11)</v>
      </c>
      <c r="K123" t="str">
        <f>IFERROR(__xludf.DUMMYFUNCTION("""COMPUTED_VALUE"""),"David Smith (11)")</f>
        <v>David Smith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7!C32:H36""),IMPORTRANGE(""1Knt8XDGFY_MP2OzeadT1pDENTLOdk9Ab_Rd9IdW0kzc"",""Round 7!M32:R36"")}"),20.0)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IFERROR(__xludf.DUMMYFUNCTION("""COMPUTED_VALUE"""),1.0)</f>
        <v>1</v>
      </c>
      <c r="C125">
        <f>IFERROR(__xludf.DUMMYFUNCTION("""COMPUTED_VALUE"""),1.0)</f>
        <v>1</v>
      </c>
      <c r="D125">
        <f>IFERROR(__xludf.DUMMYFUNCTION("""COMPUTED_VALUE"""),1.0)</f>
        <v>1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IFERROR(__xludf.DUMMYFUNCTION("""COMPUTED_VALUE"""),1.0)</f>
        <v>1</v>
      </c>
      <c r="I125">
        <f>IFERROR(__xludf.DUMMYFUNCTION("""COMPUTED_VALUE"""),2.0)</f>
        <v>2</v>
      </c>
      <c r="J125">
        <f>IFERROR(__xludf.DUMMYFUNCTION("""COMPUTED_VALUE"""),0.0)</f>
        <v>0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IFERROR(__xludf.DUMMYFUNCTION("""COMPUTED_VALUE"""),0.0)</f>
        <v>0</v>
      </c>
      <c r="C126">
        <f>IFERROR(__xludf.DUMMYFUNCTION("""COMPUTED_VALUE"""),0.0)</f>
        <v>0</v>
      </c>
      <c r="D126">
        <f>IFERROR(__xludf.DUMMYFUNCTION("""COMPUTED_VALUE"""),1.0)</f>
        <v>1</v>
      </c>
      <c r="E126">
        <f>IFERROR(__xludf.DUMMYFUNCTION("""COMPUTED_VALUE"""),2.0)</f>
        <v>2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IFERROR(__xludf.DUMMYFUNCTION("""COMPUTED_VALUE"""),1.0)</f>
        <v>1</v>
      </c>
      <c r="I126">
        <f>IFERROR(__xludf.DUMMYFUNCTION("""COMPUTED_VALUE"""),4.0)</f>
        <v>4</v>
      </c>
      <c r="J126">
        <f>IFERROR(__xludf.DUMMYFUNCTION("""COMPUTED_VALUE"""),3.0)</f>
        <v>3</v>
      </c>
      <c r="K126">
        <f>IFERROR(__xludf.DUMMYFUNCTION("""COMPUTED_VALUE"""),0.0)</f>
        <v>0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IFERROR(__xludf.DUMMYFUNCTION("""COMPUTED_VALUE"""),2.0)</f>
        <v>2</v>
      </c>
      <c r="C127">
        <f>IFERROR(__xludf.DUMMYFUNCTION("""COMPUTED_VALUE"""),0.0)</f>
        <v>0</v>
      </c>
      <c r="D127">
        <f>IFERROR(__xludf.DUMMYFUNCTION("""COMPUTED_VALUE"""),2.0)</f>
        <v>2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IFERROR(__xludf.DUMMYFUNCTION("""COMPUTED_VALUE"""),1.0)</f>
        <v>1</v>
      </c>
      <c r="I127">
        <f>IFERROR(__xludf.DUMMYFUNCTION("""COMPUTED_VALUE"""),1.0)</f>
        <v>1</v>
      </c>
      <c r="J127">
        <f>IFERROR(__xludf.DUMMYFUNCTION("""COMPUTED_VALUE"""),1.0)</f>
        <v>1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IFERROR(__xludf.DUMMYFUNCTION("""COMPUTED_VALUE"""),5.0)</f>
        <v>5</v>
      </c>
      <c r="C128">
        <f>IFERROR(__xludf.DUMMYFUNCTION("""COMPUTED_VALUE"""),15.0)</f>
        <v>15</v>
      </c>
      <c r="D128">
        <f>IFERROR(__xludf.DUMMYFUNCTION("""COMPUTED_VALUE"""),15.0)</f>
        <v>15</v>
      </c>
      <c r="E128">
        <f>IFERROR(__xludf.DUMMYFUNCTION("""COMPUTED_VALUE"""),20.0)</f>
        <v>20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IFERROR(__xludf.DUMMYFUNCTION("""COMPUTED_VALUE"""),20.0)</f>
        <v>20</v>
      </c>
      <c r="I128">
        <f>IFERROR(__xludf.DUMMYFUNCTION("""COMPUTED_VALUE"""),65.0)</f>
        <v>65</v>
      </c>
      <c r="J128">
        <f>IFERROR(__xludf.DUMMYFUNCTION("""COMPUTED_VALUE"""),25.0)</f>
        <v>25</v>
      </c>
      <c r="K128">
        <f>IFERROR(__xludf.DUMMYFUNCTION("""COMPUTED_VALUE"""),0.0)</f>
        <v>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7!W1"")"),"Question: 21")</f>
        <v>Question: 21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7!C1:H3""),IMPORTRANGE(""16i4gsLDaJasgGgtJt27HweoboYNaal3qpX3MtxIR2f0"",""Round 7!M1:R3"")}"),"Santa Monica A (V)")</f>
        <v>Santa Monica A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IFERROR(__xludf.DUMMYFUNCTION("""COMPUTED_VALUE"""),"Westview A (V)")</f>
        <v>Westview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7!I32""))"),"A BP: 60")</f>
        <v>A BP: 60</v>
      </c>
      <c r="B132" t="str">
        <f>IFERROR(__xludf.DUMMYFUNCTION("""COMPUTED_VALUE"""),"Score: 110")</f>
        <v>Score: 110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515")</f>
        <v>Score: 515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7!S32""))"),"B BP: 320")</f>
        <v>B BP: 320</v>
      </c>
      <c r="B133" t="str">
        <f>IFERROR(__xludf.DUMMYFUNCTION("""COMPUTED_VALUE"""),"Josh Xu (11)")</f>
        <v>Josh Xu (11)</v>
      </c>
      <c r="C133" t="str">
        <f>IFERROR(__xludf.DUMMYFUNCTION("""COMPUTED_VALUE"""),"Player 2")</f>
        <v>Player 2</v>
      </c>
      <c r="D133" t="str">
        <f>IFERROR(__xludf.DUMMYFUNCTION("""COMPUTED_VALUE"""),"Player 3")</f>
        <v>Player 3</v>
      </c>
      <c r="E133" t="str">
        <f>IFERROR(__xludf.DUMMYFUNCTION("""COMPUTED_VALUE"""),"Player 4")</f>
        <v>Player 4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IFERROR(__xludf.DUMMYFUNCTION("""COMPUTED_VALUE"""),"Shahar Schwartz (12)")</f>
        <v>Shahar Schwartz (12)</v>
      </c>
      <c r="I133" t="str">
        <f>IFERROR(__xludf.DUMMYFUNCTION("""COMPUTED_VALUE"""),"Junu Song (12)")</f>
        <v>Junu Song (12)</v>
      </c>
      <c r="J133" t="str">
        <f>IFERROR(__xludf.DUMMYFUNCTION("""COMPUTED_VALUE"""),"Daniel Jung (12)")</f>
        <v>Daniel Jung (12)</v>
      </c>
      <c r="K133" t="str">
        <f>IFERROR(__xludf.DUMMYFUNCTION("""COMPUTED_VALUE"""),"Gary Lin (11)")</f>
        <v>Gary Lin (11)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7!C32:H36""),IMPORTRANGE(""16i4gsLDaJasgGgtJt27HweoboYNaal3qpX3MtxIR2f0"",""Round 7!M32:R36"")}"),20.0)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IFERROR(__xludf.DUMMYFUNCTION("""COMPUTED_VALUE"""),2.0)</f>
        <v>2</v>
      </c>
      <c r="C135">
        <f>IFERROR(__xludf.DUMMYFUNCTION("""COMPUTED_VALUE"""),0.0)</f>
        <v>0</v>
      </c>
      <c r="D135">
        <f>IFERROR(__xludf.DUMMYFUNCTION("""COMPUTED_VALUE"""),0.0)</f>
        <v>0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IFERROR(__xludf.DUMMYFUNCTION("""COMPUTED_VALUE"""),6.0)</f>
        <v>6</v>
      </c>
      <c r="I135">
        <f>IFERROR(__xludf.DUMMYFUNCTION("""COMPUTED_VALUE"""),1.0)</f>
        <v>1</v>
      </c>
      <c r="J135">
        <f>IFERROR(__xludf.DUMMYFUNCTION("""COMPUTED_VALUE"""),1.0)</f>
        <v>1</v>
      </c>
      <c r="K135">
        <f>IFERROR(__xludf.DUMMYFUNCTION("""COMPUTED_VALUE"""),1.0)</f>
        <v>1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IFERROR(__xludf.DUMMYFUNCTION("""COMPUTED_VALUE"""),2.0)</f>
        <v>2</v>
      </c>
      <c r="C136">
        <f>IFERROR(__xludf.DUMMYFUNCTION("""COMPUTED_VALUE"""),0.0)</f>
        <v>0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IFERROR(__xludf.DUMMYFUNCTION("""COMPUTED_VALUE"""),5.0)</f>
        <v>5</v>
      </c>
      <c r="I136">
        <f>IFERROR(__xludf.DUMMYFUNCTION("""COMPUTED_VALUE"""),1.0)</f>
        <v>1</v>
      </c>
      <c r="J136">
        <f>IFERROR(__xludf.DUMMYFUNCTION("""COMPUTED_VALUE"""),0.0)</f>
        <v>0</v>
      </c>
      <c r="K136">
        <f>IFERROR(__xludf.DUMMYFUNCTION("""COMPUTED_VALUE"""),1.0)</f>
        <v>1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IFERROR(__xludf.DUMMYFUNCTION("""COMPUTED_VALUE"""),0.0)</f>
        <v>0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IFERROR(__xludf.DUMMYFUNCTION("""COMPUTED_VALUE"""),0.0)</f>
        <v>0</v>
      </c>
      <c r="I137">
        <f>IFERROR(__xludf.DUMMYFUNCTION("""COMPUTED_VALUE"""),2.0)</f>
        <v>2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IFERROR(__xludf.DUMMYFUNCTION("""COMPUTED_VALUE"""),50.0)</f>
        <v>50</v>
      </c>
      <c r="C138">
        <f>IFERROR(__xludf.DUMMYFUNCTION("""COMPUTED_VALUE"""),0.0)</f>
        <v>0</v>
      </c>
      <c r="D138">
        <f>IFERROR(__xludf.DUMMYFUNCTION("""COMPUTED_VALUE"""),0.0)</f>
        <v>0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IFERROR(__xludf.DUMMYFUNCTION("""COMPUTED_VALUE"""),140.0)</f>
        <v>140</v>
      </c>
      <c r="I138">
        <f>IFERROR(__xludf.DUMMYFUNCTION("""COMPUTED_VALUE"""),15.0)</f>
        <v>15</v>
      </c>
      <c r="J138">
        <f>IFERROR(__xludf.DUMMYFUNCTION("""COMPUTED_VALUE"""),15.0)</f>
        <v>15</v>
      </c>
      <c r="K138">
        <f>IFERROR(__xludf.DUMMYFUNCTION("""COMPUTED_VALUE"""),25.0)</f>
        <v>25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7!W1"")"),"Question: 21")</f>
        <v>Question: 21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7!C1:H3""),IMPORTRANGE(""1KRyI2c190uhOTF270Hsdzh1rgG565QIaE9TymteaGNY"",""Round 7!M1:R3"")}"),"Scripps Ranch A (V)")</f>
        <v>Scripps Ranch A (V)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IFERROR(__xludf.DUMMYFUNCTION("""COMPUTED_VALUE"""),"Troy A (V)")</f>
        <v>Troy A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7!I32""))"),"A BP: 110")</f>
        <v>A BP: 110</v>
      </c>
      <c r="B142" t="str">
        <f>IFERROR(__xludf.DUMMYFUNCTION("""COMPUTED_VALUE"""),"Score: 190")</f>
        <v>Score: 190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210")</f>
        <v>Score: 210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7!S32""))"),"B BP: 110")</f>
        <v>B BP: 110</v>
      </c>
      <c r="B143" t="str">
        <f>IFERROR(__xludf.DUMMYFUNCTION("""COMPUTED_VALUE"""),"Albert Gu (12)")</f>
        <v>Albert Gu (12)</v>
      </c>
      <c r="C143" t="str">
        <f>IFERROR(__xludf.DUMMYFUNCTION("""COMPUTED_VALUE"""),"Jeremy Ngo (12)")</f>
        <v>Jeremy Ngo (12)</v>
      </c>
      <c r="D143" t="str">
        <f>IFERROR(__xludf.DUMMYFUNCTION("""COMPUTED_VALUE"""),"Jack Hoover (12)")</f>
        <v>Jack Hoover (12)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IFERROR(__xludf.DUMMYFUNCTION("""COMPUTED_VALUE"""),"Luke Park (11)")</f>
        <v>Luke Park (11)</v>
      </c>
      <c r="I143" t="str">
        <f>IFERROR(__xludf.DUMMYFUNCTION("""COMPUTED_VALUE"""),"Tyler Kim (11)")</f>
        <v>Tyler Kim (11)</v>
      </c>
      <c r="J143" t="str">
        <f>IFERROR(__xludf.DUMMYFUNCTION("""COMPUTED_VALUE"""),"Henry Tang (10)")</f>
        <v>Henry Tang (10)</v>
      </c>
      <c r="K143" t="str">
        <f>IFERROR(__xludf.DUMMYFUNCTION("""COMPUTED_VALUE"""),"Daniel Shin (10)")</f>
        <v>Daniel Shin (10)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7!C32:H36""),IMPORTRANGE(""1KRyI2c190uhOTF270Hsdzh1rgG565QIaE9TymteaGNY"",""Round 7!M32:R36"")}"),20.0)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IFERROR(__xludf.DUMMYFUNCTION("""COMPUTED_VALUE"""),1.0)</f>
        <v>1</v>
      </c>
      <c r="J145">
        <f>IFERROR(__xludf.DUMMYFUNCTION("""COMPUTED_VALUE"""),1.0)</f>
        <v>1</v>
      </c>
      <c r="K145">
        <f>IFERROR(__xludf.DUMMYFUNCTION("""COMPUTED_VALUE"""),1.0)</f>
        <v>1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IFERROR(__xludf.DUMMYFUNCTION("""COMPUTED_VALUE"""),6.0)</f>
        <v>6</v>
      </c>
      <c r="C146">
        <f>IFERROR(__xludf.DUMMYFUNCTION("""COMPUTED_VALUE"""),2.0)</f>
        <v>2</v>
      </c>
      <c r="D146">
        <f>IFERROR(__xludf.DUMMYFUNCTION("""COMPUTED_VALUE"""),1.0)</f>
        <v>1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IFERROR(__xludf.DUMMYFUNCTION("""COMPUTED_VALUE"""),3.0)</f>
        <v>3</v>
      </c>
      <c r="J146">
        <f>IFERROR(__xludf.DUMMYFUNCTION("""COMPUTED_VALUE"""),4.0)</f>
        <v>4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IFERROR(__xludf.DUMMYFUNCTION("""COMPUTED_VALUE"""),1.0)</f>
        <v>1</v>
      </c>
      <c r="C147">
        <f>IFERROR(__xludf.DUMMYFUNCTION("""COMPUTED_VALUE"""),0.0)</f>
        <v>0</v>
      </c>
      <c r="D147">
        <f>IFERROR(__xludf.DUMMYFUNCTION("""COMPUTED_VALUE"""),1.0)</f>
        <v>1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IFERROR(__xludf.DUMMYFUNCTION("""COMPUTED_VALUE"""),2.0)</f>
        <v>2</v>
      </c>
      <c r="I147">
        <f>IFERROR(__xludf.DUMMYFUNCTION("""COMPUTED_VALUE"""),0.0)</f>
        <v>0</v>
      </c>
      <c r="J147">
        <f>IFERROR(__xludf.DUMMYFUNCTION("""COMPUTED_VALUE"""),1.0)</f>
        <v>1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IFERROR(__xludf.DUMMYFUNCTION("""COMPUTED_VALUE"""),55.0)</f>
        <v>55</v>
      </c>
      <c r="C148">
        <f>IFERROR(__xludf.DUMMYFUNCTION("""COMPUTED_VALUE"""),20.0)</f>
        <v>20</v>
      </c>
      <c r="D148">
        <f>IFERROR(__xludf.DUMMYFUNCTION("""COMPUTED_VALUE"""),5.0)</f>
        <v>5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IFERROR(__xludf.DUMMYFUNCTION("""COMPUTED_VALUE"""),-10.0)</f>
        <v>-10</v>
      </c>
      <c r="I148">
        <f>IFERROR(__xludf.DUMMYFUNCTION("""COMPUTED_VALUE"""),45.0)</f>
        <v>45</v>
      </c>
      <c r="J148">
        <f>IFERROR(__xludf.DUMMYFUNCTION("""COMPUTED_VALUE"""),50.0)</f>
        <v>50</v>
      </c>
      <c r="K148">
        <f>IFERROR(__xludf.DUMMYFUNCTION("""COMPUTED_VALUE"""),15.0)</f>
        <v>15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7!W1"")"),"Question: 21")</f>
        <v>Question: 21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7!C1:H3""),IMPORTRANGE(""1zr0uYCpJ5izByVOUCsr6JXezthGEdLXnwOrjIKGx5XI"",""Round 7!M1:R3"")}"),"Arcadia (V)")</f>
        <v>Arcadia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IFERROR(__xludf.DUMMYFUNCTION("""COMPUTED_VALUE"""),"Westview B (V)")</f>
        <v>Westview B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7!I32""))"),"A BP: 250")</f>
        <v>A BP: 250</v>
      </c>
      <c r="B152" t="str">
        <f>IFERROR(__xludf.DUMMYFUNCTION("""COMPUTED_VALUE"""),"Score: 380")</f>
        <v>Score: 380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305")</f>
        <v>Score: 305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7!S32""))"),"B BP: 200")</f>
        <v>B BP: 200</v>
      </c>
      <c r="B153" t="str">
        <f>IFERROR(__xludf.DUMMYFUNCTION("""COMPUTED_VALUE"""),"Amogh Kulkarni (10)")</f>
        <v>Amogh Kulkarni (10)</v>
      </c>
      <c r="C153" t="str">
        <f>IFERROR(__xludf.DUMMYFUNCTION("""COMPUTED_VALUE"""),"Spencer Cheng (12)")</f>
        <v>Spencer Cheng (12)</v>
      </c>
      <c r="D153" t="str">
        <f>IFERROR(__xludf.DUMMYFUNCTION("""COMPUTED_VALUE"""),"Ryan Sun (10)")</f>
        <v>Ryan Sun (10)</v>
      </c>
      <c r="E153" t="str">
        <f>IFERROR(__xludf.DUMMYFUNCTION("""COMPUTED_VALUE"""),"Sanjith Menon (10)")</f>
        <v>Sanjith Menon (10)</v>
      </c>
      <c r="F153" t="str">
        <f>IFERROR(__xludf.DUMMYFUNCTION("""COMPUTED_VALUE"""),"Michael Kwok (10)")</f>
        <v>Michael Kwok (10)</v>
      </c>
      <c r="G153" t="str">
        <f>IFERROR(__xludf.DUMMYFUNCTION("""COMPUTED_VALUE"""),"Player 6")</f>
        <v>Player 6</v>
      </c>
      <c r="H153" t="str">
        <f>IFERROR(__xludf.DUMMYFUNCTION("""COMPUTED_VALUE"""),"Nicholas Dai (11)")</f>
        <v>Nicholas Dai (11)</v>
      </c>
      <c r="I153" t="str">
        <f>IFERROR(__xludf.DUMMYFUNCTION("""COMPUTED_VALUE"""),"Rohan Venkateswaran (12)")</f>
        <v>Rohan Venkateswaran (12)</v>
      </c>
      <c r="J153" t="str">
        <f>IFERROR(__xludf.DUMMYFUNCTION("""COMPUTED_VALUE"""),"Andrew Jia (11)")</f>
        <v>Andrew Jia (11)</v>
      </c>
      <c r="K153" t="str">
        <f>IFERROR(__xludf.DUMMYFUNCTION("""COMPUTED_VALUE"""),"Richard Lin (9)")</f>
        <v>Richard Lin (9)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7!C32:H36""),IMPORTRANGE(""1zr0uYCpJ5izByVOUCsr6JXezthGEdLXnwOrjIKGx5XI"",""Round 7!M32:R36"")}"),20.0)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IFERROR(__xludf.DUMMYFUNCTION("""COMPUTED_VALUE"""),10.0)</f>
        <v>10</v>
      </c>
      <c r="F154">
        <f>IFERROR(__xludf.DUMMYFUNCTION("""COMPUTED_VALUE"""),10.0)</f>
        <v>10</v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IFERROR(__xludf.DUMMYFUNCTION("""COMPUTED_VALUE"""),3.0)</f>
        <v>3</v>
      </c>
      <c r="C155">
        <f>IFERROR(__xludf.DUMMYFUNCTION("""COMPUTED_VALUE"""),1.0)</f>
        <v>1</v>
      </c>
      <c r="D155">
        <f>IFERROR(__xludf.DUMMYFUNCTION("""COMPUTED_VALUE"""),2.0)</f>
        <v>2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IFERROR(__xludf.DUMMYFUNCTION("""COMPUTED_VALUE"""),2.0)</f>
        <v>2</v>
      </c>
      <c r="I155">
        <f>IFERROR(__xludf.DUMMYFUNCTION("""COMPUTED_VALUE"""),0.0)</f>
        <v>0</v>
      </c>
      <c r="J155">
        <f>IFERROR(__xludf.DUMMYFUNCTION("""COMPUTED_VALUE"""),2.0)</f>
        <v>2</v>
      </c>
      <c r="K155">
        <f>IFERROR(__xludf.DUMMYFUNCTION("""COMPUTED_VALUE"""),1.0)</f>
        <v>1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IFERROR(__xludf.DUMMYFUNCTION("""COMPUTED_VALUE"""),2.0)</f>
        <v>2</v>
      </c>
      <c r="C156">
        <f>IFERROR(__xludf.DUMMYFUNCTION("""COMPUTED_VALUE"""),2.0)</f>
        <v>2</v>
      </c>
      <c r="D156">
        <f>IFERROR(__xludf.DUMMYFUNCTION("""COMPUTED_VALUE"""),1.0)</f>
        <v>1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IFERROR(__xludf.DUMMYFUNCTION("""COMPUTED_VALUE"""),1.0)</f>
        <v>1</v>
      </c>
      <c r="I156">
        <f>IFERROR(__xludf.DUMMYFUNCTION("""COMPUTED_VALUE"""),2.0)</f>
        <v>2</v>
      </c>
      <c r="J156">
        <f>IFERROR(__xludf.DUMMYFUNCTION("""COMPUTED_VALUE"""),1.0)</f>
        <v>1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IFERROR(__xludf.DUMMYFUNCTION("""COMPUTED_VALUE"""),2.0)</f>
        <v>2</v>
      </c>
      <c r="C157">
        <f>IFERROR(__xludf.DUMMYFUNCTION("""COMPUTED_VALUE"""),0.0)</f>
        <v>0</v>
      </c>
      <c r="D157">
        <f>IFERROR(__xludf.DUMMYFUNCTION("""COMPUTED_VALUE"""),0.0)</f>
        <v>0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IFERROR(__xludf.DUMMYFUNCTION("""COMPUTED_VALUE"""),1.0)</f>
        <v>1</v>
      </c>
      <c r="J157">
        <f>IFERROR(__xludf.DUMMYFUNCTION("""COMPUTED_VALUE"""),1.0)</f>
        <v>1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IFERROR(__xludf.DUMMYFUNCTION("""COMPUTED_VALUE"""),55.0)</f>
        <v>55</v>
      </c>
      <c r="C158">
        <f>IFERROR(__xludf.DUMMYFUNCTION("""COMPUTED_VALUE"""),35.0)</f>
        <v>35</v>
      </c>
      <c r="D158">
        <f>IFERROR(__xludf.DUMMYFUNCTION("""COMPUTED_VALUE"""),40.0)</f>
        <v>40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IFERROR(__xludf.DUMMYFUNCTION("""COMPUTED_VALUE"""),40.0)</f>
        <v>40</v>
      </c>
      <c r="I158">
        <f>IFERROR(__xludf.DUMMYFUNCTION("""COMPUTED_VALUE"""),15.0)</f>
        <v>15</v>
      </c>
      <c r="J158">
        <f>IFERROR(__xludf.DUMMYFUNCTION("""COMPUTED_VALUE"""),35.0)</f>
        <v>35</v>
      </c>
      <c r="K158">
        <f>IFERROR(__xludf.DUMMYFUNCTION("""COMPUTED_VALUE"""),15.0)</f>
        <v>15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7!W1"")"),"Question: 21")</f>
        <v>Question: 21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7!C1:H3""),IMPORTRANGE(""1TVrjNI5RE1VozIr906BhaTKMFP0VPx8aUGpyt_loukE"",""Round 7!M1:R3"")}"),"Cathedral Catholic (V)")</f>
        <v>Cathedral Catholic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IFERROR(__xludf.DUMMYFUNCTION("""COMPUTED_VALUE"""),"Santa Monica B (V)")</f>
        <v>Santa Monica B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7!I32""))"),"A BP: 40")</f>
        <v>A BP: 40</v>
      </c>
      <c r="B162" t="str">
        <f>IFERROR(__xludf.DUMMYFUNCTION("""COMPUTED_VALUE"""),"Score: 95")</f>
        <v>Score: 95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175")</f>
        <v>Score: 175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7!S32""))"),"B BP: 90")</f>
        <v>B BP: 90</v>
      </c>
      <c r="B163" t="str">
        <f>IFERROR(__xludf.DUMMYFUNCTION("""COMPUTED_VALUE"""),"Ryan Shakiba (10)")</f>
        <v>Ryan Shakiba (10)</v>
      </c>
      <c r="C163" t="str">
        <f>IFERROR(__xludf.DUMMYFUNCTION("""COMPUTED_VALUE"""),"Jacob Titcomb (11)")</f>
        <v>Jacob Titcomb (11)</v>
      </c>
      <c r="D163" t="str">
        <f>IFERROR(__xludf.DUMMYFUNCTION("""COMPUTED_VALUE"""),"Sinead Archdeacon (10)")</f>
        <v>Sinead Archdeacon (10)</v>
      </c>
      <c r="E163" t="str">
        <f>IFERROR(__xludf.DUMMYFUNCTION("""COMPUTED_VALUE"""),"Player 4")</f>
        <v>Player 4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IFERROR(__xludf.DUMMYFUNCTION("""COMPUTED_VALUE"""),"Kethan Raman (10)")</f>
        <v>Kethan Raman (10)</v>
      </c>
      <c r="I163" t="str">
        <f>IFERROR(__xludf.DUMMYFUNCTION("""COMPUTED_VALUE"""),"Ethan Hopkins (10)")</f>
        <v>Ethan Hopkins (10)</v>
      </c>
      <c r="J163" t="str">
        <f>IFERROR(__xludf.DUMMYFUNCTION("""COMPUTED_VALUE"""),"Jacob Cohen (10)")</f>
        <v>Jacob Cohen (10)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7!C32:H36""),IMPORTRANGE(""1TVrjNI5RE1VozIr906BhaTKMFP0VPx8aUGpyt_loukE"",""Round 7!M32:R36"")}"),20.0)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IFERROR(__xludf.DUMMYFUNCTION("""COMPUTED_VALUE"""),1.0)</f>
        <v>1</v>
      </c>
      <c r="C165">
        <f>IFERROR(__xludf.DUMMYFUNCTION("""COMPUTED_VALUE"""),0.0)</f>
        <v>0</v>
      </c>
      <c r="D165">
        <f>IFERROR(__xludf.DUMMYFUNCTION("""COMPUTED_VALUE"""),1.0)</f>
        <v>1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IFERROR(__xludf.DUMMYFUNCTION("""COMPUTED_VALUE"""),1.0)</f>
        <v>1</v>
      </c>
      <c r="I165">
        <f>IFERROR(__xludf.DUMMYFUNCTION("""COMPUTED_VALUE"""),0.0)</f>
        <v>0</v>
      </c>
      <c r="J165">
        <f>IFERROR(__xludf.DUMMYFUNCTION("""COMPUTED_VALUE"""),0.0)</f>
        <v>0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IFERROR(__xludf.DUMMYFUNCTION("""COMPUTED_VALUE"""),4.0)</f>
        <v>4</v>
      </c>
      <c r="C166">
        <f>IFERROR(__xludf.DUMMYFUNCTION("""COMPUTED_VALUE"""),0.0)</f>
        <v>0</v>
      </c>
      <c r="D166">
        <f>IFERROR(__xludf.DUMMYFUNCTION("""COMPUTED_VALUE"""),1.0)</f>
        <v>1</v>
      </c>
      <c r="E166">
        <f>IFERROR(__xludf.DUMMYFUNCTION("""COMPUTED_VALUE"""),0.0)</f>
        <v>0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IFERROR(__xludf.DUMMYFUNCTION("""COMPUTED_VALUE"""),6.0)</f>
        <v>6</v>
      </c>
      <c r="I166">
        <f>IFERROR(__xludf.DUMMYFUNCTION("""COMPUTED_VALUE"""),2.0)</f>
        <v>2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IFERROR(__xludf.DUMMYFUNCTION("""COMPUTED_VALUE"""),4.0)</f>
        <v>4</v>
      </c>
      <c r="C167">
        <f>IFERROR(__xludf.DUMMYFUNCTION("""COMPUTED_VALUE"""),0.0)</f>
        <v>0</v>
      </c>
      <c r="D167">
        <f>IFERROR(__xludf.DUMMYFUNCTION("""COMPUTED_VALUE"""),1.0)</f>
        <v>1</v>
      </c>
      <c r="E167">
        <f>IFERROR(__xludf.DUMMYFUNCTION("""COMPUTED_VALUE"""),0.0)</f>
        <v>0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IFERROR(__xludf.DUMMYFUNCTION("""COMPUTED_VALUE"""),1.0)</f>
        <v>1</v>
      </c>
      <c r="I167">
        <f>IFERROR(__xludf.DUMMYFUNCTION("""COMPUTED_VALUE"""),0.0)</f>
        <v>0</v>
      </c>
      <c r="J167">
        <f>IFERROR(__xludf.DUMMYFUNCTION("""COMPUTED_VALUE"""),1.0)</f>
        <v>1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IFERROR(__xludf.DUMMYFUNCTION("""COMPUTED_VALUE"""),35.0)</f>
        <v>35</v>
      </c>
      <c r="C168">
        <f>IFERROR(__xludf.DUMMYFUNCTION("""COMPUTED_VALUE"""),0.0)</f>
        <v>0</v>
      </c>
      <c r="D168">
        <f>IFERROR(__xludf.DUMMYFUNCTION("""COMPUTED_VALUE"""),20.0)</f>
        <v>20</v>
      </c>
      <c r="E168">
        <f>IFERROR(__xludf.DUMMYFUNCTION("""COMPUTED_VALUE"""),0.0)</f>
        <v>0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IFERROR(__xludf.DUMMYFUNCTION("""COMPUTED_VALUE"""),70.0)</f>
        <v>70</v>
      </c>
      <c r="I168">
        <f>IFERROR(__xludf.DUMMYFUNCTION("""COMPUTED_VALUE"""),20.0)</f>
        <v>20</v>
      </c>
      <c r="J168">
        <f>IFERROR(__xludf.DUMMYFUNCTION("""COMPUTED_VALUE"""),-5.0)</f>
        <v>-5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7!W1"")"),"Question: 21")</f>
        <v>Question: 21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7!C1:H3""),IMPORTRANGE(""1xRz0po-ejgp-QRvMkY44z3u2CePgTccasdyrrVALbmE"",""Round 7!M1:R3"")}"),"Team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7!I32""))"),"A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7!S32""))"),"B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7!C32:H36""),IMPORTRANGE(""1xRz0po-ejgp-QRvMkY44z3u2CePgTccasdyrrVALbmE"",""Round 7!M32:R36"")}"),20.0)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7!W1"")"),"Question: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2.57"/>
    <col customWidth="1" min="8" max="13" width="12.0"/>
  </cols>
  <sheetData>
    <row r="1">
      <c r="A1" s="2" t="s">
        <v>2</v>
      </c>
      <c r="B1" t="str">
        <f>IFERROR(__xludf.DUMMYFUNCTION("{IMPORTRANGE(""1JXwZ4AjXctyKvWy9qFKCX518NRYJYhSX9Jii0HPBCUs"",""Round 8!C1:H3""),IMPORTRANGE(""1JXwZ4AjXctyKvWy9qFKCX518NRYJYhSX9Jii0HPBCUs"",""Round 8!M1:R3"")}"),"Team A")</f>
        <v>Team A</v>
      </c>
      <c r="C1" t="str">
        <f>IFERROR(__xludf.DUMMYFUNCTION("""COMPUTED_VALUE"""),"")</f>
        <v/>
      </c>
      <c r="D1" t="str">
        <f>IFERROR(__xludf.DUMMYFUNCTION("""COMPUTED_VALUE"""),"")</f>
        <v/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IFERROR(__xludf.DUMMYFUNCTION("""COMPUTED_VALUE"""),"Team B")</f>
        <v>Team B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  <c r="M1" t="str">
        <f>IFERROR(__xludf.DUMMYFUNCTION("""COMPUTED_VALUE"""),"")</f>
        <v/>
      </c>
    </row>
    <row r="2">
      <c r="A2" s="6" t="str">
        <f>IFERROR(__xludf.DUMMYFUNCTION("CONCAT(""A BP: "",IMPORTRANGE(""1JXwZ4AjXctyKvWy9qFKCX518NRYJYhSX9Jii0HPBCUs"",""Round 8!I32""))"),"A BP: 0")</f>
        <v>A BP: 0</v>
      </c>
      <c r="B2" t="str">
        <f>IFERROR(__xludf.DUMMYFUNCTION("""COMPUTED_VALUE"""),"Score: 0")</f>
        <v>Score: 0</v>
      </c>
      <c r="C2" t="str">
        <f>IFERROR(__xludf.DUMMYFUNCTION("""COMPUTED_VALUE"""),"")</f>
        <v/>
      </c>
      <c r="D2" t="str">
        <f>IFERROR(__xludf.DUMMYFUNCTION("""COMPUTED_VALUE"""),"")</f>
        <v/>
      </c>
      <c r="E2" t="str">
        <f>IFERROR(__xludf.DUMMYFUNCTION("""COMPUTED_VALUE"""),"")</f>
        <v/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IFERROR(__xludf.DUMMYFUNCTION("""COMPUTED_VALUE"""),"Score: 0")</f>
        <v>Score: 0</v>
      </c>
      <c r="I2" t="str">
        <f>IFERROR(__xludf.DUMMYFUNCTION("""COMPUTED_VALUE"""),"")</f>
        <v/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  <c r="M2" t="str">
        <f>IFERROR(__xludf.DUMMYFUNCTION("""COMPUTED_VALUE"""),"")</f>
        <v/>
      </c>
    </row>
    <row r="3">
      <c r="A3" s="6" t="str">
        <f>IFERROR(__xludf.DUMMYFUNCTION("CONCAT(""B BP: "",IMPORTRANGE(""1JXwZ4AjXctyKvWy9qFKCX518NRYJYhSX9Jii0HPBCUs"",""Round 8!S32""))"),"B BP: 0")</f>
        <v>B BP: 0</v>
      </c>
      <c r="B3" t="str">
        <f>IFERROR(__xludf.DUMMYFUNCTION("""COMPUTED_VALUE"""),"Player 1")</f>
        <v>Player 1</v>
      </c>
      <c r="C3" t="str">
        <f>IFERROR(__xludf.DUMMYFUNCTION("""COMPUTED_VALUE"""),"Player 2")</f>
        <v>Player 2</v>
      </c>
      <c r="D3" t="str">
        <f>IFERROR(__xludf.DUMMYFUNCTION("""COMPUTED_VALUE"""),"Player 3")</f>
        <v>Player 3</v>
      </c>
      <c r="E3" t="str">
        <f>IFERROR(__xludf.DUMMYFUNCTION("""COMPUTED_VALUE"""),"Player 4")</f>
        <v>Player 4</v>
      </c>
      <c r="F3" t="str">
        <f>IFERROR(__xludf.DUMMYFUNCTION("""COMPUTED_VALUE"""),"Player 5")</f>
        <v>Player 5</v>
      </c>
      <c r="G3" t="str">
        <f>IFERROR(__xludf.DUMMYFUNCTION("""COMPUTED_VALUE"""),"Player 6")</f>
        <v>Player 6</v>
      </c>
      <c r="H3" t="str">
        <f>IFERROR(__xludf.DUMMYFUNCTION("""COMPUTED_VALUE"""),"Player 1")</f>
        <v>Player 1</v>
      </c>
      <c r="I3" t="str">
        <f>IFERROR(__xludf.DUMMYFUNCTION("""COMPUTED_VALUE"""),"Player 2")</f>
        <v>Player 2</v>
      </c>
      <c r="J3" t="str">
        <f>IFERROR(__xludf.DUMMYFUNCTION("""COMPUTED_VALUE"""),"Player 3")</f>
        <v>Player 3</v>
      </c>
      <c r="K3" t="str">
        <f>IFERROR(__xludf.DUMMYFUNCTION("""COMPUTED_VALUE"""),"Player 4")</f>
        <v>Player 4</v>
      </c>
      <c r="L3" t="str">
        <f>IFERROR(__xludf.DUMMYFUNCTION("""COMPUTED_VALUE"""),"Player 5")</f>
        <v>Player 5</v>
      </c>
      <c r="M3" t="str">
        <f>IFERROR(__xludf.DUMMYFUNCTION("""COMPUTED_VALUE"""),"Player 6")</f>
        <v>Player 6</v>
      </c>
    </row>
    <row r="4">
      <c r="A4" s="2" t="s">
        <v>123</v>
      </c>
      <c r="B4">
        <f>IFERROR(__xludf.DUMMYFUNCTION("{IMPORTRANGE(""1JXwZ4AjXctyKvWy9qFKCX518NRYJYhSX9Jii0HPBCUs"",""Round 8!C32:H36""),IMPORTRANGE(""1JXwZ4AjXctyKvWy9qFKCX518NRYJYhSX9Jii0HPBCUs"",""Round 8!M32:R36"")}"),20.0)</f>
        <v>20</v>
      </c>
      <c r="C4">
        <f>IFERROR(__xludf.DUMMYFUNCTION("""COMPUTED_VALUE"""),20.0)</f>
        <v>20</v>
      </c>
      <c r="D4">
        <f>IFERROR(__xludf.DUMMYFUNCTION("""COMPUTED_VALUE"""),20.0)</f>
        <v>20</v>
      </c>
      <c r="E4">
        <f>IFERROR(__xludf.DUMMYFUNCTION("""COMPUTED_VALUE"""),20.0)</f>
        <v>20</v>
      </c>
      <c r="F4" t="str">
        <f>IFERROR(__xludf.DUMMYFUNCTION("""COMPUTED_VALUE"""),"")</f>
        <v/>
      </c>
      <c r="G4" t="str">
        <f>IFERROR(__xludf.DUMMYFUNCTION("""COMPUTED_VALUE"""),"")</f>
        <v/>
      </c>
      <c r="H4">
        <f>IFERROR(__xludf.DUMMYFUNCTION("""COMPUTED_VALUE"""),20.0)</f>
        <v>20</v>
      </c>
      <c r="I4">
        <f>IFERROR(__xludf.DUMMYFUNCTION("""COMPUTED_VALUE"""),20.0)</f>
        <v>20</v>
      </c>
      <c r="J4">
        <f>IFERROR(__xludf.DUMMYFUNCTION("""COMPUTED_VALUE"""),20.0)</f>
        <v>20</v>
      </c>
      <c r="K4">
        <f>IFERROR(__xludf.DUMMYFUNCTION("""COMPUTED_VALUE"""),20.0)</f>
        <v>20</v>
      </c>
      <c r="L4" t="str">
        <f>IFERROR(__xludf.DUMMYFUNCTION("""COMPUTED_VALUE"""),"")</f>
        <v/>
      </c>
      <c r="M4" t="str">
        <f>IFERROR(__xludf.DUMMYFUNCTION("""COMPUTED_VALUE"""),"")</f>
        <v/>
      </c>
    </row>
    <row r="5">
      <c r="A5" s="2">
        <v>15.0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IFERROR(__xludf.DUMMYFUNCTION("""COMPUTED_VALUE"""),0.0)</f>
        <v>0</v>
      </c>
      <c r="E5">
        <f>IFERROR(__xludf.DUMMYFUNCTION("""COMPUTED_VALUE"""),0.0)</f>
        <v>0</v>
      </c>
      <c r="F5">
        <f>IFERROR(__xludf.DUMMYFUNCTION("""COMPUTED_VALUE"""),0.0)</f>
        <v>0</v>
      </c>
      <c r="G5">
        <f>IFERROR(__xludf.DUMMYFUNCTION("""COMPUTED_VALUE"""),0.0)</f>
        <v>0</v>
      </c>
      <c r="H5">
        <f>IFERROR(__xludf.DUMMYFUNCTION("""COMPUTED_VALUE"""),0.0)</f>
        <v>0</v>
      </c>
      <c r="I5">
        <f>IFERROR(__xludf.DUMMYFUNCTION("""COMPUTED_VALUE"""),0.0)</f>
        <v>0</v>
      </c>
      <c r="J5">
        <f>IFERROR(__xludf.DUMMYFUNCTION("""COMPUTED_VALUE"""),0.0)</f>
        <v>0</v>
      </c>
      <c r="K5">
        <f>IFERROR(__xludf.DUMMYFUNCTION("""COMPUTED_VALUE"""),0.0)</f>
        <v>0</v>
      </c>
      <c r="L5">
        <f>IFERROR(__xludf.DUMMYFUNCTION("""COMPUTED_VALUE"""),0.0)</f>
        <v>0</v>
      </c>
      <c r="M5">
        <f>IFERROR(__xludf.DUMMYFUNCTION("""COMPUTED_VALUE"""),0.0)</f>
        <v>0</v>
      </c>
    </row>
    <row r="6">
      <c r="A6" s="2">
        <v>10.0</v>
      </c>
      <c r="B6">
        <f>IFERROR(__xludf.DUMMYFUNCTION("""COMPUTED_VALUE"""),0.0)</f>
        <v>0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IFERROR(__xludf.DUMMYFUNCTION("""COMPUTED_VALUE"""),0.0)</f>
        <v>0</v>
      </c>
      <c r="F6">
        <f>IFERROR(__xludf.DUMMYFUNCTION("""COMPUTED_VALUE"""),0.0)</f>
        <v>0</v>
      </c>
      <c r="G6">
        <f>IFERROR(__xludf.DUMMYFUNCTION("""COMPUTED_VALUE"""),0.0)</f>
        <v>0</v>
      </c>
      <c r="H6">
        <f>IFERROR(__xludf.DUMMYFUNCTION("""COMPUTED_VALUE"""),0.0)</f>
        <v>0</v>
      </c>
      <c r="I6">
        <f>IFERROR(__xludf.DUMMYFUNCTION("""COMPUTED_VALUE"""),0.0)</f>
        <v>0</v>
      </c>
      <c r="J6">
        <f>IFERROR(__xludf.DUMMYFUNCTION("""COMPUTED_VALUE"""),0.0)</f>
        <v>0</v>
      </c>
      <c r="K6">
        <f>IFERROR(__xludf.DUMMYFUNCTION("""COMPUTED_VALUE"""),0.0)</f>
        <v>0</v>
      </c>
      <c r="L6">
        <f>IFERROR(__xludf.DUMMYFUNCTION("""COMPUTED_VALUE"""),0.0)</f>
        <v>0</v>
      </c>
      <c r="M6">
        <f>IFERROR(__xludf.DUMMYFUNCTION("""COMPUTED_VALUE"""),0.0)</f>
        <v>0</v>
      </c>
    </row>
    <row r="7">
      <c r="A7" s="2">
        <v>-5.0</v>
      </c>
      <c r="B7">
        <f>IFERROR(__xludf.DUMMYFUNCTION("""COMPUTED_VALUE"""),0.0)</f>
        <v>0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IFERROR(__xludf.DUMMYFUNCTION("""COMPUTED_VALUE"""),0.0)</f>
        <v>0</v>
      </c>
      <c r="F7">
        <f>IFERROR(__xludf.DUMMYFUNCTION("""COMPUTED_VALUE"""),0.0)</f>
        <v>0</v>
      </c>
      <c r="G7">
        <f>IFERROR(__xludf.DUMMYFUNCTION("""COMPUTED_VALUE"""),0.0)</f>
        <v>0</v>
      </c>
      <c r="H7">
        <f>IFERROR(__xludf.DUMMYFUNCTION("""COMPUTED_VALUE"""),0.0)</f>
        <v>0</v>
      </c>
      <c r="I7">
        <f>IFERROR(__xludf.DUMMYFUNCTION("""COMPUTED_VALUE"""),0.0)</f>
        <v>0</v>
      </c>
      <c r="J7">
        <f>IFERROR(__xludf.DUMMYFUNCTION("""COMPUTED_VALUE"""),0.0)</f>
        <v>0</v>
      </c>
      <c r="K7">
        <f>IFERROR(__xludf.DUMMYFUNCTION("""COMPUTED_VALUE"""),0.0)</f>
        <v>0</v>
      </c>
      <c r="L7">
        <f>IFERROR(__xludf.DUMMYFUNCTION("""COMPUTED_VALUE"""),0.0)</f>
        <v>0</v>
      </c>
      <c r="M7">
        <f>IFERROR(__xludf.DUMMYFUNCTION("""COMPUTED_VALUE"""),0.0)</f>
        <v>0</v>
      </c>
    </row>
    <row r="8">
      <c r="A8" s="2" t="s">
        <v>124</v>
      </c>
      <c r="B8">
        <f>IFERROR(__xludf.DUMMYFUNCTION("""COMPUTED_VALUE"""),0.0)</f>
        <v>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IFERROR(__xludf.DUMMYFUNCTION("""COMPUTED_VALUE"""),0.0)</f>
        <v>0</v>
      </c>
      <c r="F8">
        <f>IFERROR(__xludf.DUMMYFUNCTION("""COMPUTED_VALUE"""),0.0)</f>
        <v>0</v>
      </c>
      <c r="G8">
        <f>IFERROR(__xludf.DUMMYFUNCTION("""COMPUTED_VALUE"""),0.0)</f>
        <v>0</v>
      </c>
      <c r="H8">
        <f>IFERROR(__xludf.DUMMYFUNCTION("""COMPUTED_VALUE"""),0.0)</f>
        <v>0</v>
      </c>
      <c r="I8">
        <f>IFERROR(__xludf.DUMMYFUNCTION("""COMPUTED_VALUE"""),0.0)</f>
        <v>0</v>
      </c>
      <c r="J8">
        <f>IFERROR(__xludf.DUMMYFUNCTION("""COMPUTED_VALUE"""),0.0)</f>
        <v>0</v>
      </c>
      <c r="K8">
        <f>IFERROR(__xludf.DUMMYFUNCTION("""COMPUTED_VALUE"""),0.0)</f>
        <v>0</v>
      </c>
      <c r="L8">
        <f>IFERROR(__xludf.DUMMYFUNCTION("""COMPUTED_VALUE"""),0.0)</f>
        <v>0</v>
      </c>
      <c r="M8">
        <f>IFERROR(__xludf.DUMMYFUNCTION("""COMPUTED_VALUE"""),0.0)</f>
        <v>0</v>
      </c>
    </row>
    <row r="9">
      <c r="A9" s="6" t="str">
        <f>IFERROR(__xludf.DUMMYFUNCTION("IMPORTRANGE(""1JXwZ4AjXctyKvWy9qFKCX518NRYJYhSX9Jii0HPBCUs"",""Round 8!W1"")"),"Question: 1")</f>
        <v>Question: 1</v>
      </c>
      <c r="B9" s="7" t="s">
        <v>125</v>
      </c>
    </row>
    <row r="10">
      <c r="A10" s="2"/>
    </row>
    <row r="11">
      <c r="A11" s="2" t="s">
        <v>126</v>
      </c>
      <c r="B11" t="str">
        <f>IFERROR(__xludf.DUMMYFUNCTION("{IMPORTRANGE(""1GBDUn_ZojNLX5OJCVBEhvJbdm0c55Z7lPcE4L6WH89o"",""Round 8!C1:H3""),IMPORTRANGE(""1GBDUn_ZojNLX5OJCVBEhvJbdm0c55Z7lPcE4L6WH89o"",""Round 8!M1:R3"")}"),"Team A")</f>
        <v>Team A</v>
      </c>
      <c r="C11" t="str">
        <f>IFERROR(__xludf.DUMMYFUNCTION("""COMPUTED_VALUE"""),"")</f>
        <v/>
      </c>
      <c r="D11" t="str">
        <f>IFERROR(__xludf.DUMMYFUNCTION("""COMPUTED_VALUE"""),"")</f>
        <v/>
      </c>
      <c r="E11" t="str">
        <f>IFERROR(__xludf.DUMMYFUNCTION("""COMPUTED_VALUE"""),"")</f>
        <v/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IFERROR(__xludf.DUMMYFUNCTION("""COMPUTED_VALUE"""),"Team B")</f>
        <v>Team B</v>
      </c>
      <c r="I11" t="str">
        <f>IFERROR(__xludf.DUMMYFUNCTION("""COMPUTED_VALUE"""),"")</f>
        <v/>
      </c>
      <c r="J11" t="str">
        <f>IFERROR(__xludf.DUMMYFUNCTION("""COMPUTED_VALUE"""),"")</f>
        <v/>
      </c>
      <c r="K11" t="str">
        <f>IFERROR(__xludf.DUMMYFUNCTION("""COMPUTED_VALUE"""),"")</f>
        <v/>
      </c>
      <c r="L11" t="str">
        <f>IFERROR(__xludf.DUMMYFUNCTION("""COMPUTED_VALUE"""),"")</f>
        <v/>
      </c>
      <c r="M11" t="str">
        <f>IFERROR(__xludf.DUMMYFUNCTION("""COMPUTED_VALUE"""),"")</f>
        <v/>
      </c>
    </row>
    <row r="12">
      <c r="A12" s="6" t="str">
        <f>IFERROR(__xludf.DUMMYFUNCTION("CONCAT(""A BP: "",IMPORTRANGE(""1GBDUn_ZojNLX5OJCVBEhvJbdm0c55Z7lPcE4L6WH89o"",""Round 8!I32""))"),"A BP: 0")</f>
        <v>A BP: 0</v>
      </c>
      <c r="B12" t="str">
        <f>IFERROR(__xludf.DUMMYFUNCTION("""COMPUTED_VALUE"""),"Score: 0")</f>
        <v>Score: 0</v>
      </c>
      <c r="C12" t="str">
        <f>IFERROR(__xludf.DUMMYFUNCTION("""COMPUTED_VALUE"""),"")</f>
        <v/>
      </c>
      <c r="D12" t="str">
        <f>IFERROR(__xludf.DUMMYFUNCTION("""COMPUTED_VALUE"""),"")</f>
        <v/>
      </c>
      <c r="E12" t="str">
        <f>IFERROR(__xludf.DUMMYFUNCTION("""COMPUTED_VALUE"""),"")</f>
        <v/>
      </c>
      <c r="F12" t="str">
        <f>IFERROR(__xludf.DUMMYFUNCTION("""COMPUTED_VALUE"""),"")</f>
        <v/>
      </c>
      <c r="G12" t="str">
        <f>IFERROR(__xludf.DUMMYFUNCTION("""COMPUTED_VALUE"""),"")</f>
        <v/>
      </c>
      <c r="H12" t="str">
        <f>IFERROR(__xludf.DUMMYFUNCTION("""COMPUTED_VALUE"""),"Score: 0")</f>
        <v>Score: 0</v>
      </c>
      <c r="I12" t="str">
        <f>IFERROR(__xludf.DUMMYFUNCTION("""COMPUTED_VALUE"""),"")</f>
        <v/>
      </c>
      <c r="J12" t="str">
        <f>IFERROR(__xludf.DUMMYFUNCTION("""COMPUTED_VALUE"""),"")</f>
        <v/>
      </c>
      <c r="K12" t="str">
        <f>IFERROR(__xludf.DUMMYFUNCTION("""COMPUTED_VALUE"""),"")</f>
        <v/>
      </c>
      <c r="L12" t="str">
        <f>IFERROR(__xludf.DUMMYFUNCTION("""COMPUTED_VALUE"""),"")</f>
        <v/>
      </c>
      <c r="M12" t="str">
        <f>IFERROR(__xludf.DUMMYFUNCTION("""COMPUTED_VALUE"""),"")</f>
        <v/>
      </c>
    </row>
    <row r="13">
      <c r="A13" s="6" t="str">
        <f>IFERROR(__xludf.DUMMYFUNCTION("CONCAT(""B BP: "",IMPORTRANGE(""1GBDUn_ZojNLX5OJCVBEhvJbdm0c55Z7lPcE4L6WH89o"",""Round 8!S32""))"),"B BP: 0")</f>
        <v>B BP: 0</v>
      </c>
      <c r="B13" t="str">
        <f>IFERROR(__xludf.DUMMYFUNCTION("""COMPUTED_VALUE"""),"Player 1")</f>
        <v>Player 1</v>
      </c>
      <c r="C13" t="str">
        <f>IFERROR(__xludf.DUMMYFUNCTION("""COMPUTED_VALUE"""),"Player 2")</f>
        <v>Player 2</v>
      </c>
      <c r="D13" t="str">
        <f>IFERROR(__xludf.DUMMYFUNCTION("""COMPUTED_VALUE"""),"Player 3")</f>
        <v>Player 3</v>
      </c>
      <c r="E13" t="str">
        <f>IFERROR(__xludf.DUMMYFUNCTION("""COMPUTED_VALUE"""),"Player 4")</f>
        <v>Player 4</v>
      </c>
      <c r="F13" t="str">
        <f>IFERROR(__xludf.DUMMYFUNCTION("""COMPUTED_VALUE"""),"Player 5")</f>
        <v>Player 5</v>
      </c>
      <c r="G13" t="str">
        <f>IFERROR(__xludf.DUMMYFUNCTION("""COMPUTED_VALUE"""),"Player 6")</f>
        <v>Player 6</v>
      </c>
      <c r="H13" t="str">
        <f>IFERROR(__xludf.DUMMYFUNCTION("""COMPUTED_VALUE"""),"Player 1")</f>
        <v>Player 1</v>
      </c>
      <c r="I13" t="str">
        <f>IFERROR(__xludf.DUMMYFUNCTION("""COMPUTED_VALUE"""),"Player 2")</f>
        <v>Player 2</v>
      </c>
      <c r="J13" t="str">
        <f>IFERROR(__xludf.DUMMYFUNCTION("""COMPUTED_VALUE"""),"Player 3")</f>
        <v>Player 3</v>
      </c>
      <c r="K13" t="str">
        <f>IFERROR(__xludf.DUMMYFUNCTION("""COMPUTED_VALUE"""),"Player 4")</f>
        <v>Player 4</v>
      </c>
      <c r="L13" t="str">
        <f>IFERROR(__xludf.DUMMYFUNCTION("""COMPUTED_VALUE"""),"Player 5")</f>
        <v>Player 5</v>
      </c>
      <c r="M13" t="str">
        <f>IFERROR(__xludf.DUMMYFUNCTION("""COMPUTED_VALUE"""),"Player 6")</f>
        <v>Player 6</v>
      </c>
    </row>
    <row r="14">
      <c r="A14" s="2" t="s">
        <v>123</v>
      </c>
      <c r="B14">
        <f>IFERROR(__xludf.DUMMYFUNCTION("{IMPORTRANGE(""1GBDUn_ZojNLX5OJCVBEhvJbdm0c55Z7lPcE4L6WH89o"",""Round 8!C32:H36""),IMPORTRANGE(""1GBDUn_ZojNLX5OJCVBEhvJbdm0c55Z7lPcE4L6WH89o"",""Round 8!M32:R36"")}"),20.0)</f>
        <v>20</v>
      </c>
      <c r="C14">
        <f>IFERROR(__xludf.DUMMYFUNCTION("""COMPUTED_VALUE"""),20.0)</f>
        <v>20</v>
      </c>
      <c r="D14">
        <f>IFERROR(__xludf.DUMMYFUNCTION("""COMPUTED_VALUE"""),20.0)</f>
        <v>20</v>
      </c>
      <c r="E14">
        <f>IFERROR(__xludf.DUMMYFUNCTION("""COMPUTED_VALUE"""),20.0)</f>
        <v>20</v>
      </c>
      <c r="F14" t="str">
        <f>IFERROR(__xludf.DUMMYFUNCTION("""COMPUTED_VALUE"""),"")</f>
        <v/>
      </c>
      <c r="G14" t="str">
        <f>IFERROR(__xludf.DUMMYFUNCTION("""COMPUTED_VALUE"""),"")</f>
        <v/>
      </c>
      <c r="H14">
        <f>IFERROR(__xludf.DUMMYFUNCTION("""COMPUTED_VALUE"""),20.0)</f>
        <v>20</v>
      </c>
      <c r="I14">
        <f>IFERROR(__xludf.DUMMYFUNCTION("""COMPUTED_VALUE"""),20.0)</f>
        <v>20</v>
      </c>
      <c r="J14">
        <f>IFERROR(__xludf.DUMMYFUNCTION("""COMPUTED_VALUE"""),20.0)</f>
        <v>20</v>
      </c>
      <c r="K14">
        <f>IFERROR(__xludf.DUMMYFUNCTION("""COMPUTED_VALUE"""),20.0)</f>
        <v>20</v>
      </c>
      <c r="L14" t="str">
        <f>IFERROR(__xludf.DUMMYFUNCTION("""COMPUTED_VALUE"""),"")</f>
        <v/>
      </c>
      <c r="M14" t="str">
        <f>IFERROR(__xludf.DUMMYFUNCTION("""COMPUTED_VALUE"""),"")</f>
        <v/>
      </c>
    </row>
    <row r="15">
      <c r="A15" s="2">
        <v>15.0</v>
      </c>
      <c r="B15">
        <f>IFERROR(__xludf.DUMMYFUNCTION("""COMPUTED_VALUE"""),0.0)</f>
        <v>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IFERROR(__xludf.DUMMYFUNCTION("""COMPUTED_VALUE"""),0.0)</f>
        <v>0</v>
      </c>
      <c r="F15">
        <f>IFERROR(__xludf.DUMMYFUNCTION("""COMPUTED_VALUE"""),0.0)</f>
        <v>0</v>
      </c>
      <c r="G15">
        <f>IFERROR(__xludf.DUMMYFUNCTION("""COMPUTED_VALUE"""),0.0)</f>
        <v>0</v>
      </c>
      <c r="H15">
        <f>IFERROR(__xludf.DUMMYFUNCTION("""COMPUTED_VALUE"""),0.0)</f>
        <v>0</v>
      </c>
      <c r="I15">
        <f>IFERROR(__xludf.DUMMYFUNCTION("""COMPUTED_VALUE"""),0.0)</f>
        <v>0</v>
      </c>
      <c r="J15">
        <f>IFERROR(__xludf.DUMMYFUNCTION("""COMPUTED_VALUE"""),0.0)</f>
        <v>0</v>
      </c>
      <c r="K15">
        <f>IFERROR(__xludf.DUMMYFUNCTION("""COMPUTED_VALUE"""),0.0)</f>
        <v>0</v>
      </c>
      <c r="L15">
        <f>IFERROR(__xludf.DUMMYFUNCTION("""COMPUTED_VALUE"""),0.0)</f>
        <v>0</v>
      </c>
      <c r="M15">
        <f>IFERROR(__xludf.DUMMYFUNCTION("""COMPUTED_VALUE"""),0.0)</f>
        <v>0</v>
      </c>
    </row>
    <row r="16">
      <c r="A16" s="2">
        <v>10.0</v>
      </c>
      <c r="B16">
        <f>IFERROR(__xludf.DUMMYFUNCTION("""COMPUTED_VALUE"""),0.0)</f>
        <v>0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IFERROR(__xludf.DUMMYFUNCTION("""COMPUTED_VALUE"""),0.0)</f>
        <v>0</v>
      </c>
      <c r="F16">
        <f>IFERROR(__xludf.DUMMYFUNCTION("""COMPUTED_VALUE"""),0.0)</f>
        <v>0</v>
      </c>
      <c r="G16">
        <f>IFERROR(__xludf.DUMMYFUNCTION("""COMPUTED_VALUE"""),0.0)</f>
        <v>0</v>
      </c>
      <c r="H16">
        <f>IFERROR(__xludf.DUMMYFUNCTION("""COMPUTED_VALUE"""),0.0)</f>
        <v>0</v>
      </c>
      <c r="I16">
        <f>IFERROR(__xludf.DUMMYFUNCTION("""COMPUTED_VALUE"""),0.0)</f>
        <v>0</v>
      </c>
      <c r="J16">
        <f>IFERROR(__xludf.DUMMYFUNCTION("""COMPUTED_VALUE"""),0.0)</f>
        <v>0</v>
      </c>
      <c r="K16">
        <f>IFERROR(__xludf.DUMMYFUNCTION("""COMPUTED_VALUE"""),0.0)</f>
        <v>0</v>
      </c>
      <c r="L16">
        <f>IFERROR(__xludf.DUMMYFUNCTION("""COMPUTED_VALUE"""),0.0)</f>
        <v>0</v>
      </c>
      <c r="M16">
        <f>IFERROR(__xludf.DUMMYFUNCTION("""COMPUTED_VALUE"""),0.0)</f>
        <v>0</v>
      </c>
    </row>
    <row r="17">
      <c r="A17" s="2">
        <v>-5.0</v>
      </c>
      <c r="B17">
        <f>IFERROR(__xludf.DUMMYFUNCTION("""COMPUTED_VALUE"""),0.0)</f>
        <v>0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IFERROR(__xludf.DUMMYFUNCTION("""COMPUTED_VALUE"""),0.0)</f>
        <v>0</v>
      </c>
      <c r="F17">
        <f>IFERROR(__xludf.DUMMYFUNCTION("""COMPUTED_VALUE"""),0.0)</f>
        <v>0</v>
      </c>
      <c r="G17">
        <f>IFERROR(__xludf.DUMMYFUNCTION("""COMPUTED_VALUE"""),0.0)</f>
        <v>0</v>
      </c>
      <c r="H17">
        <f>IFERROR(__xludf.DUMMYFUNCTION("""COMPUTED_VALUE"""),0.0)</f>
        <v>0</v>
      </c>
      <c r="I17">
        <f>IFERROR(__xludf.DUMMYFUNCTION("""COMPUTED_VALUE"""),0.0)</f>
        <v>0</v>
      </c>
      <c r="J17">
        <f>IFERROR(__xludf.DUMMYFUNCTION("""COMPUTED_VALUE"""),0.0)</f>
        <v>0</v>
      </c>
      <c r="K17">
        <f>IFERROR(__xludf.DUMMYFUNCTION("""COMPUTED_VALUE"""),0.0)</f>
        <v>0</v>
      </c>
      <c r="L17">
        <f>IFERROR(__xludf.DUMMYFUNCTION("""COMPUTED_VALUE"""),0.0)</f>
        <v>0</v>
      </c>
      <c r="M17">
        <f>IFERROR(__xludf.DUMMYFUNCTION("""COMPUTED_VALUE"""),0.0)</f>
        <v>0</v>
      </c>
    </row>
    <row r="18">
      <c r="A18" s="2" t="s">
        <v>124</v>
      </c>
      <c r="B18">
        <f>IFERROR(__xludf.DUMMYFUNCTION("""COMPUTED_VALUE"""),0.0)</f>
        <v>0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IFERROR(__xludf.DUMMYFUNCTION("""COMPUTED_VALUE"""),0.0)</f>
        <v>0</v>
      </c>
      <c r="F18">
        <f>IFERROR(__xludf.DUMMYFUNCTION("""COMPUTED_VALUE"""),0.0)</f>
        <v>0</v>
      </c>
      <c r="G18">
        <f>IFERROR(__xludf.DUMMYFUNCTION("""COMPUTED_VALUE"""),0.0)</f>
        <v>0</v>
      </c>
      <c r="H18">
        <f>IFERROR(__xludf.DUMMYFUNCTION("""COMPUTED_VALUE"""),0.0)</f>
        <v>0</v>
      </c>
      <c r="I18">
        <f>IFERROR(__xludf.DUMMYFUNCTION("""COMPUTED_VALUE"""),0.0)</f>
        <v>0</v>
      </c>
      <c r="J18">
        <f>IFERROR(__xludf.DUMMYFUNCTION("""COMPUTED_VALUE"""),0.0)</f>
        <v>0</v>
      </c>
      <c r="K18">
        <f>IFERROR(__xludf.DUMMYFUNCTION("""COMPUTED_VALUE"""),0.0)</f>
        <v>0</v>
      </c>
      <c r="L18">
        <f>IFERROR(__xludf.DUMMYFUNCTION("""COMPUTED_VALUE"""),0.0)</f>
        <v>0</v>
      </c>
      <c r="M18">
        <f>IFERROR(__xludf.DUMMYFUNCTION("""COMPUTED_VALUE"""),0.0)</f>
        <v>0</v>
      </c>
    </row>
    <row r="19">
      <c r="A19" s="6" t="str">
        <f>IFERROR(__xludf.DUMMYFUNCTION("IMPORTRANGE(""1GBDUn_ZojNLX5OJCVBEhvJbdm0c55Z7lPcE4L6WH89o"",""Round 8!W1"")"),"Question: 1")</f>
        <v>Question: 1</v>
      </c>
      <c r="B19" s="7" t="s">
        <v>127</v>
      </c>
    </row>
    <row r="20">
      <c r="A20" s="6"/>
    </row>
    <row r="21">
      <c r="A21" s="2" t="s">
        <v>128</v>
      </c>
      <c r="B21" t="str">
        <f>IFERROR(__xludf.DUMMYFUNCTION("{IMPORTRANGE(""19Dum1qlL_dEwf1AEniLf02Eg9XaNXi1GMkI5M4_Ei6w"",""Round 8!C1:H3""),IMPORTRANGE(""19Dum1qlL_dEwf1AEniLf02Eg9XaNXi1GMkI5M4_Ei6w"",""Round 8!M1:R3"")}"),"Team A")</f>
        <v>Team A</v>
      </c>
      <c r="C21" t="str">
        <f>IFERROR(__xludf.DUMMYFUNCTION("""COMPUTED_VALUE"""),"")</f>
        <v/>
      </c>
      <c r="D21" t="str">
        <f>IFERROR(__xludf.DUMMYFUNCTION("""COMPUTED_VALUE"""),"")</f>
        <v/>
      </c>
      <c r="E21" t="str">
        <f>IFERROR(__xludf.DUMMYFUNCTION("""COMPUTED_VALUE"""),"")</f>
        <v/>
      </c>
      <c r="F21" t="str">
        <f>IFERROR(__xludf.DUMMYFUNCTION("""COMPUTED_VALUE"""),"")</f>
        <v/>
      </c>
      <c r="G21" t="str">
        <f>IFERROR(__xludf.DUMMYFUNCTION("""COMPUTED_VALUE"""),"")</f>
        <v/>
      </c>
      <c r="H21" t="str">
        <f>IFERROR(__xludf.DUMMYFUNCTION("""COMPUTED_VALUE"""),"Team B")</f>
        <v>Team B</v>
      </c>
      <c r="I21" t="str">
        <f>IFERROR(__xludf.DUMMYFUNCTION("""COMPUTED_VALUE"""),"")</f>
        <v/>
      </c>
      <c r="J21" t="str">
        <f>IFERROR(__xludf.DUMMYFUNCTION("""COMPUTED_VALUE"""),"")</f>
        <v/>
      </c>
      <c r="K21" t="str">
        <f>IFERROR(__xludf.DUMMYFUNCTION("""COMPUTED_VALUE"""),"")</f>
        <v/>
      </c>
      <c r="L21" t="str">
        <f>IFERROR(__xludf.DUMMYFUNCTION("""COMPUTED_VALUE"""),"")</f>
        <v/>
      </c>
      <c r="M21" t="str">
        <f>IFERROR(__xludf.DUMMYFUNCTION("""COMPUTED_VALUE"""),"")</f>
        <v/>
      </c>
    </row>
    <row r="22">
      <c r="A22" s="6" t="str">
        <f>IFERROR(__xludf.DUMMYFUNCTION("CONCAT(""A BP: "",IMPORTRANGE(""19Dum1qlL_dEwf1AEniLf02Eg9XaNXi1GMkI5M4_Ei6w"",""Round 8!I32""))"),"A BP: 0")</f>
        <v>A BP: 0</v>
      </c>
      <c r="B22" t="str">
        <f>IFERROR(__xludf.DUMMYFUNCTION("""COMPUTED_VALUE"""),"Score: 0")</f>
        <v>Score: 0</v>
      </c>
      <c r="C22" t="str">
        <f>IFERROR(__xludf.DUMMYFUNCTION("""COMPUTED_VALUE"""),"")</f>
        <v/>
      </c>
      <c r="D22" t="str">
        <f>IFERROR(__xludf.DUMMYFUNCTION("""COMPUTED_VALUE"""),"")</f>
        <v/>
      </c>
      <c r="E22" t="str">
        <f>IFERROR(__xludf.DUMMYFUNCTION("""COMPUTED_VALUE"""),"")</f>
        <v/>
      </c>
      <c r="F22" t="str">
        <f>IFERROR(__xludf.DUMMYFUNCTION("""COMPUTED_VALUE"""),"")</f>
        <v/>
      </c>
      <c r="G22" t="str">
        <f>IFERROR(__xludf.DUMMYFUNCTION("""COMPUTED_VALUE"""),"")</f>
        <v/>
      </c>
      <c r="H22" t="str">
        <f>IFERROR(__xludf.DUMMYFUNCTION("""COMPUTED_VALUE"""),"Score: 0")</f>
        <v>Score: 0</v>
      </c>
      <c r="I22" t="str">
        <f>IFERROR(__xludf.DUMMYFUNCTION("""COMPUTED_VALUE"""),"")</f>
        <v/>
      </c>
      <c r="J22" t="str">
        <f>IFERROR(__xludf.DUMMYFUNCTION("""COMPUTED_VALUE"""),"")</f>
        <v/>
      </c>
      <c r="K22" t="str">
        <f>IFERROR(__xludf.DUMMYFUNCTION("""COMPUTED_VALUE"""),"")</f>
        <v/>
      </c>
      <c r="L22" t="str">
        <f>IFERROR(__xludf.DUMMYFUNCTION("""COMPUTED_VALUE"""),"")</f>
        <v/>
      </c>
      <c r="M22" t="str">
        <f>IFERROR(__xludf.DUMMYFUNCTION("""COMPUTED_VALUE"""),"")</f>
        <v/>
      </c>
    </row>
    <row r="23">
      <c r="A23" s="6" t="str">
        <f>IFERROR(__xludf.DUMMYFUNCTION("CONCAT(""B BP: "",IMPORTRANGE(""19Dum1qlL_dEwf1AEniLf02Eg9XaNXi1GMkI5M4_Ei6w"",""Round 8!S32""))"),"B BP: 0")</f>
        <v>B BP: 0</v>
      </c>
      <c r="B23" t="str">
        <f>IFERROR(__xludf.DUMMYFUNCTION("""COMPUTED_VALUE"""),"Player 1")</f>
        <v>Player 1</v>
      </c>
      <c r="C23" t="str">
        <f>IFERROR(__xludf.DUMMYFUNCTION("""COMPUTED_VALUE"""),"Player 2")</f>
        <v>Player 2</v>
      </c>
      <c r="D23" t="str">
        <f>IFERROR(__xludf.DUMMYFUNCTION("""COMPUTED_VALUE"""),"Player 3")</f>
        <v>Player 3</v>
      </c>
      <c r="E23" t="str">
        <f>IFERROR(__xludf.DUMMYFUNCTION("""COMPUTED_VALUE"""),"Player 4")</f>
        <v>Player 4</v>
      </c>
      <c r="F23" t="str">
        <f>IFERROR(__xludf.DUMMYFUNCTION("""COMPUTED_VALUE"""),"Player 5")</f>
        <v>Player 5</v>
      </c>
      <c r="G23" t="str">
        <f>IFERROR(__xludf.DUMMYFUNCTION("""COMPUTED_VALUE"""),"Player 6")</f>
        <v>Player 6</v>
      </c>
      <c r="H23" t="str">
        <f>IFERROR(__xludf.DUMMYFUNCTION("""COMPUTED_VALUE"""),"Player 1")</f>
        <v>Player 1</v>
      </c>
      <c r="I23" t="str">
        <f>IFERROR(__xludf.DUMMYFUNCTION("""COMPUTED_VALUE"""),"Player 2")</f>
        <v>Player 2</v>
      </c>
      <c r="J23" t="str">
        <f>IFERROR(__xludf.DUMMYFUNCTION("""COMPUTED_VALUE"""),"Player 3")</f>
        <v>Player 3</v>
      </c>
      <c r="K23" t="str">
        <f>IFERROR(__xludf.DUMMYFUNCTION("""COMPUTED_VALUE"""),"Player 4")</f>
        <v>Player 4</v>
      </c>
      <c r="L23" t="str">
        <f>IFERROR(__xludf.DUMMYFUNCTION("""COMPUTED_VALUE"""),"Player 5")</f>
        <v>Player 5</v>
      </c>
      <c r="M23" t="str">
        <f>IFERROR(__xludf.DUMMYFUNCTION("""COMPUTED_VALUE"""),"Player 6")</f>
        <v>Player 6</v>
      </c>
    </row>
    <row r="24">
      <c r="A24" s="2" t="s">
        <v>123</v>
      </c>
      <c r="B24">
        <f>IFERROR(__xludf.DUMMYFUNCTION("{IMPORTRANGE(""19Dum1qlL_dEwf1AEniLf02Eg9XaNXi1GMkI5M4_Ei6w"",""Round 8!C32:H36""),IMPORTRANGE(""19Dum1qlL_dEwf1AEniLf02Eg9XaNXi1GMkI5M4_Ei6w"",""Round 8!M32:R36"")}"),20.0)</f>
        <v>20</v>
      </c>
      <c r="C24">
        <f>IFERROR(__xludf.DUMMYFUNCTION("""COMPUTED_VALUE"""),20.0)</f>
        <v>20</v>
      </c>
      <c r="D24">
        <f>IFERROR(__xludf.DUMMYFUNCTION("""COMPUTED_VALUE"""),20.0)</f>
        <v>20</v>
      </c>
      <c r="E24">
        <f>IFERROR(__xludf.DUMMYFUNCTION("""COMPUTED_VALUE"""),20.0)</f>
        <v>20</v>
      </c>
      <c r="F24" t="str">
        <f>IFERROR(__xludf.DUMMYFUNCTION("""COMPUTED_VALUE"""),"")</f>
        <v/>
      </c>
      <c r="G24" t="str">
        <f>IFERROR(__xludf.DUMMYFUNCTION("""COMPUTED_VALUE"""),"")</f>
        <v/>
      </c>
      <c r="H24">
        <f>IFERROR(__xludf.DUMMYFUNCTION("""COMPUTED_VALUE"""),20.0)</f>
        <v>20</v>
      </c>
      <c r="I24">
        <f>IFERROR(__xludf.DUMMYFUNCTION("""COMPUTED_VALUE"""),20.0)</f>
        <v>20</v>
      </c>
      <c r="J24">
        <f>IFERROR(__xludf.DUMMYFUNCTION("""COMPUTED_VALUE"""),20.0)</f>
        <v>20</v>
      </c>
      <c r="K24">
        <f>IFERROR(__xludf.DUMMYFUNCTION("""COMPUTED_VALUE"""),20.0)</f>
        <v>20</v>
      </c>
      <c r="L24" t="str">
        <f>IFERROR(__xludf.DUMMYFUNCTION("""COMPUTED_VALUE"""),"")</f>
        <v/>
      </c>
      <c r="M24" t="str">
        <f>IFERROR(__xludf.DUMMYFUNCTION("""COMPUTED_VALUE"""),"")</f>
        <v/>
      </c>
    </row>
    <row r="25">
      <c r="A25" s="2">
        <v>15.0</v>
      </c>
      <c r="B25">
        <f>IFERROR(__xludf.DUMMYFUNCTION("""COMPUTED_VALUE"""),0.0)</f>
        <v>0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IFERROR(__xludf.DUMMYFUNCTION("""COMPUTED_VALUE"""),0.0)</f>
        <v>0</v>
      </c>
      <c r="F25">
        <f>IFERROR(__xludf.DUMMYFUNCTION("""COMPUTED_VALUE"""),0.0)</f>
        <v>0</v>
      </c>
      <c r="G25">
        <f>IFERROR(__xludf.DUMMYFUNCTION("""COMPUTED_VALUE"""),0.0)</f>
        <v>0</v>
      </c>
      <c r="H25">
        <f>IFERROR(__xludf.DUMMYFUNCTION("""COMPUTED_VALUE"""),0.0)</f>
        <v>0</v>
      </c>
      <c r="I25">
        <f>IFERROR(__xludf.DUMMYFUNCTION("""COMPUTED_VALUE"""),0.0)</f>
        <v>0</v>
      </c>
      <c r="J25">
        <f>IFERROR(__xludf.DUMMYFUNCTION("""COMPUTED_VALUE"""),0.0)</f>
        <v>0</v>
      </c>
      <c r="K25">
        <f>IFERROR(__xludf.DUMMYFUNCTION("""COMPUTED_VALUE"""),0.0)</f>
        <v>0</v>
      </c>
      <c r="L25">
        <f>IFERROR(__xludf.DUMMYFUNCTION("""COMPUTED_VALUE"""),0.0)</f>
        <v>0</v>
      </c>
      <c r="M25">
        <f>IFERROR(__xludf.DUMMYFUNCTION("""COMPUTED_VALUE"""),0.0)</f>
        <v>0</v>
      </c>
    </row>
    <row r="26">
      <c r="A26" s="2">
        <v>10.0</v>
      </c>
      <c r="B26">
        <f>IFERROR(__xludf.DUMMYFUNCTION("""COMPUTED_VALUE"""),0.0)</f>
        <v>0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IFERROR(__xludf.DUMMYFUNCTION("""COMPUTED_VALUE"""),0.0)</f>
        <v>0</v>
      </c>
      <c r="F26">
        <f>IFERROR(__xludf.DUMMYFUNCTION("""COMPUTED_VALUE"""),0.0)</f>
        <v>0</v>
      </c>
      <c r="G26">
        <f>IFERROR(__xludf.DUMMYFUNCTION("""COMPUTED_VALUE"""),0.0)</f>
        <v>0</v>
      </c>
      <c r="H26">
        <f>IFERROR(__xludf.DUMMYFUNCTION("""COMPUTED_VALUE"""),0.0)</f>
        <v>0</v>
      </c>
      <c r="I26">
        <f>IFERROR(__xludf.DUMMYFUNCTION("""COMPUTED_VALUE"""),0.0)</f>
        <v>0</v>
      </c>
      <c r="J26">
        <f>IFERROR(__xludf.DUMMYFUNCTION("""COMPUTED_VALUE"""),0.0)</f>
        <v>0</v>
      </c>
      <c r="K26">
        <f>IFERROR(__xludf.DUMMYFUNCTION("""COMPUTED_VALUE"""),0.0)</f>
        <v>0</v>
      </c>
      <c r="L26">
        <f>IFERROR(__xludf.DUMMYFUNCTION("""COMPUTED_VALUE"""),0.0)</f>
        <v>0</v>
      </c>
      <c r="M26">
        <f>IFERROR(__xludf.DUMMYFUNCTION("""COMPUTED_VALUE"""),0.0)</f>
        <v>0</v>
      </c>
    </row>
    <row r="27">
      <c r="A27" s="2">
        <v>-5.0</v>
      </c>
      <c r="B27">
        <f>IFERROR(__xludf.DUMMYFUNCTION("""COMPUTED_VALUE"""),0.0)</f>
        <v>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IFERROR(__xludf.DUMMYFUNCTION("""COMPUTED_VALUE"""),0.0)</f>
        <v>0</v>
      </c>
      <c r="F27">
        <f>IFERROR(__xludf.DUMMYFUNCTION("""COMPUTED_VALUE"""),0.0)</f>
        <v>0</v>
      </c>
      <c r="G27">
        <f>IFERROR(__xludf.DUMMYFUNCTION("""COMPUTED_VALUE"""),0.0)</f>
        <v>0</v>
      </c>
      <c r="H27">
        <f>IFERROR(__xludf.DUMMYFUNCTION("""COMPUTED_VALUE"""),0.0)</f>
        <v>0</v>
      </c>
      <c r="I27">
        <f>IFERROR(__xludf.DUMMYFUNCTION("""COMPUTED_VALUE"""),0.0)</f>
        <v>0</v>
      </c>
      <c r="J27">
        <f>IFERROR(__xludf.DUMMYFUNCTION("""COMPUTED_VALUE"""),0.0)</f>
        <v>0</v>
      </c>
      <c r="K27">
        <f>IFERROR(__xludf.DUMMYFUNCTION("""COMPUTED_VALUE"""),0.0)</f>
        <v>0</v>
      </c>
      <c r="L27">
        <f>IFERROR(__xludf.DUMMYFUNCTION("""COMPUTED_VALUE"""),0.0)</f>
        <v>0</v>
      </c>
      <c r="M27">
        <f>IFERROR(__xludf.DUMMYFUNCTION("""COMPUTED_VALUE"""),0.0)</f>
        <v>0</v>
      </c>
    </row>
    <row r="28">
      <c r="A28" s="2" t="s">
        <v>124</v>
      </c>
      <c r="B28">
        <f>IFERROR(__xludf.DUMMYFUNCTION("""COMPUTED_VALUE"""),0.0)</f>
        <v>0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IFERROR(__xludf.DUMMYFUNCTION("""COMPUTED_VALUE"""),0.0)</f>
        <v>0</v>
      </c>
      <c r="F28">
        <f>IFERROR(__xludf.DUMMYFUNCTION("""COMPUTED_VALUE"""),0.0)</f>
        <v>0</v>
      </c>
      <c r="G28">
        <f>IFERROR(__xludf.DUMMYFUNCTION("""COMPUTED_VALUE"""),0.0)</f>
        <v>0</v>
      </c>
      <c r="H28">
        <f>IFERROR(__xludf.DUMMYFUNCTION("""COMPUTED_VALUE"""),0.0)</f>
        <v>0</v>
      </c>
      <c r="I28">
        <f>IFERROR(__xludf.DUMMYFUNCTION("""COMPUTED_VALUE"""),0.0)</f>
        <v>0</v>
      </c>
      <c r="J28">
        <f>IFERROR(__xludf.DUMMYFUNCTION("""COMPUTED_VALUE"""),0.0)</f>
        <v>0</v>
      </c>
      <c r="K28">
        <f>IFERROR(__xludf.DUMMYFUNCTION("""COMPUTED_VALUE"""),0.0)</f>
        <v>0</v>
      </c>
      <c r="L28">
        <f>IFERROR(__xludf.DUMMYFUNCTION("""COMPUTED_VALUE"""),0.0)</f>
        <v>0</v>
      </c>
      <c r="M28">
        <f>IFERROR(__xludf.DUMMYFUNCTION("""COMPUTED_VALUE"""),0.0)</f>
        <v>0</v>
      </c>
    </row>
    <row r="29">
      <c r="A29" s="6" t="str">
        <f>IFERROR(__xludf.DUMMYFUNCTION("IMPORTRANGE(""19Dum1qlL_dEwf1AEniLf02Eg9XaNXi1GMkI5M4_Ei6w"",""Round 8!W1"")"),"Question: 1")</f>
        <v>Question: 1</v>
      </c>
      <c r="B29" s="7" t="s">
        <v>129</v>
      </c>
    </row>
    <row r="30">
      <c r="A30" s="6"/>
    </row>
    <row r="31">
      <c r="A31" s="2" t="s">
        <v>165</v>
      </c>
      <c r="B31" t="str">
        <f>IFERROR(__xludf.DUMMYFUNCTION("{IMPORTRANGE(""18KjuM_F6goZYnozVb7folIb5Hw_mfKQrNdVWKGx6j4s"",""Round 8!C1:H3""),IMPORTRANGE(""18KjuM_F6goZYnozVb7folIb5Hw_mfKQrNdVWKGx6j4s"",""Round 8!M1:R3"")}"),"Oak Valley A (JV)")</f>
        <v>Oak Valley A (JV)</v>
      </c>
      <c r="C31" t="str">
        <f>IFERROR(__xludf.DUMMYFUNCTION("""COMPUTED_VALUE"""),"")</f>
        <v/>
      </c>
      <c r="D31" t="str">
        <f>IFERROR(__xludf.DUMMYFUNCTION("""COMPUTED_VALUE"""),"")</f>
        <v/>
      </c>
      <c r="E31" t="str">
        <f>IFERROR(__xludf.DUMMYFUNCTION("""COMPUTED_VALUE"""),"")</f>
        <v/>
      </c>
      <c r="F31" t="str">
        <f>IFERROR(__xludf.DUMMYFUNCTION("""COMPUTED_VALUE"""),"")</f>
        <v/>
      </c>
      <c r="G31" t="str">
        <f>IFERROR(__xludf.DUMMYFUNCTION("""COMPUTED_VALUE"""),"")</f>
        <v/>
      </c>
      <c r="H31" t="str">
        <f>IFERROR(__xludf.DUMMYFUNCTION("""COMPUTED_VALUE"""),"Rancho Bernardo (JV)")</f>
        <v>Rancho Bernardo (JV)</v>
      </c>
      <c r="I31" t="str">
        <f>IFERROR(__xludf.DUMMYFUNCTION("""COMPUTED_VALUE"""),"")</f>
        <v/>
      </c>
      <c r="J31" t="str">
        <f>IFERROR(__xludf.DUMMYFUNCTION("""COMPUTED_VALUE"""),"")</f>
        <v/>
      </c>
      <c r="K31" t="str">
        <f>IFERROR(__xludf.DUMMYFUNCTION("""COMPUTED_VALUE"""),"")</f>
        <v/>
      </c>
      <c r="L31" t="str">
        <f>IFERROR(__xludf.DUMMYFUNCTION("""COMPUTED_VALUE"""),"")</f>
        <v/>
      </c>
      <c r="M31" t="str">
        <f>IFERROR(__xludf.DUMMYFUNCTION("""COMPUTED_VALUE"""),"")</f>
        <v/>
      </c>
    </row>
    <row r="32">
      <c r="A32" s="6" t="str">
        <f>IFERROR(__xludf.DUMMYFUNCTION("CONCAT(""A BP: "",IMPORTRANGE(""18KjuM_F6goZYnozVb7folIb5Hw_mfKQrNdVWKGx6j4s"",""Round 8!I32""))"),"A BP: 210")</f>
        <v>A BP: 210</v>
      </c>
      <c r="B32" t="str">
        <f>IFERROR(__xludf.DUMMYFUNCTION("""COMPUTED_VALUE"""),"Score: 310")</f>
        <v>Score: 310</v>
      </c>
      <c r="C32" t="str">
        <f>IFERROR(__xludf.DUMMYFUNCTION("""COMPUTED_VALUE"""),"")</f>
        <v/>
      </c>
      <c r="D32" t="str">
        <f>IFERROR(__xludf.DUMMYFUNCTION("""COMPUTED_VALUE"""),"")</f>
        <v/>
      </c>
      <c r="E32" t="str">
        <f>IFERROR(__xludf.DUMMYFUNCTION("""COMPUTED_VALUE"""),"")</f>
        <v/>
      </c>
      <c r="F32" t="str">
        <f>IFERROR(__xludf.DUMMYFUNCTION("""COMPUTED_VALUE"""),"")</f>
        <v/>
      </c>
      <c r="G32" t="str">
        <f>IFERROR(__xludf.DUMMYFUNCTION("""COMPUTED_VALUE"""),"")</f>
        <v/>
      </c>
      <c r="H32" t="str">
        <f>IFERROR(__xludf.DUMMYFUNCTION("""COMPUTED_VALUE"""),"Score: 215")</f>
        <v>Score: 215</v>
      </c>
      <c r="I32" t="str">
        <f>IFERROR(__xludf.DUMMYFUNCTION("""COMPUTED_VALUE"""),"")</f>
        <v/>
      </c>
      <c r="J32" t="str">
        <f>IFERROR(__xludf.DUMMYFUNCTION("""COMPUTED_VALUE"""),"")</f>
        <v/>
      </c>
      <c r="K32" t="str">
        <f>IFERROR(__xludf.DUMMYFUNCTION("""COMPUTED_VALUE"""),"")</f>
        <v/>
      </c>
      <c r="L32" t="str">
        <f>IFERROR(__xludf.DUMMYFUNCTION("""COMPUTED_VALUE"""),"")</f>
        <v/>
      </c>
      <c r="M32" t="str">
        <f>IFERROR(__xludf.DUMMYFUNCTION("""COMPUTED_VALUE"""),"")</f>
        <v/>
      </c>
    </row>
    <row r="33">
      <c r="A33" s="6" t="str">
        <f>IFERROR(__xludf.DUMMYFUNCTION("CONCAT(""B BP: "",IMPORTRANGE(""18KjuM_F6goZYnozVb7folIb5Hw_mfKQrNdVWKGx6j4s"",""Round 8!S32""))"),"B BP: 140")</f>
        <v>B BP: 140</v>
      </c>
      <c r="B33" t="str">
        <f>IFERROR(__xludf.DUMMYFUNCTION("""COMPUTED_VALUE"""),"Conner Feng (8)")</f>
        <v>Conner Feng (8)</v>
      </c>
      <c r="C33" t="str">
        <f>IFERROR(__xludf.DUMMYFUNCTION("""COMPUTED_VALUE"""),"Jadon Pandian (7)")</f>
        <v>Jadon Pandian (7)</v>
      </c>
      <c r="D33" t="str">
        <f>IFERROR(__xludf.DUMMYFUNCTION("""COMPUTED_VALUE"""),"Jonas Brown (7)")</f>
        <v>Jonas Brown (7)</v>
      </c>
      <c r="E33" t="str">
        <f>IFERROR(__xludf.DUMMYFUNCTION("""COMPUTED_VALUE"""),"Player 4")</f>
        <v>Player 4</v>
      </c>
      <c r="F33" t="str">
        <f>IFERROR(__xludf.DUMMYFUNCTION("""COMPUTED_VALUE"""),"Player 5")</f>
        <v>Player 5</v>
      </c>
      <c r="G33" t="str">
        <f>IFERROR(__xludf.DUMMYFUNCTION("""COMPUTED_VALUE"""),"Player 6")</f>
        <v>Player 6</v>
      </c>
      <c r="H33" t="str">
        <f>IFERROR(__xludf.DUMMYFUNCTION("""COMPUTED_VALUE"""),"Sandy Tran (12)")</f>
        <v>Sandy Tran (12)</v>
      </c>
      <c r="I33" t="str">
        <f>IFERROR(__xludf.DUMMYFUNCTION("""COMPUTED_VALUE"""),"Katheryn Garrett (11)")</f>
        <v>Katheryn Garrett (11)</v>
      </c>
      <c r="J33" t="str">
        <f>IFERROR(__xludf.DUMMYFUNCTION("""COMPUTED_VALUE"""),"YungYi Sun (12)")</f>
        <v>YungYi Sun (12)</v>
      </c>
      <c r="K33" t="str">
        <f>IFERROR(__xludf.DUMMYFUNCTION("""COMPUTED_VALUE"""),"Patrick Joyce (11)")</f>
        <v>Patrick Joyce (11)</v>
      </c>
      <c r="L33" t="str">
        <f>IFERROR(__xludf.DUMMYFUNCTION("""COMPUTED_VALUE"""),"Player 5")</f>
        <v>Player 5</v>
      </c>
      <c r="M33" t="str">
        <f>IFERROR(__xludf.DUMMYFUNCTION("""COMPUTED_VALUE"""),"Player 6")</f>
        <v>Player 6</v>
      </c>
    </row>
    <row r="34">
      <c r="A34" s="2" t="s">
        <v>123</v>
      </c>
      <c r="B34">
        <f>IFERROR(__xludf.DUMMYFUNCTION("{IMPORTRANGE(""18KjuM_F6goZYnozVb7folIb5Hw_mfKQrNdVWKGx6j4s"",""Round 8!C32:H36""),IMPORTRANGE(""18KjuM_F6goZYnozVb7folIb5Hw_mfKQrNdVWKGx6j4s"",""Round 8!M32:R36"")}"),20.0)</f>
        <v>20</v>
      </c>
      <c r="C34">
        <f>IFERROR(__xludf.DUMMYFUNCTION("""COMPUTED_VALUE"""),20.0)</f>
        <v>20</v>
      </c>
      <c r="D34">
        <f>IFERROR(__xludf.DUMMYFUNCTION("""COMPUTED_VALUE"""),20.0)</f>
        <v>20</v>
      </c>
      <c r="E34">
        <f>IFERROR(__xludf.DUMMYFUNCTION("""COMPUTED_VALUE"""),20.0)</f>
        <v>20</v>
      </c>
      <c r="F34" t="str">
        <f>IFERROR(__xludf.DUMMYFUNCTION("""COMPUTED_VALUE"""),"")</f>
        <v/>
      </c>
      <c r="G34" t="str">
        <f>IFERROR(__xludf.DUMMYFUNCTION("""COMPUTED_VALUE"""),"")</f>
        <v/>
      </c>
      <c r="H34">
        <f>IFERROR(__xludf.DUMMYFUNCTION("""COMPUTED_VALUE"""),20.0)</f>
        <v>20</v>
      </c>
      <c r="I34">
        <f>IFERROR(__xludf.DUMMYFUNCTION("""COMPUTED_VALUE"""),20.0)</f>
        <v>20</v>
      </c>
      <c r="J34">
        <f>IFERROR(__xludf.DUMMYFUNCTION("""COMPUTED_VALUE"""),20.0)</f>
        <v>20</v>
      </c>
      <c r="K34">
        <f>IFERROR(__xludf.DUMMYFUNCTION("""COMPUTED_VALUE"""),20.0)</f>
        <v>20</v>
      </c>
      <c r="L34" t="str">
        <f>IFERROR(__xludf.DUMMYFUNCTION("""COMPUTED_VALUE"""),"")</f>
        <v/>
      </c>
      <c r="M34" t="str">
        <f>IFERROR(__xludf.DUMMYFUNCTION("""COMPUTED_VALUE"""),"")</f>
        <v/>
      </c>
    </row>
    <row r="35">
      <c r="A35" s="2">
        <v>15.0</v>
      </c>
      <c r="B35">
        <f>IFERROR(__xludf.DUMMYFUNCTION("""COMPUTED_VALUE"""),0.0)</f>
        <v>0</v>
      </c>
      <c r="C35">
        <f>IFERROR(__xludf.DUMMYFUNCTION("""COMPUTED_VALUE"""),1.0)</f>
        <v>1</v>
      </c>
      <c r="D35">
        <f>IFERROR(__xludf.DUMMYFUNCTION("""COMPUTED_VALUE"""),1.0)</f>
        <v>1</v>
      </c>
      <c r="E35">
        <f>IFERROR(__xludf.DUMMYFUNCTION("""COMPUTED_VALUE"""),0.0)</f>
        <v>0</v>
      </c>
      <c r="F35">
        <f>IFERROR(__xludf.DUMMYFUNCTION("""COMPUTED_VALUE"""),0.0)</f>
        <v>0</v>
      </c>
      <c r="G35">
        <f>IFERROR(__xludf.DUMMYFUNCTION("""COMPUTED_VALUE"""),0.0)</f>
        <v>0</v>
      </c>
      <c r="H35">
        <f>IFERROR(__xludf.DUMMYFUNCTION("""COMPUTED_VALUE"""),1.0)</f>
        <v>1</v>
      </c>
      <c r="I35">
        <f>IFERROR(__xludf.DUMMYFUNCTION("""COMPUTED_VALUE"""),0.0)</f>
        <v>0</v>
      </c>
      <c r="J35">
        <f>IFERROR(__xludf.DUMMYFUNCTION("""COMPUTED_VALUE"""),0.0)</f>
        <v>0</v>
      </c>
      <c r="K35">
        <f>IFERROR(__xludf.DUMMYFUNCTION("""COMPUTED_VALUE"""),1.0)</f>
        <v>1</v>
      </c>
      <c r="L35">
        <f>IFERROR(__xludf.DUMMYFUNCTION("""COMPUTED_VALUE"""),0.0)</f>
        <v>0</v>
      </c>
      <c r="M35">
        <f>IFERROR(__xludf.DUMMYFUNCTION("""COMPUTED_VALUE"""),0.0)</f>
        <v>0</v>
      </c>
    </row>
    <row r="36">
      <c r="A36" s="2">
        <v>10.0</v>
      </c>
      <c r="B36">
        <f>IFERROR(__xludf.DUMMYFUNCTION("""COMPUTED_VALUE"""),6.0)</f>
        <v>6</v>
      </c>
      <c r="C36">
        <f>IFERROR(__xludf.DUMMYFUNCTION("""COMPUTED_VALUE"""),1.0)</f>
        <v>1</v>
      </c>
      <c r="D36">
        <f>IFERROR(__xludf.DUMMYFUNCTION("""COMPUTED_VALUE"""),1.0)</f>
        <v>1</v>
      </c>
      <c r="E36">
        <f>IFERROR(__xludf.DUMMYFUNCTION("""COMPUTED_VALUE"""),0.0)</f>
        <v>0</v>
      </c>
      <c r="F36">
        <f>IFERROR(__xludf.DUMMYFUNCTION("""COMPUTED_VALUE"""),0.0)</f>
        <v>0</v>
      </c>
      <c r="G36">
        <f>IFERROR(__xludf.DUMMYFUNCTION("""COMPUTED_VALUE"""),0.0)</f>
        <v>0</v>
      </c>
      <c r="H36">
        <f>IFERROR(__xludf.DUMMYFUNCTION("""COMPUTED_VALUE"""),4.0)</f>
        <v>4</v>
      </c>
      <c r="I36">
        <f>IFERROR(__xludf.DUMMYFUNCTION("""COMPUTED_VALUE"""),0.0)</f>
        <v>0</v>
      </c>
      <c r="J36">
        <f>IFERROR(__xludf.DUMMYFUNCTION("""COMPUTED_VALUE"""),1.0)</f>
        <v>1</v>
      </c>
      <c r="K36">
        <f>IFERROR(__xludf.DUMMYFUNCTION("""COMPUTED_VALUE"""),0.0)</f>
        <v>0</v>
      </c>
      <c r="L36">
        <f>IFERROR(__xludf.DUMMYFUNCTION("""COMPUTED_VALUE"""),0.0)</f>
        <v>0</v>
      </c>
      <c r="M36">
        <f>IFERROR(__xludf.DUMMYFUNCTION("""COMPUTED_VALUE"""),0.0)</f>
        <v>0</v>
      </c>
    </row>
    <row r="37">
      <c r="A37" s="2">
        <v>-5.0</v>
      </c>
      <c r="B37">
        <f>IFERROR(__xludf.DUMMYFUNCTION("""COMPUTED_VALUE"""),1.0)</f>
        <v>1</v>
      </c>
      <c r="C37">
        <f>IFERROR(__xludf.DUMMYFUNCTION("""COMPUTED_VALUE"""),0.0)</f>
        <v>0</v>
      </c>
      <c r="D37">
        <f>IFERROR(__xludf.DUMMYFUNCTION("""COMPUTED_VALUE"""),1.0)</f>
        <v>1</v>
      </c>
      <c r="E37">
        <f>IFERROR(__xludf.DUMMYFUNCTION("""COMPUTED_VALUE"""),0.0)</f>
        <v>0</v>
      </c>
      <c r="F37">
        <f>IFERROR(__xludf.DUMMYFUNCTION("""COMPUTED_VALUE"""),0.0)</f>
        <v>0</v>
      </c>
      <c r="G37">
        <f>IFERROR(__xludf.DUMMYFUNCTION("""COMPUTED_VALUE"""),0.0)</f>
        <v>0</v>
      </c>
      <c r="H37">
        <f>IFERROR(__xludf.DUMMYFUNCTION("""COMPUTED_VALUE"""),1.0)</f>
        <v>1</v>
      </c>
      <c r="I37">
        <f>IFERROR(__xludf.DUMMYFUNCTION("""COMPUTED_VALUE"""),0.0)</f>
        <v>0</v>
      </c>
      <c r="J37">
        <f>IFERROR(__xludf.DUMMYFUNCTION("""COMPUTED_VALUE"""),0.0)</f>
        <v>0</v>
      </c>
      <c r="K37">
        <f>IFERROR(__xludf.DUMMYFUNCTION("""COMPUTED_VALUE"""),0.0)</f>
        <v>0</v>
      </c>
      <c r="L37">
        <f>IFERROR(__xludf.DUMMYFUNCTION("""COMPUTED_VALUE"""),0.0)</f>
        <v>0</v>
      </c>
      <c r="M37">
        <f>IFERROR(__xludf.DUMMYFUNCTION("""COMPUTED_VALUE"""),0.0)</f>
        <v>0</v>
      </c>
    </row>
    <row r="38">
      <c r="A38" s="2" t="s">
        <v>124</v>
      </c>
      <c r="B38">
        <f>IFERROR(__xludf.DUMMYFUNCTION("""COMPUTED_VALUE"""),55.0)</f>
        <v>55</v>
      </c>
      <c r="C38">
        <f>IFERROR(__xludf.DUMMYFUNCTION("""COMPUTED_VALUE"""),25.0)</f>
        <v>25</v>
      </c>
      <c r="D38">
        <f>IFERROR(__xludf.DUMMYFUNCTION("""COMPUTED_VALUE"""),20.0)</f>
        <v>20</v>
      </c>
      <c r="E38">
        <f>IFERROR(__xludf.DUMMYFUNCTION("""COMPUTED_VALUE"""),0.0)</f>
        <v>0</v>
      </c>
      <c r="F38">
        <f>IFERROR(__xludf.DUMMYFUNCTION("""COMPUTED_VALUE"""),0.0)</f>
        <v>0</v>
      </c>
      <c r="G38">
        <f>IFERROR(__xludf.DUMMYFUNCTION("""COMPUTED_VALUE"""),0.0)</f>
        <v>0</v>
      </c>
      <c r="H38">
        <f>IFERROR(__xludf.DUMMYFUNCTION("""COMPUTED_VALUE"""),50.0)</f>
        <v>50</v>
      </c>
      <c r="I38">
        <f>IFERROR(__xludf.DUMMYFUNCTION("""COMPUTED_VALUE"""),0.0)</f>
        <v>0</v>
      </c>
      <c r="J38">
        <f>IFERROR(__xludf.DUMMYFUNCTION("""COMPUTED_VALUE"""),10.0)</f>
        <v>10</v>
      </c>
      <c r="K38">
        <f>IFERROR(__xludf.DUMMYFUNCTION("""COMPUTED_VALUE"""),15.0)</f>
        <v>15</v>
      </c>
      <c r="L38">
        <f>IFERROR(__xludf.DUMMYFUNCTION("""COMPUTED_VALUE"""),0.0)</f>
        <v>0</v>
      </c>
      <c r="M38">
        <f>IFERROR(__xludf.DUMMYFUNCTION("""COMPUTED_VALUE"""),0.0)</f>
        <v>0</v>
      </c>
    </row>
    <row r="39">
      <c r="A39" s="6" t="str">
        <f>IFERROR(__xludf.DUMMYFUNCTION("IMPORTRANGE(""18KjuM_F6goZYnozVb7folIb5Hw_mfKQrNdVWKGx6j4s"",""Round 8!W1"")"),"Question: 21")</f>
        <v>Question: 21</v>
      </c>
      <c r="B39" s="7" t="s">
        <v>131</v>
      </c>
    </row>
    <row r="40">
      <c r="A40" s="6"/>
    </row>
    <row r="41">
      <c r="A41" s="2" t="s">
        <v>134</v>
      </c>
      <c r="B41" t="str">
        <f>IFERROR(__xludf.DUMMYFUNCTION("{IMPORTRANGE(""1_YEY20HiFjspjicPICCMlL_lQXsksdB6d3m5vzHwuOI"",""Round 8!C1:H3""),IMPORTRANGE(""1_YEY20HiFjspjicPICCMlL_lQXsksdB6d3m5vzHwuOI"",""Round 8!M1:R3"")}"),"La Serna A (JV)")</f>
        <v>La Serna A (JV)</v>
      </c>
      <c r="C41" t="str">
        <f>IFERROR(__xludf.DUMMYFUNCTION("""COMPUTED_VALUE"""),"")</f>
        <v/>
      </c>
      <c r="D41" t="str">
        <f>IFERROR(__xludf.DUMMYFUNCTION("""COMPUTED_VALUE"""),"")</f>
        <v/>
      </c>
      <c r="E41" t="str">
        <f>IFERROR(__xludf.DUMMYFUNCTION("""COMPUTED_VALUE"""),"")</f>
        <v/>
      </c>
      <c r="F41" t="str">
        <f>IFERROR(__xludf.DUMMYFUNCTION("""COMPUTED_VALUE"""),"")</f>
        <v/>
      </c>
      <c r="G41" t="str">
        <f>IFERROR(__xludf.DUMMYFUNCTION("""COMPUTED_VALUE"""),"")</f>
        <v/>
      </c>
      <c r="H41" t="str">
        <f>IFERROR(__xludf.DUMMYFUNCTION("""COMPUTED_VALUE"""),"Black Mountain A (JV)")</f>
        <v>Black Mountain A (JV)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IFERROR(__xludf.DUMMYFUNCTION("""COMPUTED_VALUE"""),"")</f>
        <v/>
      </c>
      <c r="L41" t="str">
        <f>IFERROR(__xludf.DUMMYFUNCTION("""COMPUTED_VALUE"""),"")</f>
        <v/>
      </c>
      <c r="M41" t="str">
        <f>IFERROR(__xludf.DUMMYFUNCTION("""COMPUTED_VALUE"""),"")</f>
        <v/>
      </c>
    </row>
    <row r="42">
      <c r="A42" s="6" t="str">
        <f>IFERROR(__xludf.DUMMYFUNCTION("CONCAT(""A BP: "",IMPORTRANGE(""1_YEY20HiFjspjicPICCMlL_lQXsksdB6d3m5vzHwuOI"",""Round 8!I32""))"),"A BP: 120")</f>
        <v>A BP: 120</v>
      </c>
      <c r="B42" t="str">
        <f>IFERROR(__xludf.DUMMYFUNCTION("""COMPUTED_VALUE"""),"Score: 200")</f>
        <v>Score: 200</v>
      </c>
      <c r="C42" t="str">
        <f>IFERROR(__xludf.DUMMYFUNCTION("""COMPUTED_VALUE"""),"")</f>
        <v/>
      </c>
      <c r="D42" t="str">
        <f>IFERROR(__xludf.DUMMYFUNCTION("""COMPUTED_VALUE"""),"")</f>
        <v/>
      </c>
      <c r="E42" t="str">
        <f>IFERROR(__xludf.DUMMYFUNCTION("""COMPUTED_VALUE"""),"")</f>
        <v/>
      </c>
      <c r="F42" t="str">
        <f>IFERROR(__xludf.DUMMYFUNCTION("""COMPUTED_VALUE"""),"")</f>
        <v/>
      </c>
      <c r="G42" t="str">
        <f>IFERROR(__xludf.DUMMYFUNCTION("""COMPUTED_VALUE"""),"")</f>
        <v/>
      </c>
      <c r="H42" t="str">
        <f>IFERROR(__xludf.DUMMYFUNCTION("""COMPUTED_VALUE"""),"Score: 235")</f>
        <v>Score: 235</v>
      </c>
      <c r="I42" t="str">
        <f>IFERROR(__xludf.DUMMYFUNCTION("""COMPUTED_VALUE"""),"")</f>
        <v/>
      </c>
      <c r="J42" t="str">
        <f>IFERROR(__xludf.DUMMYFUNCTION("""COMPUTED_VALUE"""),"")</f>
        <v/>
      </c>
      <c r="K42" t="str">
        <f>IFERROR(__xludf.DUMMYFUNCTION("""COMPUTED_VALUE"""),"")</f>
        <v/>
      </c>
      <c r="L42" t="str">
        <f>IFERROR(__xludf.DUMMYFUNCTION("""COMPUTED_VALUE"""),"")</f>
        <v/>
      </c>
      <c r="M42" t="str">
        <f>IFERROR(__xludf.DUMMYFUNCTION("""COMPUTED_VALUE"""),"")</f>
        <v/>
      </c>
    </row>
    <row r="43">
      <c r="A43" s="6" t="str">
        <f>IFERROR(__xludf.DUMMYFUNCTION("CONCAT(""B BP: "",IMPORTRANGE(""1_YEY20HiFjspjicPICCMlL_lQXsksdB6d3m5vzHwuOI"",""Round 8!S32""))"),"B BP: 150")</f>
        <v>B BP: 150</v>
      </c>
      <c r="B43" t="str">
        <f>IFERROR(__xludf.DUMMYFUNCTION("""COMPUTED_VALUE"""),"Cole Aedo (12)")</f>
        <v>Cole Aedo (12)</v>
      </c>
      <c r="C43" t="str">
        <f>IFERROR(__xludf.DUMMYFUNCTION("""COMPUTED_VALUE"""),"Jay Gamez (12)")</f>
        <v>Jay Gamez (12)</v>
      </c>
      <c r="D43" t="str">
        <f>IFERROR(__xludf.DUMMYFUNCTION("""COMPUTED_VALUE"""),"Ian Brennan (12)")</f>
        <v>Ian Brennan (12)</v>
      </c>
      <c r="E43" t="str">
        <f>IFERROR(__xludf.DUMMYFUNCTION("""COMPUTED_VALUE"""),"Player 4")</f>
        <v>Player 4</v>
      </c>
      <c r="F43" t="str">
        <f>IFERROR(__xludf.DUMMYFUNCTION("""COMPUTED_VALUE"""),"Player 5")</f>
        <v>Player 5</v>
      </c>
      <c r="G43" t="str">
        <f>IFERROR(__xludf.DUMMYFUNCTION("""COMPUTED_VALUE"""),"Player 6")</f>
        <v>Player 6</v>
      </c>
      <c r="H43" t="str">
        <f>IFERROR(__xludf.DUMMYFUNCTION("""COMPUTED_VALUE"""),"Adarsh Venkateswaran (8)")</f>
        <v>Adarsh Venkateswaran (8)</v>
      </c>
      <c r="I43" t="str">
        <f>IFERROR(__xludf.DUMMYFUNCTION("""COMPUTED_VALUE"""),"Anvit Watwani (7)")</f>
        <v>Anvit Watwani (7)</v>
      </c>
      <c r="J43" t="str">
        <f>IFERROR(__xludf.DUMMYFUNCTION("""COMPUTED_VALUE"""),"Tanvi Bhide (7)")</f>
        <v>Tanvi Bhide (7)</v>
      </c>
      <c r="K43" t="str">
        <f>IFERROR(__xludf.DUMMYFUNCTION("""COMPUTED_VALUE"""),"Edwin Chang (8)")</f>
        <v>Edwin Chang (8)</v>
      </c>
      <c r="L43" t="str">
        <f>IFERROR(__xludf.DUMMYFUNCTION("""COMPUTED_VALUE"""),"Player 5")</f>
        <v>Player 5</v>
      </c>
      <c r="M43" t="str">
        <f>IFERROR(__xludf.DUMMYFUNCTION("""COMPUTED_VALUE"""),"Player 6")</f>
        <v>Player 6</v>
      </c>
    </row>
    <row r="44">
      <c r="A44" s="2" t="s">
        <v>123</v>
      </c>
      <c r="B44">
        <f>IFERROR(__xludf.DUMMYFUNCTION("{IMPORTRANGE(""1_YEY20HiFjspjicPICCMlL_lQXsksdB6d3m5vzHwuOI"",""Round 8!C32:H36""),IMPORTRANGE(""1_YEY20HiFjspjicPICCMlL_lQXsksdB6d3m5vzHwuOI"",""Round 8!M32:R36"")}"),20.0)</f>
        <v>20</v>
      </c>
      <c r="C44">
        <f>IFERROR(__xludf.DUMMYFUNCTION("""COMPUTED_VALUE"""),20.0)</f>
        <v>20</v>
      </c>
      <c r="D44">
        <f>IFERROR(__xludf.DUMMYFUNCTION("""COMPUTED_VALUE"""),20.0)</f>
        <v>20</v>
      </c>
      <c r="E44">
        <f>IFERROR(__xludf.DUMMYFUNCTION("""COMPUTED_VALUE"""),20.0)</f>
        <v>20</v>
      </c>
      <c r="F44" t="str">
        <f>IFERROR(__xludf.DUMMYFUNCTION("""COMPUTED_VALUE"""),"")</f>
        <v/>
      </c>
      <c r="G44" t="str">
        <f>IFERROR(__xludf.DUMMYFUNCTION("""COMPUTED_VALUE"""),"")</f>
        <v/>
      </c>
      <c r="H44">
        <f>IFERROR(__xludf.DUMMYFUNCTION("""COMPUTED_VALUE"""),20.0)</f>
        <v>20</v>
      </c>
      <c r="I44">
        <f>IFERROR(__xludf.DUMMYFUNCTION("""COMPUTED_VALUE"""),20.0)</f>
        <v>20</v>
      </c>
      <c r="J44">
        <f>IFERROR(__xludf.DUMMYFUNCTION("""COMPUTED_VALUE"""),20.0)</f>
        <v>20</v>
      </c>
      <c r="K44">
        <f>IFERROR(__xludf.DUMMYFUNCTION("""COMPUTED_VALUE"""),20.0)</f>
        <v>20</v>
      </c>
      <c r="L44" t="str">
        <f>IFERROR(__xludf.DUMMYFUNCTION("""COMPUTED_VALUE"""),"")</f>
        <v/>
      </c>
      <c r="M44" t="str">
        <f>IFERROR(__xludf.DUMMYFUNCTION("""COMPUTED_VALUE"""),"")</f>
        <v/>
      </c>
    </row>
    <row r="45">
      <c r="A45" s="2">
        <v>15.0</v>
      </c>
      <c r="B45">
        <f>IFERROR(__xludf.DUMMYFUNCTION("""COMPUTED_VALUE"""),4.0)</f>
        <v>4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IFERROR(__xludf.DUMMYFUNCTION("""COMPUTED_VALUE"""),0.0)</f>
        <v>0</v>
      </c>
      <c r="F45">
        <f>IFERROR(__xludf.DUMMYFUNCTION("""COMPUTED_VALUE"""),0.0)</f>
        <v>0</v>
      </c>
      <c r="G45">
        <f>IFERROR(__xludf.DUMMYFUNCTION("""COMPUTED_VALUE"""),0.0)</f>
        <v>0</v>
      </c>
      <c r="H45">
        <f>IFERROR(__xludf.DUMMYFUNCTION("""COMPUTED_VALUE"""),1.0)</f>
        <v>1</v>
      </c>
      <c r="I45">
        <f>IFERROR(__xludf.DUMMYFUNCTION("""COMPUTED_VALUE"""),1.0)</f>
        <v>1</v>
      </c>
      <c r="J45">
        <f>IFERROR(__xludf.DUMMYFUNCTION("""COMPUTED_VALUE"""),0.0)</f>
        <v>0</v>
      </c>
      <c r="K45">
        <f>IFERROR(__xludf.DUMMYFUNCTION("""COMPUTED_VALUE"""),0.0)</f>
        <v>0</v>
      </c>
      <c r="L45">
        <f>IFERROR(__xludf.DUMMYFUNCTION("""COMPUTED_VALUE"""),0.0)</f>
        <v>0</v>
      </c>
      <c r="M45">
        <f>IFERROR(__xludf.DUMMYFUNCTION("""COMPUTED_VALUE"""),0.0)</f>
        <v>0</v>
      </c>
    </row>
    <row r="46">
      <c r="A46" s="2">
        <v>10.0</v>
      </c>
      <c r="B46">
        <f>IFERROR(__xludf.DUMMYFUNCTION("""COMPUTED_VALUE"""),3.0)</f>
        <v>3</v>
      </c>
      <c r="C46">
        <f>IFERROR(__xludf.DUMMYFUNCTION("""COMPUTED_VALUE"""),0.0)</f>
        <v>0</v>
      </c>
      <c r="D46">
        <f>IFERROR(__xludf.DUMMYFUNCTION("""COMPUTED_VALUE"""),1.0)</f>
        <v>1</v>
      </c>
      <c r="E46">
        <f>IFERROR(__xludf.DUMMYFUNCTION("""COMPUTED_VALUE"""),0.0)</f>
        <v>0</v>
      </c>
      <c r="F46">
        <f>IFERROR(__xludf.DUMMYFUNCTION("""COMPUTED_VALUE"""),0.0)</f>
        <v>0</v>
      </c>
      <c r="G46">
        <f>IFERROR(__xludf.DUMMYFUNCTION("""COMPUTED_VALUE"""),0.0)</f>
        <v>0</v>
      </c>
      <c r="H46">
        <f>IFERROR(__xludf.DUMMYFUNCTION("""COMPUTED_VALUE"""),2.0)</f>
        <v>2</v>
      </c>
      <c r="I46">
        <f>IFERROR(__xludf.DUMMYFUNCTION("""COMPUTED_VALUE"""),3.0)</f>
        <v>3</v>
      </c>
      <c r="J46">
        <f>IFERROR(__xludf.DUMMYFUNCTION("""COMPUTED_VALUE"""),2.0)</f>
        <v>2</v>
      </c>
      <c r="K46">
        <f>IFERROR(__xludf.DUMMYFUNCTION("""COMPUTED_VALUE"""),0.0)</f>
        <v>0</v>
      </c>
      <c r="L46">
        <f>IFERROR(__xludf.DUMMYFUNCTION("""COMPUTED_VALUE"""),0.0)</f>
        <v>0</v>
      </c>
      <c r="M46">
        <f>IFERROR(__xludf.DUMMYFUNCTION("""COMPUTED_VALUE"""),0.0)</f>
        <v>0</v>
      </c>
    </row>
    <row r="47">
      <c r="A47" s="2">
        <v>-5.0</v>
      </c>
      <c r="B47">
        <f>IFERROR(__xludf.DUMMYFUNCTION("""COMPUTED_VALUE"""),2.0)</f>
        <v>2</v>
      </c>
      <c r="C47">
        <f>IFERROR(__xludf.DUMMYFUNCTION("""COMPUTED_VALUE"""),0.0)</f>
        <v>0</v>
      </c>
      <c r="D47">
        <f>IFERROR(__xludf.DUMMYFUNCTION("""COMPUTED_VALUE"""),2.0)</f>
        <v>2</v>
      </c>
      <c r="E47">
        <f>IFERROR(__xludf.DUMMYFUNCTION("""COMPUTED_VALUE"""),0.0)</f>
        <v>0</v>
      </c>
      <c r="F47">
        <f>IFERROR(__xludf.DUMMYFUNCTION("""COMPUTED_VALUE"""),0.0)</f>
        <v>0</v>
      </c>
      <c r="G47">
        <f>IFERROR(__xludf.DUMMYFUNCTION("""COMPUTED_VALUE"""),0.0)</f>
        <v>0</v>
      </c>
      <c r="H47">
        <f>IFERROR(__xludf.DUMMYFUNCTION("""COMPUTED_VALUE"""),1.0)</f>
        <v>1</v>
      </c>
      <c r="I47">
        <f>IFERROR(__xludf.DUMMYFUNCTION("""COMPUTED_VALUE"""),0.0)</f>
        <v>0</v>
      </c>
      <c r="J47">
        <f>IFERROR(__xludf.DUMMYFUNCTION("""COMPUTED_VALUE"""),1.0)</f>
        <v>1</v>
      </c>
      <c r="K47">
        <f>IFERROR(__xludf.DUMMYFUNCTION("""COMPUTED_VALUE"""),1.0)</f>
        <v>1</v>
      </c>
      <c r="L47">
        <f>IFERROR(__xludf.DUMMYFUNCTION("""COMPUTED_VALUE"""),0.0)</f>
        <v>0</v>
      </c>
      <c r="M47">
        <f>IFERROR(__xludf.DUMMYFUNCTION("""COMPUTED_VALUE"""),0.0)</f>
        <v>0</v>
      </c>
    </row>
    <row r="48">
      <c r="A48" s="2" t="s">
        <v>124</v>
      </c>
      <c r="B48">
        <f>IFERROR(__xludf.DUMMYFUNCTION("""COMPUTED_VALUE"""),80.0)</f>
        <v>80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IFERROR(__xludf.DUMMYFUNCTION("""COMPUTED_VALUE"""),0.0)</f>
        <v>0</v>
      </c>
      <c r="F48">
        <f>IFERROR(__xludf.DUMMYFUNCTION("""COMPUTED_VALUE"""),0.0)</f>
        <v>0</v>
      </c>
      <c r="G48">
        <f>IFERROR(__xludf.DUMMYFUNCTION("""COMPUTED_VALUE"""),0.0)</f>
        <v>0</v>
      </c>
      <c r="H48">
        <f>IFERROR(__xludf.DUMMYFUNCTION("""COMPUTED_VALUE"""),30.0)</f>
        <v>30</v>
      </c>
      <c r="I48">
        <f>IFERROR(__xludf.DUMMYFUNCTION("""COMPUTED_VALUE"""),45.0)</f>
        <v>45</v>
      </c>
      <c r="J48">
        <f>IFERROR(__xludf.DUMMYFUNCTION("""COMPUTED_VALUE"""),15.0)</f>
        <v>15</v>
      </c>
      <c r="K48">
        <f>IFERROR(__xludf.DUMMYFUNCTION("""COMPUTED_VALUE"""),-5.0)</f>
        <v>-5</v>
      </c>
      <c r="L48">
        <f>IFERROR(__xludf.DUMMYFUNCTION("""COMPUTED_VALUE"""),0.0)</f>
        <v>0</v>
      </c>
      <c r="M48">
        <f>IFERROR(__xludf.DUMMYFUNCTION("""COMPUTED_VALUE"""),0.0)</f>
        <v>0</v>
      </c>
    </row>
    <row r="49">
      <c r="A49" s="6" t="str">
        <f>IFERROR(__xludf.DUMMYFUNCTION("IMPORTRANGE(""1_YEY20HiFjspjicPICCMlL_lQXsksdB6d3m5vzHwuOI"",""Round 8!W1"")"),"Question: 21")</f>
        <v>Question: 21</v>
      </c>
      <c r="B49" s="7" t="s">
        <v>133</v>
      </c>
    </row>
    <row r="50">
      <c r="A50" s="6"/>
    </row>
    <row r="51">
      <c r="A51" s="2" t="s">
        <v>137</v>
      </c>
      <c r="B51" t="str">
        <f>IFERROR(__xludf.DUMMYFUNCTION("{IMPORTRANGE(""1SYS5Ef48991ZUgqcGqj51eX2YgqKCzfrEZ_pUY01Lwo"",""Round 8!C1:H3""),IMPORTRANGE(""1SYS5Ef48991ZUgqcGqj51eX2YgqKCzfrEZ_pUY01Lwo"",""Round 8!M1:R3"")}"),"Canyon Crest D (JV)")</f>
        <v>Canyon Crest D (JV)</v>
      </c>
      <c r="C51" t="str">
        <f>IFERROR(__xludf.DUMMYFUNCTION("""COMPUTED_VALUE"""),"")</f>
        <v/>
      </c>
      <c r="D51" t="str">
        <f>IFERROR(__xludf.DUMMYFUNCTION("""COMPUTED_VALUE"""),"")</f>
        <v/>
      </c>
      <c r="E51" t="str">
        <f>IFERROR(__xludf.DUMMYFUNCTION("""COMPUTED_VALUE"""),"")</f>
        <v/>
      </c>
      <c r="F51" t="str">
        <f>IFERROR(__xludf.DUMMYFUNCTION("""COMPUTED_VALUE"""),"")</f>
        <v/>
      </c>
      <c r="G51" t="str">
        <f>IFERROR(__xludf.DUMMYFUNCTION("""COMPUTED_VALUE"""),"")</f>
        <v/>
      </c>
      <c r="H51" t="str">
        <f>IFERROR(__xludf.DUMMYFUNCTION("""COMPUTED_VALUE"""),"Westview C (JV)")</f>
        <v>Westview C (JV)</v>
      </c>
      <c r="I51" t="str">
        <f>IFERROR(__xludf.DUMMYFUNCTION("""COMPUTED_VALUE"""),"")</f>
        <v/>
      </c>
      <c r="J51" t="str">
        <f>IFERROR(__xludf.DUMMYFUNCTION("""COMPUTED_VALUE"""),"")</f>
        <v/>
      </c>
      <c r="K51" t="str">
        <f>IFERROR(__xludf.DUMMYFUNCTION("""COMPUTED_VALUE"""),"")</f>
        <v/>
      </c>
      <c r="L51" t="str">
        <f>IFERROR(__xludf.DUMMYFUNCTION("""COMPUTED_VALUE"""),"")</f>
        <v/>
      </c>
      <c r="M51" t="str">
        <f>IFERROR(__xludf.DUMMYFUNCTION("""COMPUTED_VALUE"""),"")</f>
        <v/>
      </c>
    </row>
    <row r="52">
      <c r="A52" s="6" t="str">
        <f>IFERROR(__xludf.DUMMYFUNCTION("CONCAT(""A BP: "",IMPORTRANGE(""1SYS5Ef48991ZUgqcGqj51eX2YgqKCzfrEZ_pUY01Lwo"",""Round 8!I32""))"),"A BP: 160")</f>
        <v>A BP: 160</v>
      </c>
      <c r="B52" t="str">
        <f>IFERROR(__xludf.DUMMYFUNCTION("""COMPUTED_VALUE"""),"Score: 260")</f>
        <v>Score: 260</v>
      </c>
      <c r="C52" t="str">
        <f>IFERROR(__xludf.DUMMYFUNCTION("""COMPUTED_VALUE"""),"")</f>
        <v/>
      </c>
      <c r="D52" t="str">
        <f>IFERROR(__xludf.DUMMYFUNCTION("""COMPUTED_VALUE"""),"")</f>
        <v/>
      </c>
      <c r="E52" t="str">
        <f>IFERROR(__xludf.DUMMYFUNCTION("""COMPUTED_VALUE"""),"")</f>
        <v/>
      </c>
      <c r="F52" t="str">
        <f>IFERROR(__xludf.DUMMYFUNCTION("""COMPUTED_VALUE"""),"")</f>
        <v/>
      </c>
      <c r="G52" t="str">
        <f>IFERROR(__xludf.DUMMYFUNCTION("""COMPUTED_VALUE"""),"")</f>
        <v/>
      </c>
      <c r="H52" t="str">
        <f>IFERROR(__xludf.DUMMYFUNCTION("""COMPUTED_VALUE"""),"Score: 265")</f>
        <v>Score: 265</v>
      </c>
      <c r="I52" t="str">
        <f>IFERROR(__xludf.DUMMYFUNCTION("""COMPUTED_VALUE"""),"")</f>
        <v/>
      </c>
      <c r="J52" t="str">
        <f>IFERROR(__xludf.DUMMYFUNCTION("""COMPUTED_VALUE"""),"")</f>
        <v/>
      </c>
      <c r="K52" t="str">
        <f>IFERROR(__xludf.DUMMYFUNCTION("""COMPUTED_VALUE"""),"")</f>
        <v/>
      </c>
      <c r="L52" t="str">
        <f>IFERROR(__xludf.DUMMYFUNCTION("""COMPUTED_VALUE"""),"")</f>
        <v/>
      </c>
      <c r="M52" t="str">
        <f>IFERROR(__xludf.DUMMYFUNCTION("""COMPUTED_VALUE"""),"")</f>
        <v/>
      </c>
    </row>
    <row r="53">
      <c r="A53" s="6" t="str">
        <f>IFERROR(__xludf.DUMMYFUNCTION("CONCAT(""B BP: "",IMPORTRANGE(""1SYS5Ef48991ZUgqcGqj51eX2YgqKCzfrEZ_pUY01Lwo"",""Round 8!S32""))"),"B BP: 190")</f>
        <v>B BP: 190</v>
      </c>
      <c r="B53" t="str">
        <f>IFERROR(__xludf.DUMMYFUNCTION("""COMPUTED_VALUE"""),"Tompson Hsu (12)")</f>
        <v>Tompson Hsu (12)</v>
      </c>
      <c r="C53" t="str">
        <f>IFERROR(__xludf.DUMMYFUNCTION("""COMPUTED_VALUE"""),"Demitrius Hong (12)")</f>
        <v>Demitrius Hong (12)</v>
      </c>
      <c r="D53" t="str">
        <f>IFERROR(__xludf.DUMMYFUNCTION("""COMPUTED_VALUE"""),"Kyle Lu (12)")</f>
        <v>Kyle Lu (12)</v>
      </c>
      <c r="E53" t="str">
        <f>IFERROR(__xludf.DUMMYFUNCTION("""COMPUTED_VALUE"""),"Player 4")</f>
        <v>Player 4</v>
      </c>
      <c r="F53" t="str">
        <f>IFERROR(__xludf.DUMMYFUNCTION("""COMPUTED_VALUE"""),"Player 5")</f>
        <v>Player 5</v>
      </c>
      <c r="G53" t="str">
        <f>IFERROR(__xludf.DUMMYFUNCTION("""COMPUTED_VALUE"""),"Player 6")</f>
        <v>Player 6</v>
      </c>
      <c r="H53" t="str">
        <f>IFERROR(__xludf.DUMMYFUNCTION("""COMPUTED_VALUE"""),"Rohan Kumar (11)")</f>
        <v>Rohan Kumar (11)</v>
      </c>
      <c r="I53" t="str">
        <f>IFERROR(__xludf.DUMMYFUNCTION("""COMPUTED_VALUE"""),"Aiken Wang (9)")</f>
        <v>Aiken Wang (9)</v>
      </c>
      <c r="J53" t="str">
        <f>IFERROR(__xludf.DUMMYFUNCTION("""COMPUTED_VALUE"""),"Radhika Sreelal (10)")</f>
        <v>Radhika Sreelal (10)</v>
      </c>
      <c r="K53" t="str">
        <f>IFERROR(__xludf.DUMMYFUNCTION("""COMPUTED_VALUE"""),"Player 4")</f>
        <v>Player 4</v>
      </c>
      <c r="L53" t="str">
        <f>IFERROR(__xludf.DUMMYFUNCTION("""COMPUTED_VALUE"""),"Player 5")</f>
        <v>Player 5</v>
      </c>
      <c r="M53" t="str">
        <f>IFERROR(__xludf.DUMMYFUNCTION("""COMPUTED_VALUE"""),"Player 6")</f>
        <v>Player 6</v>
      </c>
    </row>
    <row r="54">
      <c r="A54" s="2" t="s">
        <v>123</v>
      </c>
      <c r="B54">
        <f>IFERROR(__xludf.DUMMYFUNCTION("{IMPORTRANGE(""1SYS5Ef48991ZUgqcGqj51eX2YgqKCzfrEZ_pUY01Lwo"",""Round 8!C32:H36""),IMPORTRANGE(""1SYS5Ef48991ZUgqcGqj51eX2YgqKCzfrEZ_pUY01Lwo"",""Round 8!M32:R36"")}"),20.0)</f>
        <v>20</v>
      </c>
      <c r="C54">
        <f>IFERROR(__xludf.DUMMYFUNCTION("""COMPUTED_VALUE"""),20.0)</f>
        <v>20</v>
      </c>
      <c r="D54">
        <f>IFERROR(__xludf.DUMMYFUNCTION("""COMPUTED_VALUE"""),20.0)</f>
        <v>20</v>
      </c>
      <c r="E54">
        <f>IFERROR(__xludf.DUMMYFUNCTION("""COMPUTED_VALUE"""),20.0)</f>
        <v>20</v>
      </c>
      <c r="F54" t="str">
        <f>IFERROR(__xludf.DUMMYFUNCTION("""COMPUTED_VALUE"""),"")</f>
        <v/>
      </c>
      <c r="G54" t="str">
        <f>IFERROR(__xludf.DUMMYFUNCTION("""COMPUTED_VALUE"""),"")</f>
        <v/>
      </c>
      <c r="H54">
        <f>IFERROR(__xludf.DUMMYFUNCTION("""COMPUTED_VALUE"""),20.0)</f>
        <v>20</v>
      </c>
      <c r="I54">
        <f>IFERROR(__xludf.DUMMYFUNCTION("""COMPUTED_VALUE"""),20.0)</f>
        <v>20</v>
      </c>
      <c r="J54">
        <f>IFERROR(__xludf.DUMMYFUNCTION("""COMPUTED_VALUE"""),20.0)</f>
        <v>20</v>
      </c>
      <c r="K54">
        <f>IFERROR(__xludf.DUMMYFUNCTION("""COMPUTED_VALUE"""),20.0)</f>
        <v>20</v>
      </c>
      <c r="L54" t="str">
        <f>IFERROR(__xludf.DUMMYFUNCTION("""COMPUTED_VALUE"""),"")</f>
        <v/>
      </c>
      <c r="M54" t="str">
        <f>IFERROR(__xludf.DUMMYFUNCTION("""COMPUTED_VALUE"""),"")</f>
        <v/>
      </c>
    </row>
    <row r="55">
      <c r="A55" s="2">
        <v>15.0</v>
      </c>
      <c r="B55">
        <f>IFERROR(__xludf.DUMMYFUNCTION("""COMPUTED_VALUE"""),0.0)</f>
        <v>0</v>
      </c>
      <c r="C55">
        <f>IFERROR(__xludf.DUMMYFUNCTION("""COMPUTED_VALUE"""),2.0)</f>
        <v>2</v>
      </c>
      <c r="D55">
        <f>IFERROR(__xludf.DUMMYFUNCTION("""COMPUTED_VALUE"""),0.0)</f>
        <v>0</v>
      </c>
      <c r="E55">
        <f>IFERROR(__xludf.DUMMYFUNCTION("""COMPUTED_VALUE"""),0.0)</f>
        <v>0</v>
      </c>
      <c r="F55">
        <f>IFERROR(__xludf.DUMMYFUNCTION("""COMPUTED_VALUE"""),0.0)</f>
        <v>0</v>
      </c>
      <c r="G55">
        <f>IFERROR(__xludf.DUMMYFUNCTION("""COMPUTED_VALUE"""),0.0)</f>
        <v>0</v>
      </c>
      <c r="H55">
        <f>IFERROR(__xludf.DUMMYFUNCTION("""COMPUTED_VALUE"""),1.0)</f>
        <v>1</v>
      </c>
      <c r="I55">
        <f>IFERROR(__xludf.DUMMYFUNCTION("""COMPUTED_VALUE"""),1.0)</f>
        <v>1</v>
      </c>
      <c r="J55">
        <f>IFERROR(__xludf.DUMMYFUNCTION("""COMPUTED_VALUE"""),0.0)</f>
        <v>0</v>
      </c>
      <c r="K55">
        <f>IFERROR(__xludf.DUMMYFUNCTION("""COMPUTED_VALUE"""),0.0)</f>
        <v>0</v>
      </c>
      <c r="L55">
        <f>IFERROR(__xludf.DUMMYFUNCTION("""COMPUTED_VALUE"""),0.0)</f>
        <v>0</v>
      </c>
      <c r="M55">
        <f>IFERROR(__xludf.DUMMYFUNCTION("""COMPUTED_VALUE"""),0.0)</f>
        <v>0</v>
      </c>
    </row>
    <row r="56">
      <c r="A56" s="2">
        <v>10.0</v>
      </c>
      <c r="B56">
        <f>IFERROR(__xludf.DUMMYFUNCTION("""COMPUTED_VALUE"""),3.0)</f>
        <v>3</v>
      </c>
      <c r="C56">
        <f>IFERROR(__xludf.DUMMYFUNCTION("""COMPUTED_VALUE"""),3.0)</f>
        <v>3</v>
      </c>
      <c r="D56">
        <f>IFERROR(__xludf.DUMMYFUNCTION("""COMPUTED_VALUE"""),1.0)</f>
        <v>1</v>
      </c>
      <c r="E56">
        <f>IFERROR(__xludf.DUMMYFUNCTION("""COMPUTED_VALUE"""),0.0)</f>
        <v>0</v>
      </c>
      <c r="F56">
        <f>IFERROR(__xludf.DUMMYFUNCTION("""COMPUTED_VALUE"""),0.0)</f>
        <v>0</v>
      </c>
      <c r="G56">
        <f>IFERROR(__xludf.DUMMYFUNCTION("""COMPUTED_VALUE"""),0.0)</f>
        <v>0</v>
      </c>
      <c r="H56">
        <f>IFERROR(__xludf.DUMMYFUNCTION("""COMPUTED_VALUE"""),4.0)</f>
        <v>4</v>
      </c>
      <c r="I56">
        <f>IFERROR(__xludf.DUMMYFUNCTION("""COMPUTED_VALUE"""),2.0)</f>
        <v>2</v>
      </c>
      <c r="J56">
        <f>IFERROR(__xludf.DUMMYFUNCTION("""COMPUTED_VALUE"""),0.0)</f>
        <v>0</v>
      </c>
      <c r="K56">
        <f>IFERROR(__xludf.DUMMYFUNCTION("""COMPUTED_VALUE"""),0.0)</f>
        <v>0</v>
      </c>
      <c r="L56">
        <f>IFERROR(__xludf.DUMMYFUNCTION("""COMPUTED_VALUE"""),0.0)</f>
        <v>0</v>
      </c>
      <c r="M56">
        <f>IFERROR(__xludf.DUMMYFUNCTION("""COMPUTED_VALUE"""),0.0)</f>
        <v>0</v>
      </c>
    </row>
    <row r="57">
      <c r="A57" s="2">
        <v>-5.0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IFERROR(__xludf.DUMMYFUNCTION("""COMPUTED_VALUE"""),0.0)</f>
        <v>0</v>
      </c>
      <c r="E57">
        <f>IFERROR(__xludf.DUMMYFUNCTION("""COMPUTED_VALUE"""),0.0)</f>
        <v>0</v>
      </c>
      <c r="F57">
        <f>IFERROR(__xludf.DUMMYFUNCTION("""COMPUTED_VALUE"""),0.0)</f>
        <v>0</v>
      </c>
      <c r="G57">
        <f>IFERROR(__xludf.DUMMYFUNCTION("""COMPUTED_VALUE"""),0.0)</f>
        <v>0</v>
      </c>
      <c r="H57">
        <f>IFERROR(__xludf.DUMMYFUNCTION("""COMPUTED_VALUE"""),3.0)</f>
        <v>3</v>
      </c>
      <c r="I57">
        <f>IFERROR(__xludf.DUMMYFUNCTION("""COMPUTED_VALUE"""),0.0)</f>
        <v>0</v>
      </c>
      <c r="J57">
        <f>IFERROR(__xludf.DUMMYFUNCTION("""COMPUTED_VALUE"""),0.0)</f>
        <v>0</v>
      </c>
      <c r="K57">
        <f>IFERROR(__xludf.DUMMYFUNCTION("""COMPUTED_VALUE"""),0.0)</f>
        <v>0</v>
      </c>
      <c r="L57">
        <f>IFERROR(__xludf.DUMMYFUNCTION("""COMPUTED_VALUE"""),0.0)</f>
        <v>0</v>
      </c>
      <c r="M57">
        <f>IFERROR(__xludf.DUMMYFUNCTION("""COMPUTED_VALUE"""),0.0)</f>
        <v>0</v>
      </c>
    </row>
    <row r="58">
      <c r="A58" s="2" t="s">
        <v>124</v>
      </c>
      <c r="B58">
        <f>IFERROR(__xludf.DUMMYFUNCTION("""COMPUTED_VALUE"""),30.0)</f>
        <v>30</v>
      </c>
      <c r="C58">
        <f>IFERROR(__xludf.DUMMYFUNCTION("""COMPUTED_VALUE"""),60.0)</f>
        <v>60</v>
      </c>
      <c r="D58">
        <f>IFERROR(__xludf.DUMMYFUNCTION("""COMPUTED_VALUE"""),10.0)</f>
        <v>10</v>
      </c>
      <c r="E58">
        <f>IFERROR(__xludf.DUMMYFUNCTION("""COMPUTED_VALUE"""),0.0)</f>
        <v>0</v>
      </c>
      <c r="F58">
        <f>IFERROR(__xludf.DUMMYFUNCTION("""COMPUTED_VALUE"""),0.0)</f>
        <v>0</v>
      </c>
      <c r="G58">
        <f>IFERROR(__xludf.DUMMYFUNCTION("""COMPUTED_VALUE"""),0.0)</f>
        <v>0</v>
      </c>
      <c r="H58">
        <f>IFERROR(__xludf.DUMMYFUNCTION("""COMPUTED_VALUE"""),40.0)</f>
        <v>40</v>
      </c>
      <c r="I58">
        <f>IFERROR(__xludf.DUMMYFUNCTION("""COMPUTED_VALUE"""),35.0)</f>
        <v>35</v>
      </c>
      <c r="J58">
        <f>IFERROR(__xludf.DUMMYFUNCTION("""COMPUTED_VALUE"""),0.0)</f>
        <v>0</v>
      </c>
      <c r="K58">
        <f>IFERROR(__xludf.DUMMYFUNCTION("""COMPUTED_VALUE"""),0.0)</f>
        <v>0</v>
      </c>
      <c r="L58">
        <f>IFERROR(__xludf.DUMMYFUNCTION("""COMPUTED_VALUE"""),0.0)</f>
        <v>0</v>
      </c>
      <c r="M58">
        <f>IFERROR(__xludf.DUMMYFUNCTION("""COMPUTED_VALUE"""),0.0)</f>
        <v>0</v>
      </c>
    </row>
    <row r="59">
      <c r="A59" s="6" t="str">
        <f>IFERROR(__xludf.DUMMYFUNCTION("IMPORTRANGE(""1SYS5Ef48991ZUgqcGqj51eX2YgqKCzfrEZ_pUY01Lwo"",""Round 8!W1"")"),"Question: 21")</f>
        <v>Question: 21</v>
      </c>
      <c r="B59" s="7" t="s">
        <v>136</v>
      </c>
    </row>
    <row r="60">
      <c r="A60" s="6"/>
    </row>
    <row r="61">
      <c r="A61" s="2" t="s">
        <v>139</v>
      </c>
      <c r="B61" t="str">
        <f>IFERROR(__xludf.DUMMYFUNCTION("{IMPORTRANGE(""1UJlRLlhI2Hg_SAQqQOg0JGdwHhiagF7EVAtCX8UOYFc"",""Round 8!C1:H3""),IMPORTRANGE(""1UJlRLlhI2Hg_SAQqQOg0JGdwHhiagF7EVAtCX8UOYFc"",""Round 8!M1:R3"")}"),"Scripps Ranch B (JV)")</f>
        <v>Scripps Ranch B (JV)</v>
      </c>
      <c r="C61" t="str">
        <f>IFERROR(__xludf.DUMMYFUNCTION("""COMPUTED_VALUE"""),"")</f>
        <v/>
      </c>
      <c r="D61" t="str">
        <f>IFERROR(__xludf.DUMMYFUNCTION("""COMPUTED_VALUE"""),"")</f>
        <v/>
      </c>
      <c r="E61" t="str">
        <f>IFERROR(__xludf.DUMMYFUNCTION("""COMPUTED_VALUE"""),"")</f>
        <v/>
      </c>
      <c r="F61" t="str">
        <f>IFERROR(__xludf.DUMMYFUNCTION("""COMPUTED_VALUE"""),"")</f>
        <v/>
      </c>
      <c r="G61" t="str">
        <f>IFERROR(__xludf.DUMMYFUNCTION("""COMPUTED_VALUE"""),"")</f>
        <v/>
      </c>
      <c r="H61" t="str">
        <f>IFERROR(__xludf.DUMMYFUNCTION("""COMPUTED_VALUE"""),"Oak Valley B (JV)")</f>
        <v>Oak Valley B (JV)</v>
      </c>
      <c r="I61" t="str">
        <f>IFERROR(__xludf.DUMMYFUNCTION("""COMPUTED_VALUE"""),"")</f>
        <v/>
      </c>
      <c r="J61" t="str">
        <f>IFERROR(__xludf.DUMMYFUNCTION("""COMPUTED_VALUE"""),"")</f>
        <v/>
      </c>
      <c r="K61" t="str">
        <f>IFERROR(__xludf.DUMMYFUNCTION("""COMPUTED_VALUE"""),"")</f>
        <v/>
      </c>
      <c r="L61" t="str">
        <f>IFERROR(__xludf.DUMMYFUNCTION("""COMPUTED_VALUE"""),"")</f>
        <v/>
      </c>
      <c r="M61" t="str">
        <f>IFERROR(__xludf.DUMMYFUNCTION("""COMPUTED_VALUE"""),"")</f>
        <v/>
      </c>
    </row>
    <row r="62">
      <c r="A62" s="6" t="str">
        <f>IFERROR(__xludf.DUMMYFUNCTION("CONCAT(""A BP: "",IMPORTRANGE(""1UJlRLlhI2Hg_SAQqQOg0JGdwHhiagF7EVAtCX8UOYFc"",""Round 8!I32""))"),"A BP: 30")</f>
        <v>A BP: 30</v>
      </c>
      <c r="B62" t="str">
        <f>IFERROR(__xludf.DUMMYFUNCTION("""COMPUTED_VALUE"""),"Score: 80")</f>
        <v>Score: 80</v>
      </c>
      <c r="C62" t="str">
        <f>IFERROR(__xludf.DUMMYFUNCTION("""COMPUTED_VALUE"""),"")</f>
        <v/>
      </c>
      <c r="D62" t="str">
        <f>IFERROR(__xludf.DUMMYFUNCTION("""COMPUTED_VALUE"""),"")</f>
        <v/>
      </c>
      <c r="E62" t="str">
        <f>IFERROR(__xludf.DUMMYFUNCTION("""COMPUTED_VALUE"""),"")</f>
        <v/>
      </c>
      <c r="F62" t="str">
        <f>IFERROR(__xludf.DUMMYFUNCTION("""COMPUTED_VALUE"""),"")</f>
        <v/>
      </c>
      <c r="G62" t="str">
        <f>IFERROR(__xludf.DUMMYFUNCTION("""COMPUTED_VALUE"""),"")</f>
        <v/>
      </c>
      <c r="H62" t="str">
        <f>IFERROR(__xludf.DUMMYFUNCTION("""COMPUTED_VALUE"""),"Score: 290")</f>
        <v>Score: 290</v>
      </c>
      <c r="I62" t="str">
        <f>IFERROR(__xludf.DUMMYFUNCTION("""COMPUTED_VALUE"""),"")</f>
        <v/>
      </c>
      <c r="J62" t="str">
        <f>IFERROR(__xludf.DUMMYFUNCTION("""COMPUTED_VALUE"""),"")</f>
        <v/>
      </c>
      <c r="K62" t="str">
        <f>IFERROR(__xludf.DUMMYFUNCTION("""COMPUTED_VALUE"""),"")</f>
        <v/>
      </c>
      <c r="L62" t="str">
        <f>IFERROR(__xludf.DUMMYFUNCTION("""COMPUTED_VALUE"""),"")</f>
        <v/>
      </c>
      <c r="M62" t="str">
        <f>IFERROR(__xludf.DUMMYFUNCTION("""COMPUTED_VALUE"""),"")</f>
        <v/>
      </c>
    </row>
    <row r="63">
      <c r="A63" s="6" t="str">
        <f>IFERROR(__xludf.DUMMYFUNCTION("CONCAT(""B BP: "",IMPORTRANGE(""1UJlRLlhI2Hg_SAQqQOg0JGdwHhiagF7EVAtCX8UOYFc"",""Round 8!S32""))"),"B BP: 180")</f>
        <v>B BP: 180</v>
      </c>
      <c r="B63" t="str">
        <f>IFERROR(__xludf.DUMMYFUNCTION("""COMPUTED_VALUE"""),"Tristan Thai (9)")</f>
        <v>Tristan Thai (9)</v>
      </c>
      <c r="C63" t="str">
        <f>IFERROR(__xludf.DUMMYFUNCTION("""COMPUTED_VALUE"""),"Shabdika Gubba (9)")</f>
        <v>Shabdika Gubba (9)</v>
      </c>
      <c r="D63" t="str">
        <f>IFERROR(__xludf.DUMMYFUNCTION("""COMPUTED_VALUE"""),"Sam Wu (9)")</f>
        <v>Sam Wu (9)</v>
      </c>
      <c r="E63" t="str">
        <f>IFERROR(__xludf.DUMMYFUNCTION("""COMPUTED_VALUE"""),"")</f>
        <v/>
      </c>
      <c r="F63" t="str">
        <f>IFERROR(__xludf.DUMMYFUNCTION("""COMPUTED_VALUE"""),"Player 5")</f>
        <v>Player 5</v>
      </c>
      <c r="G63" t="str">
        <f>IFERROR(__xludf.DUMMYFUNCTION("""COMPUTED_VALUE"""),"Player 6")</f>
        <v>Player 6</v>
      </c>
      <c r="H63" t="str">
        <f>IFERROR(__xludf.DUMMYFUNCTION("""COMPUTED_VALUE"""),"Rohan Gaikwad (8)")</f>
        <v>Rohan Gaikwad (8)</v>
      </c>
      <c r="I63" t="str">
        <f>IFERROR(__xludf.DUMMYFUNCTION("""COMPUTED_VALUE"""),"John Bruvold (8)")</f>
        <v>John Bruvold (8)</v>
      </c>
      <c r="J63" t="str">
        <f>IFERROR(__xludf.DUMMYFUNCTION("""COMPUTED_VALUE"""),"Amina Aslam-Mir (7)")</f>
        <v>Amina Aslam-Mir (7)</v>
      </c>
      <c r="K63" t="str">
        <f>IFERROR(__xludf.DUMMYFUNCTION("""COMPUTED_VALUE"""),"Ethan Huang (7)")</f>
        <v>Ethan Huang (7)</v>
      </c>
      <c r="L63" t="str">
        <f>IFERROR(__xludf.DUMMYFUNCTION("""COMPUTED_VALUE"""),"Aditi Bandaru (7)")</f>
        <v>Aditi Bandaru (7)</v>
      </c>
      <c r="M63" t="str">
        <f>IFERROR(__xludf.DUMMYFUNCTION("""COMPUTED_VALUE"""),"Player 6")</f>
        <v>Player 6</v>
      </c>
    </row>
    <row r="64">
      <c r="A64" s="2" t="s">
        <v>123</v>
      </c>
      <c r="B64">
        <f>IFERROR(__xludf.DUMMYFUNCTION("{IMPORTRANGE(""1UJlRLlhI2Hg_SAQqQOg0JGdwHhiagF7EVAtCX8UOYFc"",""Round 8!C32:H36""),IMPORTRANGE(""1UJlRLlhI2Hg_SAQqQOg0JGdwHhiagF7EVAtCX8UOYFc"",""Round 8!M32:R36"")}"),20.0)</f>
        <v>20</v>
      </c>
      <c r="C64">
        <f>IFERROR(__xludf.DUMMYFUNCTION("""COMPUTED_VALUE"""),20.0)</f>
        <v>20</v>
      </c>
      <c r="D64">
        <f>IFERROR(__xludf.DUMMYFUNCTION("""COMPUTED_VALUE"""),20.0)</f>
        <v>20</v>
      </c>
      <c r="E64">
        <f>IFERROR(__xludf.DUMMYFUNCTION("""COMPUTED_VALUE"""),20.0)</f>
        <v>20</v>
      </c>
      <c r="F64" t="str">
        <f>IFERROR(__xludf.DUMMYFUNCTION("""COMPUTED_VALUE"""),"")</f>
        <v/>
      </c>
      <c r="G64" t="str">
        <f>IFERROR(__xludf.DUMMYFUNCTION("""COMPUTED_VALUE"""),"")</f>
        <v/>
      </c>
      <c r="H64">
        <f>IFERROR(__xludf.DUMMYFUNCTION("""COMPUTED_VALUE"""),20.0)</f>
        <v>20</v>
      </c>
      <c r="I64">
        <f>IFERROR(__xludf.DUMMYFUNCTION("""COMPUTED_VALUE"""),20.0)</f>
        <v>20</v>
      </c>
      <c r="J64">
        <f>IFERROR(__xludf.DUMMYFUNCTION("""COMPUTED_VALUE"""),20.0)</f>
        <v>20</v>
      </c>
      <c r="K64">
        <f>IFERROR(__xludf.DUMMYFUNCTION("""COMPUTED_VALUE"""),10.0)</f>
        <v>10</v>
      </c>
      <c r="L64">
        <f>IFERROR(__xludf.DUMMYFUNCTION("""COMPUTED_VALUE"""),10.0)</f>
        <v>10</v>
      </c>
      <c r="M64" t="str">
        <f>IFERROR(__xludf.DUMMYFUNCTION("""COMPUTED_VALUE"""),"")</f>
        <v/>
      </c>
    </row>
    <row r="65">
      <c r="A65" s="2">
        <v>15.0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IFERROR(__xludf.DUMMYFUNCTION("""COMPUTED_VALUE"""),2.0)</f>
        <v>2</v>
      </c>
      <c r="E65">
        <f>IFERROR(__xludf.DUMMYFUNCTION("""COMPUTED_VALUE"""),0.0)</f>
        <v>0</v>
      </c>
      <c r="F65">
        <f>IFERROR(__xludf.DUMMYFUNCTION("""COMPUTED_VALUE"""),0.0)</f>
        <v>0</v>
      </c>
      <c r="G65">
        <f>IFERROR(__xludf.DUMMYFUNCTION("""COMPUTED_VALUE"""),0.0)</f>
        <v>0</v>
      </c>
      <c r="H65">
        <f>IFERROR(__xludf.DUMMYFUNCTION("""COMPUTED_VALUE"""),1.0)</f>
        <v>1</v>
      </c>
      <c r="I65">
        <f>IFERROR(__xludf.DUMMYFUNCTION("""COMPUTED_VALUE"""),1.0)</f>
        <v>1</v>
      </c>
      <c r="J65">
        <f>IFERROR(__xludf.DUMMYFUNCTION("""COMPUTED_VALUE"""),1.0)</f>
        <v>1</v>
      </c>
      <c r="K65">
        <f>IFERROR(__xludf.DUMMYFUNCTION("""COMPUTED_VALUE"""),0.0)</f>
        <v>0</v>
      </c>
      <c r="L65">
        <f>IFERROR(__xludf.DUMMYFUNCTION("""COMPUTED_VALUE"""),0.0)</f>
        <v>0</v>
      </c>
      <c r="M65">
        <f>IFERROR(__xludf.DUMMYFUNCTION("""COMPUTED_VALUE"""),0.0)</f>
        <v>0</v>
      </c>
    </row>
    <row r="66">
      <c r="A66" s="2">
        <v>10.0</v>
      </c>
      <c r="B66">
        <f>IFERROR(__xludf.DUMMYFUNCTION("""COMPUTED_VALUE"""),1.0)</f>
        <v>1</v>
      </c>
      <c r="C66">
        <f>IFERROR(__xludf.DUMMYFUNCTION("""COMPUTED_VALUE"""),0.0)</f>
        <v>0</v>
      </c>
      <c r="D66">
        <f>IFERROR(__xludf.DUMMYFUNCTION("""COMPUTED_VALUE"""),1.0)</f>
        <v>1</v>
      </c>
      <c r="E66">
        <f>IFERROR(__xludf.DUMMYFUNCTION("""COMPUTED_VALUE"""),0.0)</f>
        <v>0</v>
      </c>
      <c r="F66">
        <f>IFERROR(__xludf.DUMMYFUNCTION("""COMPUTED_VALUE"""),0.0)</f>
        <v>0</v>
      </c>
      <c r="G66">
        <f>IFERROR(__xludf.DUMMYFUNCTION("""COMPUTED_VALUE"""),0.0)</f>
        <v>0</v>
      </c>
      <c r="H66">
        <f>IFERROR(__xludf.DUMMYFUNCTION("""COMPUTED_VALUE"""),7.0)</f>
        <v>7</v>
      </c>
      <c r="I66">
        <f>IFERROR(__xludf.DUMMYFUNCTION("""COMPUTED_VALUE"""),0.0)</f>
        <v>0</v>
      </c>
      <c r="J66">
        <f>IFERROR(__xludf.DUMMYFUNCTION("""COMPUTED_VALUE"""),1.0)</f>
        <v>1</v>
      </c>
      <c r="K66">
        <f>IFERROR(__xludf.DUMMYFUNCTION("""COMPUTED_VALUE"""),0.0)</f>
        <v>0</v>
      </c>
      <c r="L66">
        <f>IFERROR(__xludf.DUMMYFUNCTION("""COMPUTED_VALUE"""),0.0)</f>
        <v>0</v>
      </c>
      <c r="M66">
        <f>IFERROR(__xludf.DUMMYFUNCTION("""COMPUTED_VALUE"""),0.0)</f>
        <v>0</v>
      </c>
    </row>
    <row r="67">
      <c r="A67" s="2">
        <v>-5.0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IFERROR(__xludf.DUMMYFUNCTION("""COMPUTED_VALUE"""),0.0)</f>
        <v>0</v>
      </c>
      <c r="G67">
        <f>IFERROR(__xludf.DUMMYFUNCTION("""COMPUTED_VALUE"""),0.0)</f>
        <v>0</v>
      </c>
      <c r="H67">
        <f>IFERROR(__xludf.DUMMYFUNCTION("""COMPUTED_VALUE"""),2.0)</f>
        <v>2</v>
      </c>
      <c r="I67">
        <f>IFERROR(__xludf.DUMMYFUNCTION("""COMPUTED_VALUE"""),0.0)</f>
        <v>0</v>
      </c>
      <c r="J67">
        <f>IFERROR(__xludf.DUMMYFUNCTION("""COMPUTED_VALUE"""),1.0)</f>
        <v>1</v>
      </c>
      <c r="K67">
        <f>IFERROR(__xludf.DUMMYFUNCTION("""COMPUTED_VALUE"""),0.0)</f>
        <v>0</v>
      </c>
      <c r="L67">
        <f>IFERROR(__xludf.DUMMYFUNCTION("""COMPUTED_VALUE"""),0.0)</f>
        <v>0</v>
      </c>
      <c r="M67">
        <f>IFERROR(__xludf.DUMMYFUNCTION("""COMPUTED_VALUE"""),0.0)</f>
        <v>0</v>
      </c>
    </row>
    <row r="68">
      <c r="A68" s="2" t="s">
        <v>124</v>
      </c>
      <c r="B68">
        <f>IFERROR(__xludf.DUMMYFUNCTION("""COMPUTED_VALUE"""),10.0)</f>
        <v>10</v>
      </c>
      <c r="C68">
        <f>IFERROR(__xludf.DUMMYFUNCTION("""COMPUTED_VALUE"""),0.0)</f>
        <v>0</v>
      </c>
      <c r="D68">
        <f>IFERROR(__xludf.DUMMYFUNCTION("""COMPUTED_VALUE"""),40.0)</f>
        <v>40</v>
      </c>
      <c r="E68">
        <f>IFERROR(__xludf.DUMMYFUNCTION("""COMPUTED_VALUE"""),0.0)</f>
        <v>0</v>
      </c>
      <c r="F68">
        <f>IFERROR(__xludf.DUMMYFUNCTION("""COMPUTED_VALUE"""),0.0)</f>
        <v>0</v>
      </c>
      <c r="G68">
        <f>IFERROR(__xludf.DUMMYFUNCTION("""COMPUTED_VALUE"""),0.0)</f>
        <v>0</v>
      </c>
      <c r="H68">
        <f>IFERROR(__xludf.DUMMYFUNCTION("""COMPUTED_VALUE"""),75.0)</f>
        <v>75</v>
      </c>
      <c r="I68">
        <f>IFERROR(__xludf.DUMMYFUNCTION("""COMPUTED_VALUE"""),15.0)</f>
        <v>15</v>
      </c>
      <c r="J68">
        <f>IFERROR(__xludf.DUMMYFUNCTION("""COMPUTED_VALUE"""),20.0)</f>
        <v>20</v>
      </c>
      <c r="K68">
        <f>IFERROR(__xludf.DUMMYFUNCTION("""COMPUTED_VALUE"""),0.0)</f>
        <v>0</v>
      </c>
      <c r="L68">
        <f>IFERROR(__xludf.DUMMYFUNCTION("""COMPUTED_VALUE"""),0.0)</f>
        <v>0</v>
      </c>
      <c r="M68">
        <f>IFERROR(__xludf.DUMMYFUNCTION("""COMPUTED_VALUE"""),0.0)</f>
        <v>0</v>
      </c>
    </row>
    <row r="69">
      <c r="A69" s="6" t="str">
        <f>IFERROR(__xludf.DUMMYFUNCTION("IMPORTRANGE(""1UJlRLlhI2Hg_SAQqQOg0JGdwHhiagF7EVAtCX8UOYFc"",""Round 8!W1"")"),"Question: 21")</f>
        <v>Question: 21</v>
      </c>
      <c r="B69" s="7" t="s">
        <v>140</v>
      </c>
    </row>
    <row r="70">
      <c r="A70" s="6"/>
    </row>
    <row r="71">
      <c r="A71" s="2" t="s">
        <v>142</v>
      </c>
      <c r="B71" t="str">
        <f>IFERROR(__xludf.DUMMYFUNCTION("{IMPORTRANGE(""1jA96n0qbauznSt6-hkr51AslpxJqfrWgkafVtMV8_xU"",""Round 8!C1:H3""),IMPORTRANGE(""1jA96n0qbauznSt6-hkr51AslpxJqfrWgkafVtMV8_xU"",""Round 8!M1:R3"")}"),"Troy B (JV)")</f>
        <v>Troy B (JV)</v>
      </c>
      <c r="C71" t="str">
        <f>IFERROR(__xludf.DUMMYFUNCTION("""COMPUTED_VALUE"""),"")</f>
        <v/>
      </c>
      <c r="D71" t="str">
        <f>IFERROR(__xludf.DUMMYFUNCTION("""COMPUTED_VALUE"""),"")</f>
        <v/>
      </c>
      <c r="E71" t="str">
        <f>IFERROR(__xludf.DUMMYFUNCTION("""COMPUTED_VALUE"""),"")</f>
        <v/>
      </c>
      <c r="F71" t="str">
        <f>IFERROR(__xludf.DUMMYFUNCTION("""COMPUTED_VALUE"""),"")</f>
        <v/>
      </c>
      <c r="G71" t="str">
        <f>IFERROR(__xludf.DUMMYFUNCTION("""COMPUTED_VALUE"""),"")</f>
        <v/>
      </c>
      <c r="H71" t="str">
        <f>IFERROR(__xludf.DUMMYFUNCTION("""COMPUTED_VALUE"""),"Del Norte (JV)")</f>
        <v>Del Norte (JV)</v>
      </c>
      <c r="I71" t="str">
        <f>IFERROR(__xludf.DUMMYFUNCTION("""COMPUTED_VALUE"""),"")</f>
        <v/>
      </c>
      <c r="J71" t="str">
        <f>IFERROR(__xludf.DUMMYFUNCTION("""COMPUTED_VALUE"""),"")</f>
        <v/>
      </c>
      <c r="K71" t="str">
        <f>IFERROR(__xludf.DUMMYFUNCTION("""COMPUTED_VALUE"""),"")</f>
        <v/>
      </c>
      <c r="L71" t="str">
        <f>IFERROR(__xludf.DUMMYFUNCTION("""COMPUTED_VALUE"""),"")</f>
        <v/>
      </c>
      <c r="M71" t="str">
        <f>IFERROR(__xludf.DUMMYFUNCTION("""COMPUTED_VALUE"""),"")</f>
        <v/>
      </c>
    </row>
    <row r="72">
      <c r="A72" s="6" t="str">
        <f>IFERROR(__xludf.DUMMYFUNCTION("CONCAT(""A BP: "",IMPORTRANGE(""1jA96n0qbauznSt6-hkr51AslpxJqfrWgkafVtMV8_xU"",""Round 8!I32""))"),"A BP: 120")</f>
        <v>A BP: 120</v>
      </c>
      <c r="B72" t="str">
        <f>IFERROR(__xludf.DUMMYFUNCTION("""COMPUTED_VALUE"""),"Score: 210")</f>
        <v>Score: 210</v>
      </c>
      <c r="C72" t="str">
        <f>IFERROR(__xludf.DUMMYFUNCTION("""COMPUTED_VALUE"""),"")</f>
        <v/>
      </c>
      <c r="D72" t="str">
        <f>IFERROR(__xludf.DUMMYFUNCTION("""COMPUTED_VALUE"""),"")</f>
        <v/>
      </c>
      <c r="E72" t="str">
        <f>IFERROR(__xludf.DUMMYFUNCTION("""COMPUTED_VALUE"""),"")</f>
        <v/>
      </c>
      <c r="F72" t="str">
        <f>IFERROR(__xludf.DUMMYFUNCTION("""COMPUTED_VALUE"""),"")</f>
        <v/>
      </c>
      <c r="G72" t="str">
        <f>IFERROR(__xludf.DUMMYFUNCTION("""COMPUTED_VALUE"""),"")</f>
        <v/>
      </c>
      <c r="H72" t="str">
        <f>IFERROR(__xludf.DUMMYFUNCTION("""COMPUTED_VALUE"""),"Score: 255")</f>
        <v>Score: 255</v>
      </c>
      <c r="I72" t="str">
        <f>IFERROR(__xludf.DUMMYFUNCTION("""COMPUTED_VALUE"""),"")</f>
        <v/>
      </c>
      <c r="J72" t="str">
        <f>IFERROR(__xludf.DUMMYFUNCTION("""COMPUTED_VALUE"""),"")</f>
        <v/>
      </c>
      <c r="K72" t="str">
        <f>IFERROR(__xludf.DUMMYFUNCTION("""COMPUTED_VALUE"""),"")</f>
        <v/>
      </c>
      <c r="L72" t="str">
        <f>IFERROR(__xludf.DUMMYFUNCTION("""COMPUTED_VALUE"""),"")</f>
        <v/>
      </c>
      <c r="M72" t="str">
        <f>IFERROR(__xludf.DUMMYFUNCTION("""COMPUTED_VALUE"""),"")</f>
        <v/>
      </c>
    </row>
    <row r="73">
      <c r="A73" s="6" t="str">
        <f>IFERROR(__xludf.DUMMYFUNCTION("CONCAT(""B BP: "",IMPORTRANGE(""1jA96n0qbauznSt6-hkr51AslpxJqfrWgkafVtMV8_xU"",""Round 8!S32""))"),"B BP: 170")</f>
        <v>B BP: 170</v>
      </c>
      <c r="B73" t="str">
        <f>IFERROR(__xludf.DUMMYFUNCTION("""COMPUTED_VALUE"""),"Ryan Salehi (11)")</f>
        <v>Ryan Salehi (11)</v>
      </c>
      <c r="C73" t="str">
        <f>IFERROR(__xludf.DUMMYFUNCTION("""COMPUTED_VALUE"""),"Luke Waldo (11)")</f>
        <v>Luke Waldo (11)</v>
      </c>
      <c r="D73" t="str">
        <f>IFERROR(__xludf.DUMMYFUNCTION("""COMPUTED_VALUE"""),"Juan Manalo (11)")</f>
        <v>Juan Manalo (11)</v>
      </c>
      <c r="E73" t="str">
        <f>IFERROR(__xludf.DUMMYFUNCTION("""COMPUTED_VALUE"""),"")</f>
        <v/>
      </c>
      <c r="F73" t="str">
        <f>IFERROR(__xludf.DUMMYFUNCTION("""COMPUTED_VALUE"""),"Player 5")</f>
        <v>Player 5</v>
      </c>
      <c r="G73" t="str">
        <f>IFERROR(__xludf.DUMMYFUNCTION("""COMPUTED_VALUE"""),"Player 6")</f>
        <v>Player 6</v>
      </c>
      <c r="H73" t="str">
        <f>IFERROR(__xludf.DUMMYFUNCTION("""COMPUTED_VALUE"""),"Kyle Nagasawa (11)")</f>
        <v>Kyle Nagasawa (11)</v>
      </c>
      <c r="I73" t="str">
        <f>IFERROR(__xludf.DUMMYFUNCTION("""COMPUTED_VALUE"""),"Kinish Sathish (9)")</f>
        <v>Kinish Sathish (9)</v>
      </c>
      <c r="J73" t="str">
        <f>IFERROR(__xludf.DUMMYFUNCTION("""COMPUTED_VALUE"""),"Player 3")</f>
        <v>Player 3</v>
      </c>
      <c r="K73" t="str">
        <f>IFERROR(__xludf.DUMMYFUNCTION("""COMPUTED_VALUE"""),"Player 4")</f>
        <v>Player 4</v>
      </c>
      <c r="L73" t="str">
        <f>IFERROR(__xludf.DUMMYFUNCTION("""COMPUTED_VALUE"""),"Player 5")</f>
        <v>Player 5</v>
      </c>
      <c r="M73" t="str">
        <f>IFERROR(__xludf.DUMMYFUNCTION("""COMPUTED_VALUE"""),"Player 6")</f>
        <v>Player 6</v>
      </c>
    </row>
    <row r="74">
      <c r="A74" s="2" t="s">
        <v>123</v>
      </c>
      <c r="B74">
        <f>IFERROR(__xludf.DUMMYFUNCTION("{IMPORTRANGE(""1jA96n0qbauznSt6-hkr51AslpxJqfrWgkafVtMV8_xU"",""Round 8!C32:H36""),IMPORTRANGE(""1jA96n0qbauznSt6-hkr51AslpxJqfrWgkafVtMV8_xU"",""Round 8!M32:R36"")}"),20.0)</f>
        <v>20</v>
      </c>
      <c r="C74">
        <f>IFERROR(__xludf.DUMMYFUNCTION("""COMPUTED_VALUE"""),20.0)</f>
        <v>20</v>
      </c>
      <c r="D74">
        <f>IFERROR(__xludf.DUMMYFUNCTION("""COMPUTED_VALUE"""),20.0)</f>
        <v>20</v>
      </c>
      <c r="E74">
        <f>IFERROR(__xludf.DUMMYFUNCTION("""COMPUTED_VALUE"""),20.0)</f>
        <v>20</v>
      </c>
      <c r="F74" t="str">
        <f>IFERROR(__xludf.DUMMYFUNCTION("""COMPUTED_VALUE"""),"")</f>
        <v/>
      </c>
      <c r="G74" t="str">
        <f>IFERROR(__xludf.DUMMYFUNCTION("""COMPUTED_VALUE"""),"")</f>
        <v/>
      </c>
      <c r="H74">
        <f>IFERROR(__xludf.DUMMYFUNCTION("""COMPUTED_VALUE"""),20.0)</f>
        <v>20</v>
      </c>
      <c r="I74">
        <f>IFERROR(__xludf.DUMMYFUNCTION("""COMPUTED_VALUE"""),20.0)</f>
        <v>20</v>
      </c>
      <c r="J74">
        <f>IFERROR(__xludf.DUMMYFUNCTION("""COMPUTED_VALUE"""),20.0)</f>
        <v>20</v>
      </c>
      <c r="K74">
        <f>IFERROR(__xludf.DUMMYFUNCTION("""COMPUTED_VALUE"""),20.0)</f>
        <v>20</v>
      </c>
      <c r="L74" t="str">
        <f>IFERROR(__xludf.DUMMYFUNCTION("""COMPUTED_VALUE"""),"")</f>
        <v/>
      </c>
      <c r="M74" t="str">
        <f>IFERROR(__xludf.DUMMYFUNCTION("""COMPUTED_VALUE"""),"")</f>
        <v/>
      </c>
    </row>
    <row r="75">
      <c r="A75" s="2">
        <v>15.0</v>
      </c>
      <c r="B75">
        <f>IFERROR(__xludf.DUMMYFUNCTION("""COMPUTED_VALUE"""),0.0)</f>
        <v>0</v>
      </c>
      <c r="C75">
        <f>IFERROR(__xludf.DUMMYFUNCTION("""COMPUTED_VALUE"""),0.0)</f>
        <v>0</v>
      </c>
      <c r="D75">
        <f>IFERROR(__xludf.DUMMYFUNCTION("""COMPUTED_VALUE"""),0.0)</f>
        <v>0</v>
      </c>
      <c r="E75">
        <f>IFERROR(__xludf.DUMMYFUNCTION("""COMPUTED_VALUE"""),0.0)</f>
        <v>0</v>
      </c>
      <c r="F75">
        <f>IFERROR(__xludf.DUMMYFUNCTION("""COMPUTED_VALUE"""),0.0)</f>
        <v>0</v>
      </c>
      <c r="G75">
        <f>IFERROR(__xludf.DUMMYFUNCTION("""COMPUTED_VALUE"""),0.0)</f>
        <v>0</v>
      </c>
      <c r="H75">
        <f>IFERROR(__xludf.DUMMYFUNCTION("""COMPUTED_VALUE"""),0.0)</f>
        <v>0</v>
      </c>
      <c r="I75">
        <f>IFERROR(__xludf.DUMMYFUNCTION("""COMPUTED_VALUE"""),3.0)</f>
        <v>3</v>
      </c>
      <c r="J75">
        <f>IFERROR(__xludf.DUMMYFUNCTION("""COMPUTED_VALUE"""),0.0)</f>
        <v>0</v>
      </c>
      <c r="K75">
        <f>IFERROR(__xludf.DUMMYFUNCTION("""COMPUTED_VALUE"""),0.0)</f>
        <v>0</v>
      </c>
      <c r="L75">
        <f>IFERROR(__xludf.DUMMYFUNCTION("""COMPUTED_VALUE"""),0.0)</f>
        <v>0</v>
      </c>
      <c r="M75">
        <f>IFERROR(__xludf.DUMMYFUNCTION("""COMPUTED_VALUE"""),0.0)</f>
        <v>0</v>
      </c>
    </row>
    <row r="76">
      <c r="A76" s="2">
        <v>10.0</v>
      </c>
      <c r="B76">
        <f>IFERROR(__xludf.DUMMYFUNCTION("""COMPUTED_VALUE"""),2.0)</f>
        <v>2</v>
      </c>
      <c r="C76">
        <f>IFERROR(__xludf.DUMMYFUNCTION("""COMPUTED_VALUE"""),4.0)</f>
        <v>4</v>
      </c>
      <c r="D76">
        <f>IFERROR(__xludf.DUMMYFUNCTION("""COMPUTED_VALUE"""),3.0)</f>
        <v>3</v>
      </c>
      <c r="E76">
        <f>IFERROR(__xludf.DUMMYFUNCTION("""COMPUTED_VALUE"""),0.0)</f>
        <v>0</v>
      </c>
      <c r="F76">
        <f>IFERROR(__xludf.DUMMYFUNCTION("""COMPUTED_VALUE"""),0.0)</f>
        <v>0</v>
      </c>
      <c r="G76">
        <f>IFERROR(__xludf.DUMMYFUNCTION("""COMPUTED_VALUE"""),0.0)</f>
        <v>0</v>
      </c>
      <c r="H76">
        <f>IFERROR(__xludf.DUMMYFUNCTION("""COMPUTED_VALUE"""),1.0)</f>
        <v>1</v>
      </c>
      <c r="I76">
        <f>IFERROR(__xludf.DUMMYFUNCTION("""COMPUTED_VALUE"""),5.0)</f>
        <v>5</v>
      </c>
      <c r="J76">
        <f>IFERROR(__xludf.DUMMYFUNCTION("""COMPUTED_VALUE"""),0.0)</f>
        <v>0</v>
      </c>
      <c r="K76">
        <f>IFERROR(__xludf.DUMMYFUNCTION("""COMPUTED_VALUE"""),0.0)</f>
        <v>0</v>
      </c>
      <c r="L76">
        <f>IFERROR(__xludf.DUMMYFUNCTION("""COMPUTED_VALUE"""),0.0)</f>
        <v>0</v>
      </c>
      <c r="M76">
        <f>IFERROR(__xludf.DUMMYFUNCTION("""COMPUTED_VALUE"""),0.0)</f>
        <v>0</v>
      </c>
    </row>
    <row r="77">
      <c r="A77" s="2">
        <v>-5.0</v>
      </c>
      <c r="B77">
        <f>IFERROR(__xludf.DUMMYFUNCTION("""COMPUTED_VALUE"""),0.0)</f>
        <v>0</v>
      </c>
      <c r="C77">
        <f>IFERROR(__xludf.DUMMYFUNCTION("""COMPUTED_VALUE"""),0.0)</f>
        <v>0</v>
      </c>
      <c r="D77">
        <f>IFERROR(__xludf.DUMMYFUNCTION("""COMPUTED_VALUE"""),0.0)</f>
        <v>0</v>
      </c>
      <c r="E77">
        <f>IFERROR(__xludf.DUMMYFUNCTION("""COMPUTED_VALUE"""),0.0)</f>
        <v>0</v>
      </c>
      <c r="F77">
        <f>IFERROR(__xludf.DUMMYFUNCTION("""COMPUTED_VALUE"""),0.0)</f>
        <v>0</v>
      </c>
      <c r="G77">
        <f>IFERROR(__xludf.DUMMYFUNCTION("""COMPUTED_VALUE"""),0.0)</f>
        <v>0</v>
      </c>
      <c r="H77">
        <f>IFERROR(__xludf.DUMMYFUNCTION("""COMPUTED_VALUE"""),3.0)</f>
        <v>3</v>
      </c>
      <c r="I77">
        <f>IFERROR(__xludf.DUMMYFUNCTION("""COMPUTED_VALUE"""),1.0)</f>
        <v>1</v>
      </c>
      <c r="J77">
        <f>IFERROR(__xludf.DUMMYFUNCTION("""COMPUTED_VALUE"""),0.0)</f>
        <v>0</v>
      </c>
      <c r="K77">
        <f>IFERROR(__xludf.DUMMYFUNCTION("""COMPUTED_VALUE"""),0.0)</f>
        <v>0</v>
      </c>
      <c r="L77">
        <f>IFERROR(__xludf.DUMMYFUNCTION("""COMPUTED_VALUE"""),0.0)</f>
        <v>0</v>
      </c>
      <c r="M77">
        <f>IFERROR(__xludf.DUMMYFUNCTION("""COMPUTED_VALUE"""),0.0)</f>
        <v>0</v>
      </c>
    </row>
    <row r="78">
      <c r="A78" s="2" t="s">
        <v>124</v>
      </c>
      <c r="B78">
        <f>IFERROR(__xludf.DUMMYFUNCTION("""COMPUTED_VALUE"""),20.0)</f>
        <v>20</v>
      </c>
      <c r="C78">
        <f>IFERROR(__xludf.DUMMYFUNCTION("""COMPUTED_VALUE"""),40.0)</f>
        <v>40</v>
      </c>
      <c r="D78">
        <f>IFERROR(__xludf.DUMMYFUNCTION("""COMPUTED_VALUE"""),30.0)</f>
        <v>30</v>
      </c>
      <c r="E78">
        <f>IFERROR(__xludf.DUMMYFUNCTION("""COMPUTED_VALUE"""),0.0)</f>
        <v>0</v>
      </c>
      <c r="F78">
        <f>IFERROR(__xludf.DUMMYFUNCTION("""COMPUTED_VALUE"""),0.0)</f>
        <v>0</v>
      </c>
      <c r="G78">
        <f>IFERROR(__xludf.DUMMYFUNCTION("""COMPUTED_VALUE"""),0.0)</f>
        <v>0</v>
      </c>
      <c r="H78">
        <f>IFERROR(__xludf.DUMMYFUNCTION("""COMPUTED_VALUE"""),-5.0)</f>
        <v>-5</v>
      </c>
      <c r="I78">
        <f>IFERROR(__xludf.DUMMYFUNCTION("""COMPUTED_VALUE"""),90.0)</f>
        <v>90</v>
      </c>
      <c r="J78">
        <f>IFERROR(__xludf.DUMMYFUNCTION("""COMPUTED_VALUE"""),0.0)</f>
        <v>0</v>
      </c>
      <c r="K78">
        <f>IFERROR(__xludf.DUMMYFUNCTION("""COMPUTED_VALUE"""),0.0)</f>
        <v>0</v>
      </c>
      <c r="L78">
        <f>IFERROR(__xludf.DUMMYFUNCTION("""COMPUTED_VALUE"""),0.0)</f>
        <v>0</v>
      </c>
      <c r="M78">
        <f>IFERROR(__xludf.DUMMYFUNCTION("""COMPUTED_VALUE"""),0.0)</f>
        <v>0</v>
      </c>
    </row>
    <row r="79">
      <c r="A79" s="6" t="str">
        <f>IFERROR(__xludf.DUMMYFUNCTION("IMPORTRANGE(""1jA96n0qbauznSt6-hkr51AslpxJqfrWgkafVtMV8_xU"",""Round 8!W1"")"),"Question: 21")</f>
        <v>Question: 21</v>
      </c>
      <c r="B79" s="7" t="s">
        <v>143</v>
      </c>
    </row>
    <row r="80">
      <c r="A80" s="6"/>
    </row>
    <row r="81">
      <c r="A81" s="2" t="s">
        <v>145</v>
      </c>
      <c r="B81" t="str">
        <f>IFERROR(__xludf.DUMMYFUNCTION("{IMPORTRANGE(""1xw1EOjVhrK1PNJfOYiUsuJNrlpV53SmfJxYsFFolQ3s"",""Round 8!C1:H3""),IMPORTRANGE(""1xw1EOjVhrK1PNJfOYiUsuJNrlpV53SmfJxYsFFolQ3s"",""Round 8!M1:R3"")}"),"La Serna B (JV)")</f>
        <v>La Serna B (JV)</v>
      </c>
      <c r="C81" t="str">
        <f>IFERROR(__xludf.DUMMYFUNCTION("""COMPUTED_VALUE"""),"")</f>
        <v/>
      </c>
      <c r="D81" t="str">
        <f>IFERROR(__xludf.DUMMYFUNCTION("""COMPUTED_VALUE"""),"")</f>
        <v/>
      </c>
      <c r="E81" t="str">
        <f>IFERROR(__xludf.DUMMYFUNCTION("""COMPUTED_VALUE"""),"")</f>
        <v/>
      </c>
      <c r="F81" t="str">
        <f>IFERROR(__xludf.DUMMYFUNCTION("""COMPUTED_VALUE"""),"")</f>
        <v/>
      </c>
      <c r="G81" t="str">
        <f>IFERROR(__xludf.DUMMYFUNCTION("""COMPUTED_VALUE"""),"")</f>
        <v/>
      </c>
      <c r="H81" t="str">
        <f>IFERROR(__xludf.DUMMYFUNCTION("""COMPUTED_VALUE"""),"Valley Center (JV)")</f>
        <v>Valley Center (JV)</v>
      </c>
      <c r="I81" t="str">
        <f>IFERROR(__xludf.DUMMYFUNCTION("""COMPUTED_VALUE"""),"")</f>
        <v/>
      </c>
      <c r="J81" t="str">
        <f>IFERROR(__xludf.DUMMYFUNCTION("""COMPUTED_VALUE"""),"")</f>
        <v/>
      </c>
      <c r="K81" t="str">
        <f>IFERROR(__xludf.DUMMYFUNCTION("""COMPUTED_VALUE"""),"")</f>
        <v/>
      </c>
      <c r="L81" t="str">
        <f>IFERROR(__xludf.DUMMYFUNCTION("""COMPUTED_VALUE"""),"")</f>
        <v/>
      </c>
      <c r="M81" t="str">
        <f>IFERROR(__xludf.DUMMYFUNCTION("""COMPUTED_VALUE"""),"")</f>
        <v/>
      </c>
    </row>
    <row r="82">
      <c r="A82" s="6" t="str">
        <f>IFERROR(__xludf.DUMMYFUNCTION("CONCAT(""A BP: "",IMPORTRANGE(""1xw1EOjVhrK1PNJfOYiUsuJNrlpV53SmfJxYsFFolQ3s"",""Round 8!I32""))"),"A BP: 40")</f>
        <v>A BP: 40</v>
      </c>
      <c r="B82" t="str">
        <f>IFERROR(__xludf.DUMMYFUNCTION("""COMPUTED_VALUE"""),"Score: 115")</f>
        <v>Score: 115</v>
      </c>
      <c r="C82" t="str">
        <f>IFERROR(__xludf.DUMMYFUNCTION("""COMPUTED_VALUE"""),"")</f>
        <v/>
      </c>
      <c r="D82" t="str">
        <f>IFERROR(__xludf.DUMMYFUNCTION("""COMPUTED_VALUE"""),"")</f>
        <v/>
      </c>
      <c r="E82" t="str">
        <f>IFERROR(__xludf.DUMMYFUNCTION("""COMPUTED_VALUE"""),"")</f>
        <v/>
      </c>
      <c r="F82" t="str">
        <f>IFERROR(__xludf.DUMMYFUNCTION("""COMPUTED_VALUE"""),"")</f>
        <v/>
      </c>
      <c r="G82" t="str">
        <f>IFERROR(__xludf.DUMMYFUNCTION("""COMPUTED_VALUE"""),"")</f>
        <v/>
      </c>
      <c r="H82" t="str">
        <f>IFERROR(__xludf.DUMMYFUNCTION("""COMPUTED_VALUE"""),"Score: 135")</f>
        <v>Score: 135</v>
      </c>
      <c r="I82" t="str">
        <f>IFERROR(__xludf.DUMMYFUNCTION("""COMPUTED_VALUE"""),"")</f>
        <v/>
      </c>
      <c r="J82" t="str">
        <f>IFERROR(__xludf.DUMMYFUNCTION("""COMPUTED_VALUE"""),"")</f>
        <v/>
      </c>
      <c r="K82" t="str">
        <f>IFERROR(__xludf.DUMMYFUNCTION("""COMPUTED_VALUE"""),"")</f>
        <v/>
      </c>
      <c r="L82" t="str">
        <f>IFERROR(__xludf.DUMMYFUNCTION("""COMPUTED_VALUE"""),"")</f>
        <v/>
      </c>
      <c r="M82" t="str">
        <f>IFERROR(__xludf.DUMMYFUNCTION("""COMPUTED_VALUE"""),"")</f>
        <v/>
      </c>
    </row>
    <row r="83">
      <c r="A83" s="6" t="str">
        <f>IFERROR(__xludf.DUMMYFUNCTION("CONCAT(""B BP: "",IMPORTRANGE(""1xw1EOjVhrK1PNJfOYiUsuJNrlpV53SmfJxYsFFolQ3s"",""Round 8!S32""))"),"B BP: 90")</f>
        <v>B BP: 90</v>
      </c>
      <c r="B83" t="str">
        <f>IFERROR(__xludf.DUMMYFUNCTION("""COMPUTED_VALUE"""),"Liz Carrasco (12)")</f>
        <v>Liz Carrasco (12)</v>
      </c>
      <c r="C83" t="str">
        <f>IFERROR(__xludf.DUMMYFUNCTION("""COMPUTED_VALUE"""),"Jerred Casillas (12)")</f>
        <v>Jerred Casillas (12)</v>
      </c>
      <c r="D83" t="str">
        <f>IFERROR(__xludf.DUMMYFUNCTION("""COMPUTED_VALUE"""),"Colin Twisselmann (10)")</f>
        <v>Colin Twisselmann (10)</v>
      </c>
      <c r="E83" t="str">
        <f>IFERROR(__xludf.DUMMYFUNCTION("""COMPUTED_VALUE"""),"Player 4")</f>
        <v>Player 4</v>
      </c>
      <c r="F83" t="str">
        <f>IFERROR(__xludf.DUMMYFUNCTION("""COMPUTED_VALUE"""),"Player 5")</f>
        <v>Player 5</v>
      </c>
      <c r="G83" t="str">
        <f>IFERROR(__xludf.DUMMYFUNCTION("""COMPUTED_VALUE"""),"Player 6")</f>
        <v>Player 6</v>
      </c>
      <c r="H83" t="str">
        <f>IFERROR(__xludf.DUMMYFUNCTION("""COMPUTED_VALUE"""),"Ava Downey (12)")</f>
        <v>Ava Downey (12)</v>
      </c>
      <c r="I83" t="str">
        <f>IFERROR(__xludf.DUMMYFUNCTION("""COMPUTED_VALUE"""),"Mehreen Sing (12)")</f>
        <v>Mehreen Sing (12)</v>
      </c>
      <c r="J83" t="str">
        <f>IFERROR(__xludf.DUMMYFUNCTION("""COMPUTED_VALUE"""),"Aaron Martinez (11)")</f>
        <v>Aaron Martinez (11)</v>
      </c>
      <c r="K83" t="str">
        <f>IFERROR(__xludf.DUMMYFUNCTION("""COMPUTED_VALUE"""),"Leon Thigh (11)")</f>
        <v>Leon Thigh (11)</v>
      </c>
      <c r="L83" t="str">
        <f>IFERROR(__xludf.DUMMYFUNCTION("""COMPUTED_VALUE"""),"Player 5")</f>
        <v>Player 5</v>
      </c>
      <c r="M83" t="str">
        <f>IFERROR(__xludf.DUMMYFUNCTION("""COMPUTED_VALUE"""),"Player 6")</f>
        <v>Player 6</v>
      </c>
    </row>
    <row r="84">
      <c r="A84" s="2" t="s">
        <v>123</v>
      </c>
      <c r="B84">
        <f>IFERROR(__xludf.DUMMYFUNCTION("{IMPORTRANGE(""1xw1EOjVhrK1PNJfOYiUsuJNrlpV53SmfJxYsFFolQ3s"",""Round 8!C32:H36""),IMPORTRANGE(""1xw1EOjVhrK1PNJfOYiUsuJNrlpV53SmfJxYsFFolQ3s"",""Round 8!M32:R36"")}"),20.0)</f>
        <v>20</v>
      </c>
      <c r="C84">
        <f>IFERROR(__xludf.DUMMYFUNCTION("""COMPUTED_VALUE"""),20.0)</f>
        <v>20</v>
      </c>
      <c r="D84">
        <f>IFERROR(__xludf.DUMMYFUNCTION("""COMPUTED_VALUE"""),20.0)</f>
        <v>20</v>
      </c>
      <c r="E84">
        <f>IFERROR(__xludf.DUMMYFUNCTION("""COMPUTED_VALUE"""),20.0)</f>
        <v>20</v>
      </c>
      <c r="F84" t="str">
        <f>IFERROR(__xludf.DUMMYFUNCTION("""COMPUTED_VALUE"""),"")</f>
        <v/>
      </c>
      <c r="G84" t="str">
        <f>IFERROR(__xludf.DUMMYFUNCTION("""COMPUTED_VALUE"""),"")</f>
        <v/>
      </c>
      <c r="H84">
        <f>IFERROR(__xludf.DUMMYFUNCTION("""COMPUTED_VALUE"""),20.0)</f>
        <v>20</v>
      </c>
      <c r="I84">
        <f>IFERROR(__xludf.DUMMYFUNCTION("""COMPUTED_VALUE"""),20.0)</f>
        <v>20</v>
      </c>
      <c r="J84">
        <f>IFERROR(__xludf.DUMMYFUNCTION("""COMPUTED_VALUE"""),20.0)</f>
        <v>20</v>
      </c>
      <c r="K84">
        <f>IFERROR(__xludf.DUMMYFUNCTION("""COMPUTED_VALUE"""),20.0)</f>
        <v>20</v>
      </c>
      <c r="L84" t="str">
        <f>IFERROR(__xludf.DUMMYFUNCTION("""COMPUTED_VALUE"""),"")</f>
        <v/>
      </c>
      <c r="M84" t="str">
        <f>IFERROR(__xludf.DUMMYFUNCTION("""COMPUTED_VALUE"""),"")</f>
        <v/>
      </c>
    </row>
    <row r="85">
      <c r="A85" s="2">
        <v>15.0</v>
      </c>
      <c r="B85">
        <f>IFERROR(__xludf.DUMMYFUNCTION("""COMPUTED_VALUE"""),0.0)</f>
        <v>0</v>
      </c>
      <c r="C85">
        <f>IFERROR(__xludf.DUMMYFUNCTION("""COMPUTED_VALUE"""),0.0)</f>
        <v>0</v>
      </c>
      <c r="D85">
        <f>IFERROR(__xludf.DUMMYFUNCTION("""COMPUTED_VALUE"""),0.0)</f>
        <v>0</v>
      </c>
      <c r="E85">
        <f>IFERROR(__xludf.DUMMYFUNCTION("""COMPUTED_VALUE"""),0.0)</f>
        <v>0</v>
      </c>
      <c r="F85">
        <f>IFERROR(__xludf.DUMMYFUNCTION("""COMPUTED_VALUE"""),0.0)</f>
        <v>0</v>
      </c>
      <c r="G85">
        <f>IFERROR(__xludf.DUMMYFUNCTION("""COMPUTED_VALUE"""),0.0)</f>
        <v>0</v>
      </c>
      <c r="H85">
        <f>IFERROR(__xludf.DUMMYFUNCTION("""COMPUTED_VALUE"""),0.0)</f>
        <v>0</v>
      </c>
      <c r="I85">
        <f>IFERROR(__xludf.DUMMYFUNCTION("""COMPUTED_VALUE"""),0.0)</f>
        <v>0</v>
      </c>
      <c r="J85">
        <f>IFERROR(__xludf.DUMMYFUNCTION("""COMPUTED_VALUE"""),0.0)</f>
        <v>0</v>
      </c>
      <c r="K85">
        <f>IFERROR(__xludf.DUMMYFUNCTION("""COMPUTED_VALUE"""),0.0)</f>
        <v>0</v>
      </c>
      <c r="L85">
        <f>IFERROR(__xludf.DUMMYFUNCTION("""COMPUTED_VALUE"""),0.0)</f>
        <v>0</v>
      </c>
      <c r="M85">
        <f>IFERROR(__xludf.DUMMYFUNCTION("""COMPUTED_VALUE"""),0.0)</f>
        <v>0</v>
      </c>
    </row>
    <row r="86">
      <c r="A86" s="2">
        <v>10.0</v>
      </c>
      <c r="B86">
        <f>IFERROR(__xludf.DUMMYFUNCTION("""COMPUTED_VALUE"""),3.0)</f>
        <v>3</v>
      </c>
      <c r="C86">
        <f>IFERROR(__xludf.DUMMYFUNCTION("""COMPUTED_VALUE"""),0.0)</f>
        <v>0</v>
      </c>
      <c r="D86">
        <f>IFERROR(__xludf.DUMMYFUNCTION("""COMPUTED_VALUE"""),5.0)</f>
        <v>5</v>
      </c>
      <c r="E86">
        <f>IFERROR(__xludf.DUMMYFUNCTION("""COMPUTED_VALUE"""),0.0)</f>
        <v>0</v>
      </c>
      <c r="F86">
        <f>IFERROR(__xludf.DUMMYFUNCTION("""COMPUTED_VALUE"""),0.0)</f>
        <v>0</v>
      </c>
      <c r="G86">
        <f>IFERROR(__xludf.DUMMYFUNCTION("""COMPUTED_VALUE"""),0.0)</f>
        <v>0</v>
      </c>
      <c r="H86">
        <f>IFERROR(__xludf.DUMMYFUNCTION("""COMPUTED_VALUE"""),0.0)</f>
        <v>0</v>
      </c>
      <c r="I86">
        <f>IFERROR(__xludf.DUMMYFUNCTION("""COMPUTED_VALUE"""),0.0)</f>
        <v>0</v>
      </c>
      <c r="J86">
        <f>IFERROR(__xludf.DUMMYFUNCTION("""COMPUTED_VALUE"""),5.0)</f>
        <v>5</v>
      </c>
      <c r="K86">
        <f>IFERROR(__xludf.DUMMYFUNCTION("""COMPUTED_VALUE"""),0.0)</f>
        <v>0</v>
      </c>
      <c r="L86">
        <f>IFERROR(__xludf.DUMMYFUNCTION("""COMPUTED_VALUE"""),0.0)</f>
        <v>0</v>
      </c>
      <c r="M86">
        <f>IFERROR(__xludf.DUMMYFUNCTION("""COMPUTED_VALUE"""),0.0)</f>
        <v>0</v>
      </c>
    </row>
    <row r="87">
      <c r="A87" s="2">
        <v>-5.0</v>
      </c>
      <c r="B87">
        <f>IFERROR(__xludf.DUMMYFUNCTION("""COMPUTED_VALUE"""),0.0)</f>
        <v>0</v>
      </c>
      <c r="C87">
        <f>IFERROR(__xludf.DUMMYFUNCTION("""COMPUTED_VALUE"""),0.0)</f>
        <v>0</v>
      </c>
      <c r="D87">
        <f>IFERROR(__xludf.DUMMYFUNCTION("""COMPUTED_VALUE"""),1.0)</f>
        <v>1</v>
      </c>
      <c r="E87">
        <f>IFERROR(__xludf.DUMMYFUNCTION("""COMPUTED_VALUE"""),0.0)</f>
        <v>0</v>
      </c>
      <c r="F87">
        <f>IFERROR(__xludf.DUMMYFUNCTION("""COMPUTED_VALUE"""),0.0)</f>
        <v>0</v>
      </c>
      <c r="G87">
        <f>IFERROR(__xludf.DUMMYFUNCTION("""COMPUTED_VALUE"""),0.0)</f>
        <v>0</v>
      </c>
      <c r="H87">
        <f>IFERROR(__xludf.DUMMYFUNCTION("""COMPUTED_VALUE"""),1.0)</f>
        <v>1</v>
      </c>
      <c r="I87">
        <f>IFERROR(__xludf.DUMMYFUNCTION("""COMPUTED_VALUE"""),0.0)</f>
        <v>0</v>
      </c>
      <c r="J87">
        <f>IFERROR(__xludf.DUMMYFUNCTION("""COMPUTED_VALUE"""),0.0)</f>
        <v>0</v>
      </c>
      <c r="K87">
        <f>IFERROR(__xludf.DUMMYFUNCTION("""COMPUTED_VALUE"""),0.0)</f>
        <v>0</v>
      </c>
      <c r="L87">
        <f>IFERROR(__xludf.DUMMYFUNCTION("""COMPUTED_VALUE"""),0.0)</f>
        <v>0</v>
      </c>
      <c r="M87">
        <f>IFERROR(__xludf.DUMMYFUNCTION("""COMPUTED_VALUE"""),0.0)</f>
        <v>0</v>
      </c>
    </row>
    <row r="88">
      <c r="A88" s="2" t="s">
        <v>124</v>
      </c>
      <c r="B88">
        <f>IFERROR(__xludf.DUMMYFUNCTION("""COMPUTED_VALUE"""),30.0)</f>
        <v>30</v>
      </c>
      <c r="C88">
        <f>IFERROR(__xludf.DUMMYFUNCTION("""COMPUTED_VALUE"""),0.0)</f>
        <v>0</v>
      </c>
      <c r="D88">
        <f>IFERROR(__xludf.DUMMYFUNCTION("""COMPUTED_VALUE"""),45.0)</f>
        <v>45</v>
      </c>
      <c r="E88">
        <f>IFERROR(__xludf.DUMMYFUNCTION("""COMPUTED_VALUE"""),0.0)</f>
        <v>0</v>
      </c>
      <c r="F88">
        <f>IFERROR(__xludf.DUMMYFUNCTION("""COMPUTED_VALUE"""),0.0)</f>
        <v>0</v>
      </c>
      <c r="G88">
        <f>IFERROR(__xludf.DUMMYFUNCTION("""COMPUTED_VALUE"""),0.0)</f>
        <v>0</v>
      </c>
      <c r="H88">
        <f>IFERROR(__xludf.DUMMYFUNCTION("""COMPUTED_VALUE"""),-5.0)</f>
        <v>-5</v>
      </c>
      <c r="I88">
        <f>IFERROR(__xludf.DUMMYFUNCTION("""COMPUTED_VALUE"""),0.0)</f>
        <v>0</v>
      </c>
      <c r="J88">
        <f>IFERROR(__xludf.DUMMYFUNCTION("""COMPUTED_VALUE"""),50.0)</f>
        <v>50</v>
      </c>
      <c r="K88">
        <f>IFERROR(__xludf.DUMMYFUNCTION("""COMPUTED_VALUE"""),0.0)</f>
        <v>0</v>
      </c>
      <c r="L88">
        <f>IFERROR(__xludf.DUMMYFUNCTION("""COMPUTED_VALUE"""),0.0)</f>
        <v>0</v>
      </c>
      <c r="M88">
        <f>IFERROR(__xludf.DUMMYFUNCTION("""COMPUTED_VALUE"""),0.0)</f>
        <v>0</v>
      </c>
    </row>
    <row r="89">
      <c r="A89" s="6" t="str">
        <f>IFERROR(__xludf.DUMMYFUNCTION("IMPORTRANGE(""1xw1EOjVhrK1PNJfOYiUsuJNrlpV53SmfJxYsFFolQ3s"",""Round 8!W1"")"),"Question: 19")</f>
        <v>Question: 19</v>
      </c>
      <c r="B89" s="7" t="s">
        <v>146</v>
      </c>
    </row>
    <row r="90">
      <c r="A90" s="6"/>
    </row>
    <row r="91">
      <c r="A91" s="2" t="s">
        <v>147</v>
      </c>
      <c r="B91" t="str">
        <f>IFERROR(__xludf.DUMMYFUNCTION("{IMPORTRANGE(""15wOrdFuJAb1a4MoX5CG4apiBD2jUJ7mBu58Uk-8Mo7s"",""Round 8!C1:H3""),IMPORTRANGE(""15wOrdFuJAb1a4MoX5CG4apiBD2jUJ7mBu58Uk-8Mo7s"",""Round 8!M1:R3"")}"),"Team A")</f>
        <v>Team A</v>
      </c>
      <c r="C91" t="str">
        <f>IFERROR(__xludf.DUMMYFUNCTION("""COMPUTED_VALUE"""),"")</f>
        <v/>
      </c>
      <c r="D91" t="str">
        <f>IFERROR(__xludf.DUMMYFUNCTION("""COMPUTED_VALUE"""),"")</f>
        <v/>
      </c>
      <c r="E91" t="str">
        <f>IFERROR(__xludf.DUMMYFUNCTION("""COMPUTED_VALUE"""),"")</f>
        <v/>
      </c>
      <c r="F91" t="str">
        <f>IFERROR(__xludf.DUMMYFUNCTION("""COMPUTED_VALUE"""),"")</f>
        <v/>
      </c>
      <c r="G91" t="str">
        <f>IFERROR(__xludf.DUMMYFUNCTION("""COMPUTED_VALUE"""),"")</f>
        <v/>
      </c>
      <c r="H91" t="str">
        <f>IFERROR(__xludf.DUMMYFUNCTION("""COMPUTED_VALUE"""),"Team B")</f>
        <v>Team B</v>
      </c>
      <c r="I91" t="str">
        <f>IFERROR(__xludf.DUMMYFUNCTION("""COMPUTED_VALUE"""),"")</f>
        <v/>
      </c>
      <c r="J91" t="str">
        <f>IFERROR(__xludf.DUMMYFUNCTION("""COMPUTED_VALUE"""),"")</f>
        <v/>
      </c>
      <c r="K91" t="str">
        <f>IFERROR(__xludf.DUMMYFUNCTION("""COMPUTED_VALUE"""),"")</f>
        <v/>
      </c>
      <c r="L91" t="str">
        <f>IFERROR(__xludf.DUMMYFUNCTION("""COMPUTED_VALUE"""),"")</f>
        <v/>
      </c>
      <c r="M91" t="str">
        <f>IFERROR(__xludf.DUMMYFUNCTION("""COMPUTED_VALUE"""),"")</f>
        <v/>
      </c>
    </row>
    <row r="92">
      <c r="A92" s="6" t="str">
        <f>IFERROR(__xludf.DUMMYFUNCTION("CONCAT(""A BP: "",IMPORTRANGE(""15wOrdFuJAb1a4MoX5CG4apiBD2jUJ7mBu58Uk-8Mo7s"",""Round 8!I32""))"),"A BP: 0")</f>
        <v>A BP: 0</v>
      </c>
      <c r="B92" t="str">
        <f>IFERROR(__xludf.DUMMYFUNCTION("""COMPUTED_VALUE"""),"Score: 0")</f>
        <v>Score: 0</v>
      </c>
      <c r="C92" t="str">
        <f>IFERROR(__xludf.DUMMYFUNCTION("""COMPUTED_VALUE"""),"")</f>
        <v/>
      </c>
      <c r="D92" t="str">
        <f>IFERROR(__xludf.DUMMYFUNCTION("""COMPUTED_VALUE"""),"")</f>
        <v/>
      </c>
      <c r="E92" t="str">
        <f>IFERROR(__xludf.DUMMYFUNCTION("""COMPUTED_VALUE"""),"")</f>
        <v/>
      </c>
      <c r="F92" t="str">
        <f>IFERROR(__xludf.DUMMYFUNCTION("""COMPUTED_VALUE"""),"")</f>
        <v/>
      </c>
      <c r="G92" t="str">
        <f>IFERROR(__xludf.DUMMYFUNCTION("""COMPUTED_VALUE"""),"")</f>
        <v/>
      </c>
      <c r="H92" t="str">
        <f>IFERROR(__xludf.DUMMYFUNCTION("""COMPUTED_VALUE"""),"Score: 0")</f>
        <v>Score: 0</v>
      </c>
      <c r="I92" t="str">
        <f>IFERROR(__xludf.DUMMYFUNCTION("""COMPUTED_VALUE"""),"")</f>
        <v/>
      </c>
      <c r="J92" t="str">
        <f>IFERROR(__xludf.DUMMYFUNCTION("""COMPUTED_VALUE"""),"")</f>
        <v/>
      </c>
      <c r="K92" t="str">
        <f>IFERROR(__xludf.DUMMYFUNCTION("""COMPUTED_VALUE"""),"")</f>
        <v/>
      </c>
      <c r="L92" t="str">
        <f>IFERROR(__xludf.DUMMYFUNCTION("""COMPUTED_VALUE"""),"")</f>
        <v/>
      </c>
      <c r="M92" t="str">
        <f>IFERROR(__xludf.DUMMYFUNCTION("""COMPUTED_VALUE"""),"")</f>
        <v/>
      </c>
    </row>
    <row r="93">
      <c r="A93" s="6" t="str">
        <f>IFERROR(__xludf.DUMMYFUNCTION("CONCAT(""B BP: "",IMPORTRANGE(""15wOrdFuJAb1a4MoX5CG4apiBD2jUJ7mBu58Uk-8Mo7s"",""Round 8!S32""))"),"B BP: 0")</f>
        <v>B BP: 0</v>
      </c>
      <c r="B93" t="str">
        <f>IFERROR(__xludf.DUMMYFUNCTION("""COMPUTED_VALUE"""),"Player 1")</f>
        <v>Player 1</v>
      </c>
      <c r="C93" t="str">
        <f>IFERROR(__xludf.DUMMYFUNCTION("""COMPUTED_VALUE"""),"Player 2")</f>
        <v>Player 2</v>
      </c>
      <c r="D93" t="str">
        <f>IFERROR(__xludf.DUMMYFUNCTION("""COMPUTED_VALUE"""),"Player 3")</f>
        <v>Player 3</v>
      </c>
      <c r="E93" t="str">
        <f>IFERROR(__xludf.DUMMYFUNCTION("""COMPUTED_VALUE"""),"Player 4")</f>
        <v>Player 4</v>
      </c>
      <c r="F93" t="str">
        <f>IFERROR(__xludf.DUMMYFUNCTION("""COMPUTED_VALUE"""),"Player 5")</f>
        <v>Player 5</v>
      </c>
      <c r="G93" t="str">
        <f>IFERROR(__xludf.DUMMYFUNCTION("""COMPUTED_VALUE"""),"Player 6")</f>
        <v>Player 6</v>
      </c>
      <c r="H93" t="str">
        <f>IFERROR(__xludf.DUMMYFUNCTION("""COMPUTED_VALUE"""),"Player 1")</f>
        <v>Player 1</v>
      </c>
      <c r="I93" t="str">
        <f>IFERROR(__xludf.DUMMYFUNCTION("""COMPUTED_VALUE"""),"Player 2")</f>
        <v>Player 2</v>
      </c>
      <c r="J93" t="str">
        <f>IFERROR(__xludf.DUMMYFUNCTION("""COMPUTED_VALUE"""),"Player 3")</f>
        <v>Player 3</v>
      </c>
      <c r="K93" t="str">
        <f>IFERROR(__xludf.DUMMYFUNCTION("""COMPUTED_VALUE"""),"Player 4")</f>
        <v>Player 4</v>
      </c>
      <c r="L93" t="str">
        <f>IFERROR(__xludf.DUMMYFUNCTION("""COMPUTED_VALUE"""),"Player 5")</f>
        <v>Player 5</v>
      </c>
      <c r="M93" t="str">
        <f>IFERROR(__xludf.DUMMYFUNCTION("""COMPUTED_VALUE"""),"Player 6")</f>
        <v>Player 6</v>
      </c>
    </row>
    <row r="94">
      <c r="A94" s="2" t="s">
        <v>123</v>
      </c>
      <c r="B94">
        <f>IFERROR(__xludf.DUMMYFUNCTION("{IMPORTRANGE(""15wOrdFuJAb1a4MoX5CG4apiBD2jUJ7mBu58Uk-8Mo7s"",""Round 8!C32:H36""),IMPORTRANGE(""15wOrdFuJAb1a4MoX5CG4apiBD2jUJ7mBu58Uk-8Mo7s"",""Round 8!M32:R36"")}"),20.0)</f>
        <v>20</v>
      </c>
      <c r="C94">
        <f>IFERROR(__xludf.DUMMYFUNCTION("""COMPUTED_VALUE"""),20.0)</f>
        <v>20</v>
      </c>
      <c r="D94">
        <f>IFERROR(__xludf.DUMMYFUNCTION("""COMPUTED_VALUE"""),20.0)</f>
        <v>20</v>
      </c>
      <c r="E94">
        <f>IFERROR(__xludf.DUMMYFUNCTION("""COMPUTED_VALUE"""),20.0)</f>
        <v>20</v>
      </c>
      <c r="F94" t="str">
        <f>IFERROR(__xludf.DUMMYFUNCTION("""COMPUTED_VALUE"""),"")</f>
        <v/>
      </c>
      <c r="G94" t="str">
        <f>IFERROR(__xludf.DUMMYFUNCTION("""COMPUTED_VALUE"""),"")</f>
        <v/>
      </c>
      <c r="H94">
        <f>IFERROR(__xludf.DUMMYFUNCTION("""COMPUTED_VALUE"""),20.0)</f>
        <v>20</v>
      </c>
      <c r="I94">
        <f>IFERROR(__xludf.DUMMYFUNCTION("""COMPUTED_VALUE"""),20.0)</f>
        <v>20</v>
      </c>
      <c r="J94">
        <f>IFERROR(__xludf.DUMMYFUNCTION("""COMPUTED_VALUE"""),20.0)</f>
        <v>20</v>
      </c>
      <c r="K94">
        <f>IFERROR(__xludf.DUMMYFUNCTION("""COMPUTED_VALUE"""),20.0)</f>
        <v>20</v>
      </c>
      <c r="L94" t="str">
        <f>IFERROR(__xludf.DUMMYFUNCTION("""COMPUTED_VALUE"""),"")</f>
        <v/>
      </c>
      <c r="M94" t="str">
        <f>IFERROR(__xludf.DUMMYFUNCTION("""COMPUTED_VALUE"""),"")</f>
        <v/>
      </c>
    </row>
    <row r="95">
      <c r="A95" s="2">
        <v>15.0</v>
      </c>
      <c r="B95">
        <f>IFERROR(__xludf.DUMMYFUNCTION("""COMPUTED_VALUE"""),0.0)</f>
        <v>0</v>
      </c>
      <c r="C95">
        <f>IFERROR(__xludf.DUMMYFUNCTION("""COMPUTED_VALUE"""),0.0)</f>
        <v>0</v>
      </c>
      <c r="D95">
        <f>IFERROR(__xludf.DUMMYFUNCTION("""COMPUTED_VALUE"""),0.0)</f>
        <v>0</v>
      </c>
      <c r="E95">
        <f>IFERROR(__xludf.DUMMYFUNCTION("""COMPUTED_VALUE"""),0.0)</f>
        <v>0</v>
      </c>
      <c r="F95">
        <f>IFERROR(__xludf.DUMMYFUNCTION("""COMPUTED_VALUE"""),0.0)</f>
        <v>0</v>
      </c>
      <c r="G95">
        <f>IFERROR(__xludf.DUMMYFUNCTION("""COMPUTED_VALUE"""),0.0)</f>
        <v>0</v>
      </c>
      <c r="H95">
        <f>IFERROR(__xludf.DUMMYFUNCTION("""COMPUTED_VALUE"""),0.0)</f>
        <v>0</v>
      </c>
      <c r="I95">
        <f>IFERROR(__xludf.DUMMYFUNCTION("""COMPUTED_VALUE"""),0.0)</f>
        <v>0</v>
      </c>
      <c r="J95">
        <f>IFERROR(__xludf.DUMMYFUNCTION("""COMPUTED_VALUE"""),0.0)</f>
        <v>0</v>
      </c>
      <c r="K95">
        <f>IFERROR(__xludf.DUMMYFUNCTION("""COMPUTED_VALUE"""),0.0)</f>
        <v>0</v>
      </c>
      <c r="L95">
        <f>IFERROR(__xludf.DUMMYFUNCTION("""COMPUTED_VALUE"""),0.0)</f>
        <v>0</v>
      </c>
      <c r="M95">
        <f>IFERROR(__xludf.DUMMYFUNCTION("""COMPUTED_VALUE"""),0.0)</f>
        <v>0</v>
      </c>
    </row>
    <row r="96">
      <c r="A96" s="2">
        <v>10.0</v>
      </c>
      <c r="B96">
        <f>IFERROR(__xludf.DUMMYFUNCTION("""COMPUTED_VALUE"""),0.0)</f>
        <v>0</v>
      </c>
      <c r="C96">
        <f>IFERROR(__xludf.DUMMYFUNCTION("""COMPUTED_VALUE"""),0.0)</f>
        <v>0</v>
      </c>
      <c r="D96">
        <f>IFERROR(__xludf.DUMMYFUNCTION("""COMPUTED_VALUE"""),0.0)</f>
        <v>0</v>
      </c>
      <c r="E96">
        <f>IFERROR(__xludf.DUMMYFUNCTION("""COMPUTED_VALUE"""),0.0)</f>
        <v>0</v>
      </c>
      <c r="F96">
        <f>IFERROR(__xludf.DUMMYFUNCTION("""COMPUTED_VALUE"""),0.0)</f>
        <v>0</v>
      </c>
      <c r="G96">
        <f>IFERROR(__xludf.DUMMYFUNCTION("""COMPUTED_VALUE"""),0.0)</f>
        <v>0</v>
      </c>
      <c r="H96">
        <f>IFERROR(__xludf.DUMMYFUNCTION("""COMPUTED_VALUE"""),0.0)</f>
        <v>0</v>
      </c>
      <c r="I96">
        <f>IFERROR(__xludf.DUMMYFUNCTION("""COMPUTED_VALUE"""),0.0)</f>
        <v>0</v>
      </c>
      <c r="J96">
        <f>IFERROR(__xludf.DUMMYFUNCTION("""COMPUTED_VALUE"""),0.0)</f>
        <v>0</v>
      </c>
      <c r="K96">
        <f>IFERROR(__xludf.DUMMYFUNCTION("""COMPUTED_VALUE"""),0.0)</f>
        <v>0</v>
      </c>
      <c r="L96">
        <f>IFERROR(__xludf.DUMMYFUNCTION("""COMPUTED_VALUE"""),0.0)</f>
        <v>0</v>
      </c>
      <c r="M96">
        <f>IFERROR(__xludf.DUMMYFUNCTION("""COMPUTED_VALUE"""),0.0)</f>
        <v>0</v>
      </c>
    </row>
    <row r="97">
      <c r="A97" s="2">
        <v>-5.0</v>
      </c>
      <c r="B97">
        <f>IFERROR(__xludf.DUMMYFUNCTION("""COMPUTED_VALUE"""),0.0)</f>
        <v>0</v>
      </c>
      <c r="C97">
        <f>IFERROR(__xludf.DUMMYFUNCTION("""COMPUTED_VALUE"""),0.0)</f>
        <v>0</v>
      </c>
      <c r="D97">
        <f>IFERROR(__xludf.DUMMYFUNCTION("""COMPUTED_VALUE"""),0.0)</f>
        <v>0</v>
      </c>
      <c r="E97">
        <f>IFERROR(__xludf.DUMMYFUNCTION("""COMPUTED_VALUE"""),0.0)</f>
        <v>0</v>
      </c>
      <c r="F97">
        <f>IFERROR(__xludf.DUMMYFUNCTION("""COMPUTED_VALUE"""),0.0)</f>
        <v>0</v>
      </c>
      <c r="G97">
        <f>IFERROR(__xludf.DUMMYFUNCTION("""COMPUTED_VALUE"""),0.0)</f>
        <v>0</v>
      </c>
      <c r="H97">
        <f>IFERROR(__xludf.DUMMYFUNCTION("""COMPUTED_VALUE"""),0.0)</f>
        <v>0</v>
      </c>
      <c r="I97">
        <f>IFERROR(__xludf.DUMMYFUNCTION("""COMPUTED_VALUE"""),0.0)</f>
        <v>0</v>
      </c>
      <c r="J97">
        <f>IFERROR(__xludf.DUMMYFUNCTION("""COMPUTED_VALUE"""),0.0)</f>
        <v>0</v>
      </c>
      <c r="K97">
        <f>IFERROR(__xludf.DUMMYFUNCTION("""COMPUTED_VALUE"""),0.0)</f>
        <v>0</v>
      </c>
      <c r="L97">
        <f>IFERROR(__xludf.DUMMYFUNCTION("""COMPUTED_VALUE"""),0.0)</f>
        <v>0</v>
      </c>
      <c r="M97">
        <f>IFERROR(__xludf.DUMMYFUNCTION("""COMPUTED_VALUE"""),0.0)</f>
        <v>0</v>
      </c>
    </row>
    <row r="98">
      <c r="A98" s="2" t="s">
        <v>124</v>
      </c>
      <c r="B98">
        <f>IFERROR(__xludf.DUMMYFUNCTION("""COMPUTED_VALUE"""),0.0)</f>
        <v>0</v>
      </c>
      <c r="C98">
        <f>IFERROR(__xludf.DUMMYFUNCTION("""COMPUTED_VALUE"""),0.0)</f>
        <v>0</v>
      </c>
      <c r="D98">
        <f>IFERROR(__xludf.DUMMYFUNCTION("""COMPUTED_VALUE"""),0.0)</f>
        <v>0</v>
      </c>
      <c r="E98">
        <f>IFERROR(__xludf.DUMMYFUNCTION("""COMPUTED_VALUE"""),0.0)</f>
        <v>0</v>
      </c>
      <c r="F98">
        <f>IFERROR(__xludf.DUMMYFUNCTION("""COMPUTED_VALUE"""),0.0)</f>
        <v>0</v>
      </c>
      <c r="G98">
        <f>IFERROR(__xludf.DUMMYFUNCTION("""COMPUTED_VALUE"""),0.0)</f>
        <v>0</v>
      </c>
      <c r="H98">
        <f>IFERROR(__xludf.DUMMYFUNCTION("""COMPUTED_VALUE"""),0.0)</f>
        <v>0</v>
      </c>
      <c r="I98">
        <f>IFERROR(__xludf.DUMMYFUNCTION("""COMPUTED_VALUE"""),0.0)</f>
        <v>0</v>
      </c>
      <c r="J98">
        <f>IFERROR(__xludf.DUMMYFUNCTION("""COMPUTED_VALUE"""),0.0)</f>
        <v>0</v>
      </c>
      <c r="K98">
        <f>IFERROR(__xludf.DUMMYFUNCTION("""COMPUTED_VALUE"""),0.0)</f>
        <v>0</v>
      </c>
      <c r="L98">
        <f>IFERROR(__xludf.DUMMYFUNCTION("""COMPUTED_VALUE"""),0.0)</f>
        <v>0</v>
      </c>
      <c r="M98">
        <f>IFERROR(__xludf.DUMMYFUNCTION("""COMPUTED_VALUE"""),0.0)</f>
        <v>0</v>
      </c>
    </row>
    <row r="99">
      <c r="A99" s="6" t="str">
        <f>IFERROR(__xludf.DUMMYFUNCTION("IMPORTRANGE(""15wOrdFuJAb1a4MoX5CG4apiBD2jUJ7mBu58Uk-8Mo7s"",""Round 8!W1"")"),"Question: 1")</f>
        <v>Question: 1</v>
      </c>
      <c r="B99" s="7" t="s">
        <v>148</v>
      </c>
    </row>
    <row r="100">
      <c r="A100" s="6"/>
    </row>
    <row r="101">
      <c r="A101" s="2" t="s">
        <v>149</v>
      </c>
      <c r="B101" t="str">
        <f>IFERROR(__xludf.DUMMYFUNCTION("{IMPORTRANGE(""1GfJqS1rsy-VutTmPVnm9E2VdinIG-GnQO5b3bhaiX1s"",""Round 8!C1:H3""),IMPORTRANGE(""1GfJqS1rsy-VutTmPVnm9E2VdinIG-GnQO5b3bhaiX1s"",""Round 8!M1:R3"")}"),"Team A")</f>
        <v>Team A</v>
      </c>
      <c r="C101" t="str">
        <f>IFERROR(__xludf.DUMMYFUNCTION("""COMPUTED_VALUE"""),"")</f>
        <v/>
      </c>
      <c r="D101" t="str">
        <f>IFERROR(__xludf.DUMMYFUNCTION("""COMPUTED_VALUE"""),"")</f>
        <v/>
      </c>
      <c r="E101" t="str">
        <f>IFERROR(__xludf.DUMMYFUNCTION("""COMPUTED_VALUE"""),"")</f>
        <v/>
      </c>
      <c r="F101" t="str">
        <f>IFERROR(__xludf.DUMMYFUNCTION("""COMPUTED_VALUE"""),"")</f>
        <v/>
      </c>
      <c r="G101" t="str">
        <f>IFERROR(__xludf.DUMMYFUNCTION("""COMPUTED_VALUE"""),"")</f>
        <v/>
      </c>
      <c r="H101" t="str">
        <f>IFERROR(__xludf.DUMMYFUNCTION("""COMPUTED_VALUE"""),"Team B")</f>
        <v>Team B</v>
      </c>
      <c r="I101" t="str">
        <f>IFERROR(__xludf.DUMMYFUNCTION("""COMPUTED_VALUE"""),"")</f>
        <v/>
      </c>
      <c r="J101" t="str">
        <f>IFERROR(__xludf.DUMMYFUNCTION("""COMPUTED_VALUE"""),"")</f>
        <v/>
      </c>
      <c r="K101" t="str">
        <f>IFERROR(__xludf.DUMMYFUNCTION("""COMPUTED_VALUE"""),"")</f>
        <v/>
      </c>
      <c r="L101" t="str">
        <f>IFERROR(__xludf.DUMMYFUNCTION("""COMPUTED_VALUE"""),"")</f>
        <v/>
      </c>
      <c r="M101" t="str">
        <f>IFERROR(__xludf.DUMMYFUNCTION("""COMPUTED_VALUE"""),"")</f>
        <v/>
      </c>
    </row>
    <row r="102">
      <c r="A102" s="6" t="str">
        <f>IFERROR(__xludf.DUMMYFUNCTION("CONCAT(""A BP: "",IMPORTRANGE(""1GfJqS1rsy-VutTmPVnm9E2VdinIG-GnQO5b3bhaiX1s"",""Round 8!I32""))"),"A BP: 0")</f>
        <v>A BP: 0</v>
      </c>
      <c r="B102" t="str">
        <f>IFERROR(__xludf.DUMMYFUNCTION("""COMPUTED_VALUE"""),"Score: 0")</f>
        <v>Score: 0</v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IFERROR(__xludf.DUMMYFUNCTION("""COMPUTED_VALUE"""),"Score: 0")</f>
        <v>Score: 0</v>
      </c>
      <c r="I102" t="str">
        <f>IFERROR(__xludf.DUMMYFUNCTION("""COMPUTED_VALUE"""),"")</f>
        <v/>
      </c>
      <c r="J102" t="str">
        <f>IFERROR(__xludf.DUMMYFUNCTION("""COMPUTED_VALUE"""),"")</f>
        <v/>
      </c>
      <c r="K102" t="str">
        <f>IFERROR(__xludf.DUMMYFUNCTION("""COMPUTED_VALUE"""),"")</f>
        <v/>
      </c>
      <c r="L102" t="str">
        <f>IFERROR(__xludf.DUMMYFUNCTION("""COMPUTED_VALUE"""),"")</f>
        <v/>
      </c>
      <c r="M102" t="str">
        <f>IFERROR(__xludf.DUMMYFUNCTION("""COMPUTED_VALUE"""),"")</f>
        <v/>
      </c>
    </row>
    <row r="103">
      <c r="A103" s="6" t="str">
        <f>IFERROR(__xludf.DUMMYFUNCTION("CONCAT(""B BP: "",IMPORTRANGE(""1GfJqS1rsy-VutTmPVnm9E2VdinIG-GnQO5b3bhaiX1s"",""Round 8!S32""))"),"B BP: 0")</f>
        <v>B BP: 0</v>
      </c>
      <c r="B103" t="str">
        <f>IFERROR(__xludf.DUMMYFUNCTION("""COMPUTED_VALUE"""),"Player 1")</f>
        <v>Player 1</v>
      </c>
      <c r="C103" t="str">
        <f>IFERROR(__xludf.DUMMYFUNCTION("""COMPUTED_VALUE"""),"Player 2")</f>
        <v>Player 2</v>
      </c>
      <c r="D103" t="str">
        <f>IFERROR(__xludf.DUMMYFUNCTION("""COMPUTED_VALUE"""),"Player 3")</f>
        <v>Player 3</v>
      </c>
      <c r="E103" t="str">
        <f>IFERROR(__xludf.DUMMYFUNCTION("""COMPUTED_VALUE"""),"Player 4")</f>
        <v>Player 4</v>
      </c>
      <c r="F103" t="str">
        <f>IFERROR(__xludf.DUMMYFUNCTION("""COMPUTED_VALUE"""),"Player 5")</f>
        <v>Player 5</v>
      </c>
      <c r="G103" t="str">
        <f>IFERROR(__xludf.DUMMYFUNCTION("""COMPUTED_VALUE"""),"Player 6")</f>
        <v>Player 6</v>
      </c>
      <c r="H103" t="str">
        <f>IFERROR(__xludf.DUMMYFUNCTION("""COMPUTED_VALUE"""),"Player 1")</f>
        <v>Player 1</v>
      </c>
      <c r="I103" t="str">
        <f>IFERROR(__xludf.DUMMYFUNCTION("""COMPUTED_VALUE"""),"Player 2")</f>
        <v>Player 2</v>
      </c>
      <c r="J103" t="str">
        <f>IFERROR(__xludf.DUMMYFUNCTION("""COMPUTED_VALUE"""),"Player 3")</f>
        <v>Player 3</v>
      </c>
      <c r="K103" t="str">
        <f>IFERROR(__xludf.DUMMYFUNCTION("""COMPUTED_VALUE"""),"Player 4")</f>
        <v>Player 4</v>
      </c>
      <c r="L103" t="str">
        <f>IFERROR(__xludf.DUMMYFUNCTION("""COMPUTED_VALUE"""),"Player 5")</f>
        <v>Player 5</v>
      </c>
      <c r="M103" t="str">
        <f>IFERROR(__xludf.DUMMYFUNCTION("""COMPUTED_VALUE"""),"Player 6")</f>
        <v>Player 6</v>
      </c>
    </row>
    <row r="104">
      <c r="A104" s="2" t="s">
        <v>123</v>
      </c>
      <c r="B104">
        <f>IFERROR(__xludf.DUMMYFUNCTION("{IMPORTRANGE(""1GfJqS1rsy-VutTmPVnm9E2VdinIG-GnQO5b3bhaiX1s"",""Round 8!C32:H36""),IMPORTRANGE(""1GfJqS1rsy-VutTmPVnm9E2VdinIG-GnQO5b3bhaiX1s"",""Round 8!M32:R36"")}"),20.0)</f>
        <v>20</v>
      </c>
      <c r="C104">
        <f>IFERROR(__xludf.DUMMYFUNCTION("""COMPUTED_VALUE"""),20.0)</f>
        <v>20</v>
      </c>
      <c r="D104">
        <f>IFERROR(__xludf.DUMMYFUNCTION("""COMPUTED_VALUE"""),20.0)</f>
        <v>20</v>
      </c>
      <c r="E104">
        <f>IFERROR(__xludf.DUMMYFUNCTION("""COMPUTED_VALUE"""),20.0)</f>
        <v>20</v>
      </c>
      <c r="F104" t="str">
        <f>IFERROR(__xludf.DUMMYFUNCTION("""COMPUTED_VALUE"""),"")</f>
        <v/>
      </c>
      <c r="G104" t="str">
        <f>IFERROR(__xludf.DUMMYFUNCTION("""COMPUTED_VALUE"""),"")</f>
        <v/>
      </c>
      <c r="H104">
        <f>IFERROR(__xludf.DUMMYFUNCTION("""COMPUTED_VALUE"""),20.0)</f>
        <v>20</v>
      </c>
      <c r="I104">
        <f>IFERROR(__xludf.DUMMYFUNCTION("""COMPUTED_VALUE"""),20.0)</f>
        <v>20</v>
      </c>
      <c r="J104">
        <f>IFERROR(__xludf.DUMMYFUNCTION("""COMPUTED_VALUE"""),20.0)</f>
        <v>20</v>
      </c>
      <c r="K104">
        <f>IFERROR(__xludf.DUMMYFUNCTION("""COMPUTED_VALUE"""),20.0)</f>
        <v>20</v>
      </c>
      <c r="L104" t="str">
        <f>IFERROR(__xludf.DUMMYFUNCTION("""COMPUTED_VALUE"""),"")</f>
        <v/>
      </c>
      <c r="M104" t="str">
        <f>IFERROR(__xludf.DUMMYFUNCTION("""COMPUTED_VALUE"""),"")</f>
        <v/>
      </c>
    </row>
    <row r="105">
      <c r="A105" s="2">
        <v>15.0</v>
      </c>
      <c r="B105">
        <f>IFERROR(__xludf.DUMMYFUNCTION("""COMPUTED_VALUE"""),0.0)</f>
        <v>0</v>
      </c>
      <c r="C105">
        <f>IFERROR(__xludf.DUMMYFUNCTION("""COMPUTED_VALUE"""),0.0)</f>
        <v>0</v>
      </c>
      <c r="D105">
        <f>IFERROR(__xludf.DUMMYFUNCTION("""COMPUTED_VALUE"""),0.0)</f>
        <v>0</v>
      </c>
      <c r="E105">
        <f>IFERROR(__xludf.DUMMYFUNCTION("""COMPUTED_VALUE"""),0.0)</f>
        <v>0</v>
      </c>
      <c r="F105">
        <f>IFERROR(__xludf.DUMMYFUNCTION("""COMPUTED_VALUE"""),0.0)</f>
        <v>0</v>
      </c>
      <c r="G105">
        <f>IFERROR(__xludf.DUMMYFUNCTION("""COMPUTED_VALUE"""),0.0)</f>
        <v>0</v>
      </c>
      <c r="H105">
        <f>IFERROR(__xludf.DUMMYFUNCTION("""COMPUTED_VALUE"""),0.0)</f>
        <v>0</v>
      </c>
      <c r="I105">
        <f>IFERROR(__xludf.DUMMYFUNCTION("""COMPUTED_VALUE"""),0.0)</f>
        <v>0</v>
      </c>
      <c r="J105">
        <f>IFERROR(__xludf.DUMMYFUNCTION("""COMPUTED_VALUE"""),0.0)</f>
        <v>0</v>
      </c>
      <c r="K105">
        <f>IFERROR(__xludf.DUMMYFUNCTION("""COMPUTED_VALUE"""),0.0)</f>
        <v>0</v>
      </c>
      <c r="L105">
        <f>IFERROR(__xludf.DUMMYFUNCTION("""COMPUTED_VALUE"""),0.0)</f>
        <v>0</v>
      </c>
      <c r="M105">
        <f>IFERROR(__xludf.DUMMYFUNCTION("""COMPUTED_VALUE"""),0.0)</f>
        <v>0</v>
      </c>
    </row>
    <row r="106">
      <c r="A106" s="2">
        <v>10.0</v>
      </c>
      <c r="B106">
        <f>IFERROR(__xludf.DUMMYFUNCTION("""COMPUTED_VALUE"""),0.0)</f>
        <v>0</v>
      </c>
      <c r="C106">
        <f>IFERROR(__xludf.DUMMYFUNCTION("""COMPUTED_VALUE"""),0.0)</f>
        <v>0</v>
      </c>
      <c r="D106">
        <f>IFERROR(__xludf.DUMMYFUNCTION("""COMPUTED_VALUE"""),0.0)</f>
        <v>0</v>
      </c>
      <c r="E106">
        <f>IFERROR(__xludf.DUMMYFUNCTION("""COMPUTED_VALUE"""),0.0)</f>
        <v>0</v>
      </c>
      <c r="F106">
        <f>IFERROR(__xludf.DUMMYFUNCTION("""COMPUTED_VALUE"""),0.0)</f>
        <v>0</v>
      </c>
      <c r="G106">
        <f>IFERROR(__xludf.DUMMYFUNCTION("""COMPUTED_VALUE"""),0.0)</f>
        <v>0</v>
      </c>
      <c r="H106">
        <f>IFERROR(__xludf.DUMMYFUNCTION("""COMPUTED_VALUE"""),0.0)</f>
        <v>0</v>
      </c>
      <c r="I106">
        <f>IFERROR(__xludf.DUMMYFUNCTION("""COMPUTED_VALUE"""),0.0)</f>
        <v>0</v>
      </c>
      <c r="J106">
        <f>IFERROR(__xludf.DUMMYFUNCTION("""COMPUTED_VALUE"""),0.0)</f>
        <v>0</v>
      </c>
      <c r="K106">
        <f>IFERROR(__xludf.DUMMYFUNCTION("""COMPUTED_VALUE"""),0.0)</f>
        <v>0</v>
      </c>
      <c r="L106">
        <f>IFERROR(__xludf.DUMMYFUNCTION("""COMPUTED_VALUE"""),0.0)</f>
        <v>0</v>
      </c>
      <c r="M106">
        <f>IFERROR(__xludf.DUMMYFUNCTION("""COMPUTED_VALUE"""),0.0)</f>
        <v>0</v>
      </c>
    </row>
    <row r="107">
      <c r="A107" s="2">
        <v>-5.0</v>
      </c>
      <c r="B107">
        <f>IFERROR(__xludf.DUMMYFUNCTION("""COMPUTED_VALUE"""),0.0)</f>
        <v>0</v>
      </c>
      <c r="C107">
        <f>IFERROR(__xludf.DUMMYFUNCTION("""COMPUTED_VALUE"""),0.0)</f>
        <v>0</v>
      </c>
      <c r="D107">
        <f>IFERROR(__xludf.DUMMYFUNCTION("""COMPUTED_VALUE"""),0.0)</f>
        <v>0</v>
      </c>
      <c r="E107">
        <f>IFERROR(__xludf.DUMMYFUNCTION("""COMPUTED_VALUE"""),0.0)</f>
        <v>0</v>
      </c>
      <c r="F107">
        <f>IFERROR(__xludf.DUMMYFUNCTION("""COMPUTED_VALUE"""),0.0)</f>
        <v>0</v>
      </c>
      <c r="G107">
        <f>IFERROR(__xludf.DUMMYFUNCTION("""COMPUTED_VALUE"""),0.0)</f>
        <v>0</v>
      </c>
      <c r="H107">
        <f>IFERROR(__xludf.DUMMYFUNCTION("""COMPUTED_VALUE"""),0.0)</f>
        <v>0</v>
      </c>
      <c r="I107">
        <f>IFERROR(__xludf.DUMMYFUNCTION("""COMPUTED_VALUE"""),0.0)</f>
        <v>0</v>
      </c>
      <c r="J107">
        <f>IFERROR(__xludf.DUMMYFUNCTION("""COMPUTED_VALUE"""),0.0)</f>
        <v>0</v>
      </c>
      <c r="K107">
        <f>IFERROR(__xludf.DUMMYFUNCTION("""COMPUTED_VALUE"""),0.0)</f>
        <v>0</v>
      </c>
      <c r="L107">
        <f>IFERROR(__xludf.DUMMYFUNCTION("""COMPUTED_VALUE"""),0.0)</f>
        <v>0</v>
      </c>
      <c r="M107">
        <f>IFERROR(__xludf.DUMMYFUNCTION("""COMPUTED_VALUE"""),0.0)</f>
        <v>0</v>
      </c>
    </row>
    <row r="108">
      <c r="A108" s="2" t="s">
        <v>124</v>
      </c>
      <c r="B108">
        <f>IFERROR(__xludf.DUMMYFUNCTION("""COMPUTED_VALUE"""),0.0)</f>
        <v>0</v>
      </c>
      <c r="C108">
        <f>IFERROR(__xludf.DUMMYFUNCTION("""COMPUTED_VALUE"""),0.0)</f>
        <v>0</v>
      </c>
      <c r="D108">
        <f>IFERROR(__xludf.DUMMYFUNCTION("""COMPUTED_VALUE"""),0.0)</f>
        <v>0</v>
      </c>
      <c r="E108">
        <f>IFERROR(__xludf.DUMMYFUNCTION("""COMPUTED_VALUE"""),0.0)</f>
        <v>0</v>
      </c>
      <c r="F108">
        <f>IFERROR(__xludf.DUMMYFUNCTION("""COMPUTED_VALUE"""),0.0)</f>
        <v>0</v>
      </c>
      <c r="G108">
        <f>IFERROR(__xludf.DUMMYFUNCTION("""COMPUTED_VALUE"""),0.0)</f>
        <v>0</v>
      </c>
      <c r="H108">
        <f>IFERROR(__xludf.DUMMYFUNCTION("""COMPUTED_VALUE"""),0.0)</f>
        <v>0</v>
      </c>
      <c r="I108">
        <f>IFERROR(__xludf.DUMMYFUNCTION("""COMPUTED_VALUE"""),0.0)</f>
        <v>0</v>
      </c>
      <c r="J108">
        <f>IFERROR(__xludf.DUMMYFUNCTION("""COMPUTED_VALUE"""),0.0)</f>
        <v>0</v>
      </c>
      <c r="K108">
        <f>IFERROR(__xludf.DUMMYFUNCTION("""COMPUTED_VALUE"""),0.0)</f>
        <v>0</v>
      </c>
      <c r="L108">
        <f>IFERROR(__xludf.DUMMYFUNCTION("""COMPUTED_VALUE"""),0.0)</f>
        <v>0</v>
      </c>
      <c r="M108">
        <f>IFERROR(__xludf.DUMMYFUNCTION("""COMPUTED_VALUE"""),0.0)</f>
        <v>0</v>
      </c>
    </row>
    <row r="109">
      <c r="A109" s="6" t="str">
        <f>IFERROR(__xludf.DUMMYFUNCTION("IMPORTRANGE(""1GfJqS1rsy-VutTmPVnm9E2VdinIG-GnQO5b3bhaiX1s"",""Round 8!W1"")"),"Question: 1")</f>
        <v>Question: 1</v>
      </c>
      <c r="B109" s="7" t="s">
        <v>150</v>
      </c>
    </row>
    <row r="110">
      <c r="A110" s="6"/>
    </row>
    <row r="111">
      <c r="A111" s="2" t="s">
        <v>166</v>
      </c>
      <c r="B111" t="str">
        <f>IFERROR(__xludf.DUMMYFUNCTION("{IMPORTRANGE(""17CLUEFflDBSa8dyH5vsXfHme4RV8IhzD-mxe9_c9I5k"",""Round 8!C1:H3""),IMPORTRANGE(""17CLUEFflDBSa8dyH5vsXfHme4RV8IhzD-mxe9_c9I5k"",""Round 8!M1:R3"")}"),"Canyon Crest B (V)")</f>
        <v>Canyon Crest B (V)</v>
      </c>
      <c r="C111" t="str">
        <f>IFERROR(__xludf.DUMMYFUNCTION("""COMPUTED_VALUE"""),"")</f>
        <v/>
      </c>
      <c r="D111" t="str">
        <f>IFERROR(__xludf.DUMMYFUNCTION("""COMPUTED_VALUE"""),"")</f>
        <v/>
      </c>
      <c r="E111" t="str">
        <f>IFERROR(__xludf.DUMMYFUNCTION("""COMPUTED_VALUE"""),"")</f>
        <v/>
      </c>
      <c r="F111" t="str">
        <f>IFERROR(__xludf.DUMMYFUNCTION("""COMPUTED_VALUE"""),"")</f>
        <v/>
      </c>
      <c r="G111" t="str">
        <f>IFERROR(__xludf.DUMMYFUNCTION("""COMPUTED_VALUE"""),"")</f>
        <v/>
      </c>
      <c r="H111" t="str">
        <f>IFERROR(__xludf.DUMMYFUNCTION("""COMPUTED_VALUE"""),"Santa Monica A (V)")</f>
        <v>Santa Monica A (V)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IFERROR(__xludf.DUMMYFUNCTION("""COMPUTED_VALUE"""),"")</f>
        <v/>
      </c>
      <c r="L111" t="str">
        <f>IFERROR(__xludf.DUMMYFUNCTION("""COMPUTED_VALUE"""),"")</f>
        <v/>
      </c>
      <c r="M111" t="str">
        <f>IFERROR(__xludf.DUMMYFUNCTION("""COMPUTED_VALUE"""),"")</f>
        <v/>
      </c>
    </row>
    <row r="112">
      <c r="A112" s="6" t="str">
        <f>IFERROR(__xludf.DUMMYFUNCTION("CONCAT(""A BP: "",IMPORTRANGE(""17CLUEFflDBSa8dyH5vsXfHme4RV8IhzD-mxe9_c9I5k"",""Round 8!I32""))"),"A BP: 160")</f>
        <v>A BP: 160</v>
      </c>
      <c r="B112" t="str">
        <f>IFERROR(__xludf.DUMMYFUNCTION("""COMPUTED_VALUE"""),"Score: 265")</f>
        <v>Score: 265</v>
      </c>
      <c r="C112" t="str">
        <f>IFERROR(__xludf.DUMMYFUNCTION("""COMPUTED_VALUE"""),"")</f>
        <v/>
      </c>
      <c r="D112" t="str">
        <f>IFERROR(__xludf.DUMMYFUNCTION("""COMPUTED_VALUE"""),"")</f>
        <v/>
      </c>
      <c r="E112" t="str">
        <f>IFERROR(__xludf.DUMMYFUNCTION("""COMPUTED_VALUE"""),"")</f>
        <v/>
      </c>
      <c r="F112" t="str">
        <f>IFERROR(__xludf.DUMMYFUNCTION("""COMPUTED_VALUE"""),"")</f>
        <v/>
      </c>
      <c r="G112" t="str">
        <f>IFERROR(__xludf.DUMMYFUNCTION("""COMPUTED_VALUE"""),"")</f>
        <v/>
      </c>
      <c r="H112" t="str">
        <f>IFERROR(__xludf.DUMMYFUNCTION("""COMPUTED_VALUE"""),"Score: 295")</f>
        <v>Score: 295</v>
      </c>
      <c r="I112" t="str">
        <f>IFERROR(__xludf.DUMMYFUNCTION("""COMPUTED_VALUE"""),"")</f>
        <v/>
      </c>
      <c r="J112" t="str">
        <f>IFERROR(__xludf.DUMMYFUNCTION("""COMPUTED_VALUE"""),"")</f>
        <v/>
      </c>
      <c r="K112" t="str">
        <f>IFERROR(__xludf.DUMMYFUNCTION("""COMPUTED_VALUE"""),"")</f>
        <v/>
      </c>
      <c r="L112" t="str">
        <f>IFERROR(__xludf.DUMMYFUNCTION("""COMPUTED_VALUE"""),"")</f>
        <v/>
      </c>
      <c r="M112" t="str">
        <f>IFERROR(__xludf.DUMMYFUNCTION("""COMPUTED_VALUE"""),"")</f>
        <v/>
      </c>
    </row>
    <row r="113">
      <c r="A113" s="6" t="str">
        <f>IFERROR(__xludf.DUMMYFUNCTION("CONCAT(""B BP: "",IMPORTRANGE(""17CLUEFflDBSa8dyH5vsXfHme4RV8IhzD-mxe9_c9I5k"",""Round 8!S32""))"),"B BP: 180")</f>
        <v>B BP: 180</v>
      </c>
      <c r="B113" t="str">
        <f>IFERROR(__xludf.DUMMYFUNCTION("""COMPUTED_VALUE"""),"Shreyank Kadadi (12)")</f>
        <v>Shreyank Kadadi (12)</v>
      </c>
      <c r="C113" t="str">
        <f>IFERROR(__xludf.DUMMYFUNCTION("""COMPUTED_VALUE"""),"Jonathan Hsieh (12)")</f>
        <v>Jonathan Hsieh (12)</v>
      </c>
      <c r="D113" t="str">
        <f>IFERROR(__xludf.DUMMYFUNCTION("""COMPUTED_VALUE"""),"Kevin Luo (10)")</f>
        <v>Kevin Luo (10)</v>
      </c>
      <c r="E113" t="str">
        <f>IFERROR(__xludf.DUMMYFUNCTION("""COMPUTED_VALUE"""),"Player 4")</f>
        <v>Player 4</v>
      </c>
      <c r="F113" t="str">
        <f>IFERROR(__xludf.DUMMYFUNCTION("""COMPUTED_VALUE"""),"Player 5")</f>
        <v>Player 5</v>
      </c>
      <c r="G113" t="str">
        <f>IFERROR(__xludf.DUMMYFUNCTION("""COMPUTED_VALUE"""),"Player 6")</f>
        <v>Player 6</v>
      </c>
      <c r="H113" t="str">
        <f>IFERROR(__xludf.DUMMYFUNCTION("""COMPUTED_VALUE"""),"Josh Xu (11)")</f>
        <v>Josh Xu (11)</v>
      </c>
      <c r="I113" t="str">
        <f>IFERROR(__xludf.DUMMYFUNCTION("""COMPUTED_VALUE"""),"Player 2")</f>
        <v>Player 2</v>
      </c>
      <c r="J113" t="str">
        <f>IFERROR(__xludf.DUMMYFUNCTION("""COMPUTED_VALUE"""),"Player 3")</f>
        <v>Player 3</v>
      </c>
      <c r="K113" t="str">
        <f>IFERROR(__xludf.DUMMYFUNCTION("""COMPUTED_VALUE"""),"Player 4")</f>
        <v>Player 4</v>
      </c>
      <c r="L113" t="str">
        <f>IFERROR(__xludf.DUMMYFUNCTION("""COMPUTED_VALUE"""),"Player 5")</f>
        <v>Player 5</v>
      </c>
      <c r="M113" t="str">
        <f>IFERROR(__xludf.DUMMYFUNCTION("""COMPUTED_VALUE"""),"Player 6")</f>
        <v>Player 6</v>
      </c>
    </row>
    <row r="114">
      <c r="A114" s="2" t="s">
        <v>123</v>
      </c>
      <c r="B114">
        <f>IFERROR(__xludf.DUMMYFUNCTION("{IMPORTRANGE(""17CLUEFflDBSa8dyH5vsXfHme4RV8IhzD-mxe9_c9I5k"",""Round 8!C32:H36""),IMPORTRANGE(""17CLUEFflDBSa8dyH5vsXfHme4RV8IhzD-mxe9_c9I5k"",""Round 8!M32:R36"")}"),20.0)</f>
        <v>20</v>
      </c>
      <c r="C114">
        <f>IFERROR(__xludf.DUMMYFUNCTION("""COMPUTED_VALUE"""),20.0)</f>
        <v>20</v>
      </c>
      <c r="D114">
        <f>IFERROR(__xludf.DUMMYFUNCTION("""COMPUTED_VALUE"""),20.0)</f>
        <v>20</v>
      </c>
      <c r="E114">
        <f>IFERROR(__xludf.DUMMYFUNCTION("""COMPUTED_VALUE"""),20.0)</f>
        <v>20</v>
      </c>
      <c r="F114" t="str">
        <f>IFERROR(__xludf.DUMMYFUNCTION("""COMPUTED_VALUE"""),"")</f>
        <v/>
      </c>
      <c r="G114" t="str">
        <f>IFERROR(__xludf.DUMMYFUNCTION("""COMPUTED_VALUE"""),"")</f>
        <v/>
      </c>
      <c r="H114">
        <f>IFERROR(__xludf.DUMMYFUNCTION("""COMPUTED_VALUE"""),20.0)</f>
        <v>20</v>
      </c>
      <c r="I114">
        <f>IFERROR(__xludf.DUMMYFUNCTION("""COMPUTED_VALUE"""),20.0)</f>
        <v>20</v>
      </c>
      <c r="J114">
        <f>IFERROR(__xludf.DUMMYFUNCTION("""COMPUTED_VALUE"""),20.0)</f>
        <v>20</v>
      </c>
      <c r="K114">
        <f>IFERROR(__xludf.DUMMYFUNCTION("""COMPUTED_VALUE"""),20.0)</f>
        <v>20</v>
      </c>
      <c r="L114" t="str">
        <f>IFERROR(__xludf.DUMMYFUNCTION("""COMPUTED_VALUE"""),"")</f>
        <v/>
      </c>
      <c r="M114" t="str">
        <f>IFERROR(__xludf.DUMMYFUNCTION("""COMPUTED_VALUE"""),"")</f>
        <v/>
      </c>
    </row>
    <row r="115">
      <c r="A115" s="2">
        <v>15.0</v>
      </c>
      <c r="B115">
        <f>IFERROR(__xludf.DUMMYFUNCTION("""COMPUTED_VALUE"""),2.0)</f>
        <v>2</v>
      </c>
      <c r="C115">
        <f>IFERROR(__xludf.DUMMYFUNCTION("""COMPUTED_VALUE"""),2.0)</f>
        <v>2</v>
      </c>
      <c r="D115">
        <f>IFERROR(__xludf.DUMMYFUNCTION("""COMPUTED_VALUE"""),0.0)</f>
        <v>0</v>
      </c>
      <c r="E115">
        <f>IFERROR(__xludf.DUMMYFUNCTION("""COMPUTED_VALUE"""),0.0)</f>
        <v>0</v>
      </c>
      <c r="F115">
        <f>IFERROR(__xludf.DUMMYFUNCTION("""COMPUTED_VALUE"""),0.0)</f>
        <v>0</v>
      </c>
      <c r="G115">
        <f>IFERROR(__xludf.DUMMYFUNCTION("""COMPUTED_VALUE"""),0.0)</f>
        <v>0</v>
      </c>
      <c r="H115">
        <f>IFERROR(__xludf.DUMMYFUNCTION("""COMPUTED_VALUE"""),3.0)</f>
        <v>3</v>
      </c>
      <c r="I115">
        <f>IFERROR(__xludf.DUMMYFUNCTION("""COMPUTED_VALUE"""),0.0)</f>
        <v>0</v>
      </c>
      <c r="J115">
        <f>IFERROR(__xludf.DUMMYFUNCTION("""COMPUTED_VALUE"""),0.0)</f>
        <v>0</v>
      </c>
      <c r="K115">
        <f>IFERROR(__xludf.DUMMYFUNCTION("""COMPUTED_VALUE"""),0.0)</f>
        <v>0</v>
      </c>
      <c r="L115">
        <f>IFERROR(__xludf.DUMMYFUNCTION("""COMPUTED_VALUE"""),0.0)</f>
        <v>0</v>
      </c>
      <c r="M115">
        <f>IFERROR(__xludf.DUMMYFUNCTION("""COMPUTED_VALUE"""),0.0)</f>
        <v>0</v>
      </c>
    </row>
    <row r="116">
      <c r="A116" s="2">
        <v>10.0</v>
      </c>
      <c r="B116">
        <f>IFERROR(__xludf.DUMMYFUNCTION("""COMPUTED_VALUE"""),5.0)</f>
        <v>5</v>
      </c>
      <c r="C116">
        <f>IFERROR(__xludf.DUMMYFUNCTION("""COMPUTED_VALUE"""),1.0)</f>
        <v>1</v>
      </c>
      <c r="D116">
        <f>IFERROR(__xludf.DUMMYFUNCTION("""COMPUTED_VALUE"""),0.0)</f>
        <v>0</v>
      </c>
      <c r="E116">
        <f>IFERROR(__xludf.DUMMYFUNCTION("""COMPUTED_VALUE"""),0.0)</f>
        <v>0</v>
      </c>
      <c r="F116">
        <f>IFERROR(__xludf.DUMMYFUNCTION("""COMPUTED_VALUE"""),0.0)</f>
        <v>0</v>
      </c>
      <c r="G116">
        <f>IFERROR(__xludf.DUMMYFUNCTION("""COMPUTED_VALUE"""),0.0)</f>
        <v>0</v>
      </c>
      <c r="H116">
        <f>IFERROR(__xludf.DUMMYFUNCTION("""COMPUTED_VALUE"""),7.0)</f>
        <v>7</v>
      </c>
      <c r="I116">
        <f>IFERROR(__xludf.DUMMYFUNCTION("""COMPUTED_VALUE"""),0.0)</f>
        <v>0</v>
      </c>
      <c r="J116">
        <f>IFERROR(__xludf.DUMMYFUNCTION("""COMPUTED_VALUE"""),0.0)</f>
        <v>0</v>
      </c>
      <c r="K116">
        <f>IFERROR(__xludf.DUMMYFUNCTION("""COMPUTED_VALUE"""),0.0)</f>
        <v>0</v>
      </c>
      <c r="L116">
        <f>IFERROR(__xludf.DUMMYFUNCTION("""COMPUTED_VALUE"""),0.0)</f>
        <v>0</v>
      </c>
      <c r="M116">
        <f>IFERROR(__xludf.DUMMYFUNCTION("""COMPUTED_VALUE"""),0.0)</f>
        <v>0</v>
      </c>
    </row>
    <row r="117">
      <c r="A117" s="2">
        <v>-5.0</v>
      </c>
      <c r="B117">
        <f>IFERROR(__xludf.DUMMYFUNCTION("""COMPUTED_VALUE"""),1.0)</f>
        <v>1</v>
      </c>
      <c r="C117">
        <f>IFERROR(__xludf.DUMMYFUNCTION("""COMPUTED_VALUE"""),2.0)</f>
        <v>2</v>
      </c>
      <c r="D117">
        <f>IFERROR(__xludf.DUMMYFUNCTION("""COMPUTED_VALUE"""),0.0)</f>
        <v>0</v>
      </c>
      <c r="E117">
        <f>IFERROR(__xludf.DUMMYFUNCTION("""COMPUTED_VALUE"""),0.0)</f>
        <v>0</v>
      </c>
      <c r="F117">
        <f>IFERROR(__xludf.DUMMYFUNCTION("""COMPUTED_VALUE"""),0.0)</f>
        <v>0</v>
      </c>
      <c r="G117">
        <f>IFERROR(__xludf.DUMMYFUNCTION("""COMPUTED_VALUE"""),0.0)</f>
        <v>0</v>
      </c>
      <c r="H117">
        <f>IFERROR(__xludf.DUMMYFUNCTION("""COMPUTED_VALUE"""),0.0)</f>
        <v>0</v>
      </c>
      <c r="I117">
        <f>IFERROR(__xludf.DUMMYFUNCTION("""COMPUTED_VALUE"""),0.0)</f>
        <v>0</v>
      </c>
      <c r="J117">
        <f>IFERROR(__xludf.DUMMYFUNCTION("""COMPUTED_VALUE"""),0.0)</f>
        <v>0</v>
      </c>
      <c r="K117">
        <f>IFERROR(__xludf.DUMMYFUNCTION("""COMPUTED_VALUE"""),0.0)</f>
        <v>0</v>
      </c>
      <c r="L117">
        <f>IFERROR(__xludf.DUMMYFUNCTION("""COMPUTED_VALUE"""),0.0)</f>
        <v>0</v>
      </c>
      <c r="M117">
        <f>IFERROR(__xludf.DUMMYFUNCTION("""COMPUTED_VALUE"""),0.0)</f>
        <v>0</v>
      </c>
    </row>
    <row r="118">
      <c r="A118" s="2" t="s">
        <v>124</v>
      </c>
      <c r="B118">
        <f>IFERROR(__xludf.DUMMYFUNCTION("""COMPUTED_VALUE"""),75.0)</f>
        <v>75</v>
      </c>
      <c r="C118">
        <f>IFERROR(__xludf.DUMMYFUNCTION("""COMPUTED_VALUE"""),30.0)</f>
        <v>30</v>
      </c>
      <c r="D118">
        <f>IFERROR(__xludf.DUMMYFUNCTION("""COMPUTED_VALUE"""),0.0)</f>
        <v>0</v>
      </c>
      <c r="E118">
        <f>IFERROR(__xludf.DUMMYFUNCTION("""COMPUTED_VALUE"""),0.0)</f>
        <v>0</v>
      </c>
      <c r="F118">
        <f>IFERROR(__xludf.DUMMYFUNCTION("""COMPUTED_VALUE"""),0.0)</f>
        <v>0</v>
      </c>
      <c r="G118">
        <f>IFERROR(__xludf.DUMMYFUNCTION("""COMPUTED_VALUE"""),0.0)</f>
        <v>0</v>
      </c>
      <c r="H118">
        <f>IFERROR(__xludf.DUMMYFUNCTION("""COMPUTED_VALUE"""),115.0)</f>
        <v>115</v>
      </c>
      <c r="I118">
        <f>IFERROR(__xludf.DUMMYFUNCTION("""COMPUTED_VALUE"""),0.0)</f>
        <v>0</v>
      </c>
      <c r="J118">
        <f>IFERROR(__xludf.DUMMYFUNCTION("""COMPUTED_VALUE"""),0.0)</f>
        <v>0</v>
      </c>
      <c r="K118">
        <f>IFERROR(__xludf.DUMMYFUNCTION("""COMPUTED_VALUE"""),0.0)</f>
        <v>0</v>
      </c>
      <c r="L118">
        <f>IFERROR(__xludf.DUMMYFUNCTION("""COMPUTED_VALUE"""),0.0)</f>
        <v>0</v>
      </c>
      <c r="M118">
        <f>IFERROR(__xludf.DUMMYFUNCTION("""COMPUTED_VALUE"""),0.0)</f>
        <v>0</v>
      </c>
    </row>
    <row r="119">
      <c r="A119" s="6" t="str">
        <f>IFERROR(__xludf.DUMMYFUNCTION("IMPORTRANGE(""17CLUEFflDBSa8dyH5vsXfHme4RV8IhzD-mxe9_c9I5k"",""Round 8!W1"")"),"Question: 21")</f>
        <v>Question: 21</v>
      </c>
      <c r="B119" s="7" t="s">
        <v>152</v>
      </c>
    </row>
    <row r="120">
      <c r="A120" s="6"/>
    </row>
    <row r="121">
      <c r="A121" s="2" t="s">
        <v>167</v>
      </c>
      <c r="B121" t="str">
        <f>IFERROR(__xludf.DUMMYFUNCTION("{IMPORTRANGE(""1Knt8XDGFY_MP2OzeadT1pDENTLOdk9Ab_Rd9IdW0kzc"",""Round 8!C1:H3""),IMPORTRANGE(""1Knt8XDGFY_MP2OzeadT1pDENTLOdk9Ab_Rd9IdW0kzc"",""Round 8!M1:R3"")}"),"Canyon Crest C (V)")</f>
        <v>Canyon Crest C (V)</v>
      </c>
      <c r="C121" t="str">
        <f>IFERROR(__xludf.DUMMYFUNCTION("""COMPUTED_VALUE"""),"")</f>
        <v/>
      </c>
      <c r="D121" t="str">
        <f>IFERROR(__xludf.DUMMYFUNCTION("""COMPUTED_VALUE"""),"")</f>
        <v/>
      </c>
      <c r="E121" t="str">
        <f>IFERROR(__xludf.DUMMYFUNCTION("""COMPUTED_VALUE"""),"")</f>
        <v/>
      </c>
      <c r="F121" t="str">
        <f>IFERROR(__xludf.DUMMYFUNCTION("""COMPUTED_VALUE"""),"")</f>
        <v/>
      </c>
      <c r="G121" t="str">
        <f>IFERROR(__xludf.DUMMYFUNCTION("""COMPUTED_VALUE"""),"")</f>
        <v/>
      </c>
      <c r="H121" t="str">
        <f>IFERROR(__xludf.DUMMYFUNCTION("""COMPUTED_VALUE"""),"Troy A (V)")</f>
        <v>Troy A (V)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IFERROR(__xludf.DUMMYFUNCTION("""COMPUTED_VALUE"""),"")</f>
        <v/>
      </c>
      <c r="L121" t="str">
        <f>IFERROR(__xludf.DUMMYFUNCTION("""COMPUTED_VALUE"""),"")</f>
        <v/>
      </c>
      <c r="M121" t="str">
        <f>IFERROR(__xludf.DUMMYFUNCTION("""COMPUTED_VALUE"""),"")</f>
        <v/>
      </c>
    </row>
    <row r="122">
      <c r="A122" s="6" t="str">
        <f>IFERROR(__xludf.DUMMYFUNCTION("CONCAT(""A BP: "",IMPORTRANGE(""1Knt8XDGFY_MP2OzeadT1pDENTLOdk9Ab_Rd9IdW0kzc"",""Round 8!I32""))"),"A BP: 120")</f>
        <v>A BP: 120</v>
      </c>
      <c r="B122" t="str">
        <f>IFERROR(__xludf.DUMMYFUNCTION("""COMPUTED_VALUE"""),"Score: 220")</f>
        <v>Score: 220</v>
      </c>
      <c r="C122" t="str">
        <f>IFERROR(__xludf.DUMMYFUNCTION("""COMPUTED_VALUE"""),"")</f>
        <v/>
      </c>
      <c r="D122" t="str">
        <f>IFERROR(__xludf.DUMMYFUNCTION("""COMPUTED_VALUE"""),"")</f>
        <v/>
      </c>
      <c r="E122" t="str">
        <f>IFERROR(__xludf.DUMMYFUNCTION("""COMPUTED_VALUE"""),"")</f>
        <v/>
      </c>
      <c r="F122" t="str">
        <f>IFERROR(__xludf.DUMMYFUNCTION("""COMPUTED_VALUE"""),"")</f>
        <v/>
      </c>
      <c r="G122" t="str">
        <f>IFERROR(__xludf.DUMMYFUNCTION("""COMPUTED_VALUE"""),"")</f>
        <v/>
      </c>
      <c r="H122" t="str">
        <f>IFERROR(__xludf.DUMMYFUNCTION("""COMPUTED_VALUE"""),"Score: 210")</f>
        <v>Score: 210</v>
      </c>
      <c r="I122" t="str">
        <f>IFERROR(__xludf.DUMMYFUNCTION("""COMPUTED_VALUE"""),"")</f>
        <v/>
      </c>
      <c r="J122" t="str">
        <f>IFERROR(__xludf.DUMMYFUNCTION("""COMPUTED_VALUE"""),"")</f>
        <v/>
      </c>
      <c r="K122" t="str">
        <f>IFERROR(__xludf.DUMMYFUNCTION("""COMPUTED_VALUE"""),"")</f>
        <v/>
      </c>
      <c r="L122" t="str">
        <f>IFERROR(__xludf.DUMMYFUNCTION("""COMPUTED_VALUE"""),"")</f>
        <v/>
      </c>
      <c r="M122" t="str">
        <f>IFERROR(__xludf.DUMMYFUNCTION("""COMPUTED_VALUE"""),"")</f>
        <v/>
      </c>
    </row>
    <row r="123">
      <c r="A123" s="6" t="str">
        <f>IFERROR(__xludf.DUMMYFUNCTION("CONCAT(""B BP: "",IMPORTRANGE(""1Knt8XDGFY_MP2OzeadT1pDENTLOdk9Ab_Rd9IdW0kzc"",""Round 8!S32""))"),"B BP: 120")</f>
        <v>B BP: 120</v>
      </c>
      <c r="B123" t="str">
        <f>IFERROR(__xludf.DUMMYFUNCTION("""COMPUTED_VALUE"""),"Paul Mola (11)")</f>
        <v>Paul Mola (11)</v>
      </c>
      <c r="C123" t="str">
        <f>IFERROR(__xludf.DUMMYFUNCTION("""COMPUTED_VALUE"""),"James Wright (11)")</f>
        <v>James Wright (11)</v>
      </c>
      <c r="D123" t="str">
        <f>IFERROR(__xludf.DUMMYFUNCTION("""COMPUTED_VALUE"""),"Cade McAllister (10)")</f>
        <v>Cade McAllister (10)</v>
      </c>
      <c r="E123" t="str">
        <f>IFERROR(__xludf.DUMMYFUNCTION("""COMPUTED_VALUE"""),"Nithin Chilakapati (10)")</f>
        <v>Nithin Chilakapati (10)</v>
      </c>
      <c r="F123" t="str">
        <f>IFERROR(__xludf.DUMMYFUNCTION("""COMPUTED_VALUE"""),"Player 5")</f>
        <v>Player 5</v>
      </c>
      <c r="G123" t="str">
        <f>IFERROR(__xludf.DUMMYFUNCTION("""COMPUTED_VALUE"""),"Player 6")</f>
        <v>Player 6</v>
      </c>
      <c r="H123" t="str">
        <f>IFERROR(__xludf.DUMMYFUNCTION("""COMPUTED_VALUE"""),"Daniel Shin (10)")</f>
        <v>Daniel Shin (10)</v>
      </c>
      <c r="I123" t="str">
        <f>IFERROR(__xludf.DUMMYFUNCTION("""COMPUTED_VALUE"""),"Tyler Kim (11)")</f>
        <v>Tyler Kim (11)</v>
      </c>
      <c r="J123" t="str">
        <f>IFERROR(__xludf.DUMMYFUNCTION("""COMPUTED_VALUE"""),"Henry Tang (10)")</f>
        <v>Henry Tang (10)</v>
      </c>
      <c r="K123" t="str">
        <f>IFERROR(__xludf.DUMMYFUNCTION("""COMPUTED_VALUE"""),"Luke Park (11)")</f>
        <v>Luke Park (11)</v>
      </c>
      <c r="L123" t="str">
        <f>IFERROR(__xludf.DUMMYFUNCTION("""COMPUTED_VALUE"""),"Player 5")</f>
        <v>Player 5</v>
      </c>
      <c r="M123" t="str">
        <f>IFERROR(__xludf.DUMMYFUNCTION("""COMPUTED_VALUE"""),"Player 6")</f>
        <v>Player 6</v>
      </c>
    </row>
    <row r="124">
      <c r="A124" s="2" t="s">
        <v>123</v>
      </c>
      <c r="B124">
        <f>IFERROR(__xludf.DUMMYFUNCTION("{IMPORTRANGE(""1Knt8XDGFY_MP2OzeadT1pDENTLOdk9Ab_Rd9IdW0kzc"",""Round 8!C32:H36""),IMPORTRANGE(""1Knt8XDGFY_MP2OzeadT1pDENTLOdk9Ab_Rd9IdW0kzc"",""Round 8!M32:R36"")}"),20.0)</f>
        <v>20</v>
      </c>
      <c r="C124">
        <f>IFERROR(__xludf.DUMMYFUNCTION("""COMPUTED_VALUE"""),20.0)</f>
        <v>20</v>
      </c>
      <c r="D124">
        <f>IFERROR(__xludf.DUMMYFUNCTION("""COMPUTED_VALUE"""),20.0)</f>
        <v>20</v>
      </c>
      <c r="E124">
        <f>IFERROR(__xludf.DUMMYFUNCTION("""COMPUTED_VALUE"""),20.0)</f>
        <v>20</v>
      </c>
      <c r="F124" t="str">
        <f>IFERROR(__xludf.DUMMYFUNCTION("""COMPUTED_VALUE"""),"")</f>
        <v/>
      </c>
      <c r="G124" t="str">
        <f>IFERROR(__xludf.DUMMYFUNCTION("""COMPUTED_VALUE"""),"")</f>
        <v/>
      </c>
      <c r="H124">
        <f>IFERROR(__xludf.DUMMYFUNCTION("""COMPUTED_VALUE"""),20.0)</f>
        <v>20</v>
      </c>
      <c r="I124">
        <f>IFERROR(__xludf.DUMMYFUNCTION("""COMPUTED_VALUE"""),20.0)</f>
        <v>20</v>
      </c>
      <c r="J124">
        <f>IFERROR(__xludf.DUMMYFUNCTION("""COMPUTED_VALUE"""),20.0)</f>
        <v>20</v>
      </c>
      <c r="K124">
        <f>IFERROR(__xludf.DUMMYFUNCTION("""COMPUTED_VALUE"""),20.0)</f>
        <v>20</v>
      </c>
      <c r="L124" t="str">
        <f>IFERROR(__xludf.DUMMYFUNCTION("""COMPUTED_VALUE"""),"")</f>
        <v/>
      </c>
      <c r="M124" t="str">
        <f>IFERROR(__xludf.DUMMYFUNCTION("""COMPUTED_VALUE"""),"")</f>
        <v/>
      </c>
    </row>
    <row r="125">
      <c r="A125" s="2">
        <v>15.0</v>
      </c>
      <c r="B125">
        <f>IFERROR(__xludf.DUMMYFUNCTION("""COMPUTED_VALUE"""),3.0)</f>
        <v>3</v>
      </c>
      <c r="C125">
        <f>IFERROR(__xludf.DUMMYFUNCTION("""COMPUTED_VALUE"""),1.0)</f>
        <v>1</v>
      </c>
      <c r="D125">
        <f>IFERROR(__xludf.DUMMYFUNCTION("""COMPUTED_VALUE"""),0.0)</f>
        <v>0</v>
      </c>
      <c r="E125">
        <f>IFERROR(__xludf.DUMMYFUNCTION("""COMPUTED_VALUE"""),0.0)</f>
        <v>0</v>
      </c>
      <c r="F125">
        <f>IFERROR(__xludf.DUMMYFUNCTION("""COMPUTED_VALUE"""),0.0)</f>
        <v>0</v>
      </c>
      <c r="G125">
        <f>IFERROR(__xludf.DUMMYFUNCTION("""COMPUTED_VALUE"""),0.0)</f>
        <v>0</v>
      </c>
      <c r="H125">
        <f>IFERROR(__xludf.DUMMYFUNCTION("""COMPUTED_VALUE"""),0.0)</f>
        <v>0</v>
      </c>
      <c r="I125">
        <f>IFERROR(__xludf.DUMMYFUNCTION("""COMPUTED_VALUE"""),0.0)</f>
        <v>0</v>
      </c>
      <c r="J125">
        <f>IFERROR(__xludf.DUMMYFUNCTION("""COMPUTED_VALUE"""),1.0)</f>
        <v>1</v>
      </c>
      <c r="K125">
        <f>IFERROR(__xludf.DUMMYFUNCTION("""COMPUTED_VALUE"""),0.0)</f>
        <v>0</v>
      </c>
      <c r="L125">
        <f>IFERROR(__xludf.DUMMYFUNCTION("""COMPUTED_VALUE"""),0.0)</f>
        <v>0</v>
      </c>
      <c r="M125">
        <f>IFERROR(__xludf.DUMMYFUNCTION("""COMPUTED_VALUE"""),0.0)</f>
        <v>0</v>
      </c>
    </row>
    <row r="126">
      <c r="A126" s="2">
        <v>10.0</v>
      </c>
      <c r="B126">
        <f>IFERROR(__xludf.DUMMYFUNCTION("""COMPUTED_VALUE"""),1.0)</f>
        <v>1</v>
      </c>
      <c r="C126">
        <f>IFERROR(__xludf.DUMMYFUNCTION("""COMPUTED_VALUE"""),2.0)</f>
        <v>2</v>
      </c>
      <c r="D126">
        <f>IFERROR(__xludf.DUMMYFUNCTION("""COMPUTED_VALUE"""),2.0)</f>
        <v>2</v>
      </c>
      <c r="E126">
        <f>IFERROR(__xludf.DUMMYFUNCTION("""COMPUTED_VALUE"""),0.0)</f>
        <v>0</v>
      </c>
      <c r="F126">
        <f>IFERROR(__xludf.DUMMYFUNCTION("""COMPUTED_VALUE"""),0.0)</f>
        <v>0</v>
      </c>
      <c r="G126">
        <f>IFERROR(__xludf.DUMMYFUNCTION("""COMPUTED_VALUE"""),0.0)</f>
        <v>0</v>
      </c>
      <c r="H126">
        <f>IFERROR(__xludf.DUMMYFUNCTION("""COMPUTED_VALUE"""),2.0)</f>
        <v>2</v>
      </c>
      <c r="I126">
        <f>IFERROR(__xludf.DUMMYFUNCTION("""COMPUTED_VALUE"""),1.0)</f>
        <v>1</v>
      </c>
      <c r="J126">
        <f>IFERROR(__xludf.DUMMYFUNCTION("""COMPUTED_VALUE"""),2.0)</f>
        <v>2</v>
      </c>
      <c r="K126">
        <f>IFERROR(__xludf.DUMMYFUNCTION("""COMPUTED_VALUE"""),3.0)</f>
        <v>3</v>
      </c>
      <c r="L126">
        <f>IFERROR(__xludf.DUMMYFUNCTION("""COMPUTED_VALUE"""),0.0)</f>
        <v>0</v>
      </c>
      <c r="M126">
        <f>IFERROR(__xludf.DUMMYFUNCTION("""COMPUTED_VALUE"""),0.0)</f>
        <v>0</v>
      </c>
    </row>
    <row r="127">
      <c r="A127" s="2">
        <v>-5.0</v>
      </c>
      <c r="B127">
        <f>IFERROR(__xludf.DUMMYFUNCTION("""COMPUTED_VALUE"""),1.0)</f>
        <v>1</v>
      </c>
      <c r="C127">
        <f>IFERROR(__xludf.DUMMYFUNCTION("""COMPUTED_VALUE"""),1.0)</f>
        <v>1</v>
      </c>
      <c r="D127">
        <f>IFERROR(__xludf.DUMMYFUNCTION("""COMPUTED_VALUE"""),0.0)</f>
        <v>0</v>
      </c>
      <c r="E127">
        <f>IFERROR(__xludf.DUMMYFUNCTION("""COMPUTED_VALUE"""),0.0)</f>
        <v>0</v>
      </c>
      <c r="F127">
        <f>IFERROR(__xludf.DUMMYFUNCTION("""COMPUTED_VALUE"""),0.0)</f>
        <v>0</v>
      </c>
      <c r="G127">
        <f>IFERROR(__xludf.DUMMYFUNCTION("""COMPUTED_VALUE"""),0.0)</f>
        <v>0</v>
      </c>
      <c r="H127">
        <f>IFERROR(__xludf.DUMMYFUNCTION("""COMPUTED_VALUE"""),0.0)</f>
        <v>0</v>
      </c>
      <c r="I127">
        <f>IFERROR(__xludf.DUMMYFUNCTION("""COMPUTED_VALUE"""),1.0)</f>
        <v>1</v>
      </c>
      <c r="J127">
        <f>IFERROR(__xludf.DUMMYFUNCTION("""COMPUTED_VALUE"""),0.0)</f>
        <v>0</v>
      </c>
      <c r="K127">
        <f>IFERROR(__xludf.DUMMYFUNCTION("""COMPUTED_VALUE"""),0.0)</f>
        <v>0</v>
      </c>
      <c r="L127">
        <f>IFERROR(__xludf.DUMMYFUNCTION("""COMPUTED_VALUE"""),0.0)</f>
        <v>0</v>
      </c>
      <c r="M127">
        <f>IFERROR(__xludf.DUMMYFUNCTION("""COMPUTED_VALUE"""),0.0)</f>
        <v>0</v>
      </c>
    </row>
    <row r="128">
      <c r="A128" s="2" t="s">
        <v>124</v>
      </c>
      <c r="B128">
        <f>IFERROR(__xludf.DUMMYFUNCTION("""COMPUTED_VALUE"""),50.0)</f>
        <v>50</v>
      </c>
      <c r="C128">
        <f>IFERROR(__xludf.DUMMYFUNCTION("""COMPUTED_VALUE"""),30.0)</f>
        <v>30</v>
      </c>
      <c r="D128">
        <f>IFERROR(__xludf.DUMMYFUNCTION("""COMPUTED_VALUE"""),20.0)</f>
        <v>20</v>
      </c>
      <c r="E128">
        <f>IFERROR(__xludf.DUMMYFUNCTION("""COMPUTED_VALUE"""),0.0)</f>
        <v>0</v>
      </c>
      <c r="F128">
        <f>IFERROR(__xludf.DUMMYFUNCTION("""COMPUTED_VALUE"""),0.0)</f>
        <v>0</v>
      </c>
      <c r="G128">
        <f>IFERROR(__xludf.DUMMYFUNCTION("""COMPUTED_VALUE"""),0.0)</f>
        <v>0</v>
      </c>
      <c r="H128">
        <f>IFERROR(__xludf.DUMMYFUNCTION("""COMPUTED_VALUE"""),20.0)</f>
        <v>20</v>
      </c>
      <c r="I128">
        <f>IFERROR(__xludf.DUMMYFUNCTION("""COMPUTED_VALUE"""),5.0)</f>
        <v>5</v>
      </c>
      <c r="J128">
        <f>IFERROR(__xludf.DUMMYFUNCTION("""COMPUTED_VALUE"""),35.0)</f>
        <v>35</v>
      </c>
      <c r="K128">
        <f>IFERROR(__xludf.DUMMYFUNCTION("""COMPUTED_VALUE"""),30.0)</f>
        <v>30</v>
      </c>
      <c r="L128">
        <f>IFERROR(__xludf.DUMMYFUNCTION("""COMPUTED_VALUE"""),0.0)</f>
        <v>0</v>
      </c>
      <c r="M128">
        <f>IFERROR(__xludf.DUMMYFUNCTION("""COMPUTED_VALUE"""),0.0)</f>
        <v>0</v>
      </c>
    </row>
    <row r="129">
      <c r="A129" s="6" t="str">
        <f>IFERROR(__xludf.DUMMYFUNCTION("IMPORTRANGE(""1Knt8XDGFY_MP2OzeadT1pDENTLOdk9Ab_Rd9IdW0kzc"",""Round 8!W1"")"),"Question: 21")</f>
        <v>Question: 21</v>
      </c>
      <c r="B129" s="7" t="s">
        <v>154</v>
      </c>
    </row>
    <row r="130">
      <c r="A130" s="6"/>
    </row>
    <row r="131">
      <c r="A131" s="2" t="s">
        <v>168</v>
      </c>
      <c r="B131" t="str">
        <f>IFERROR(__xludf.DUMMYFUNCTION("{IMPORTRANGE(""16i4gsLDaJasgGgtJt27HweoboYNaal3qpX3MtxIR2f0"",""Round 8!C1:H3""),IMPORTRANGE(""16i4gsLDaJasgGgtJt27HweoboYNaal3qpX3MtxIR2f0"",""Round 8!M1:R3"")}"),"Westview B (V)")</f>
        <v>Westview B (V)</v>
      </c>
      <c r="C131" t="str">
        <f>IFERROR(__xludf.DUMMYFUNCTION("""COMPUTED_VALUE"""),"")</f>
        <v/>
      </c>
      <c r="D131" t="str">
        <f>IFERROR(__xludf.DUMMYFUNCTION("""COMPUTED_VALUE"""),"")</f>
        <v/>
      </c>
      <c r="E131" t="str">
        <f>IFERROR(__xludf.DUMMYFUNCTION("""COMPUTED_VALUE"""),"")</f>
        <v/>
      </c>
      <c r="F131" t="str">
        <f>IFERROR(__xludf.DUMMYFUNCTION("""COMPUTED_VALUE"""),"")</f>
        <v/>
      </c>
      <c r="G131" t="str">
        <f>IFERROR(__xludf.DUMMYFUNCTION("""COMPUTED_VALUE"""),"")</f>
        <v/>
      </c>
      <c r="H131" t="str">
        <f>IFERROR(__xludf.DUMMYFUNCTION("""COMPUTED_VALUE"""),"Westview A (V)")</f>
        <v>Westview A (V)</v>
      </c>
      <c r="I131" t="str">
        <f>IFERROR(__xludf.DUMMYFUNCTION("""COMPUTED_VALUE"""),"")</f>
        <v/>
      </c>
      <c r="J131" t="str">
        <f>IFERROR(__xludf.DUMMYFUNCTION("""COMPUTED_VALUE"""),"")</f>
        <v/>
      </c>
      <c r="K131" t="str">
        <f>IFERROR(__xludf.DUMMYFUNCTION("""COMPUTED_VALUE"""),"")</f>
        <v/>
      </c>
      <c r="L131" t="str">
        <f>IFERROR(__xludf.DUMMYFUNCTION("""COMPUTED_VALUE"""),"")</f>
        <v/>
      </c>
      <c r="M131" t="str">
        <f>IFERROR(__xludf.DUMMYFUNCTION("""COMPUTED_VALUE"""),"")</f>
        <v/>
      </c>
    </row>
    <row r="132">
      <c r="A132" s="6" t="str">
        <f>IFERROR(__xludf.DUMMYFUNCTION("CONCAT(""A BP: "",IMPORTRANGE(""16i4gsLDaJasgGgtJt27HweoboYNaal3qpX3MtxIR2f0"",""Round 8!I32""))"),"A BP: 180")</f>
        <v>A BP: 180</v>
      </c>
      <c r="B132" t="str">
        <f>IFERROR(__xludf.DUMMYFUNCTION("""COMPUTED_VALUE"""),"Score: 275")</f>
        <v>Score: 275</v>
      </c>
      <c r="C132" t="str">
        <f>IFERROR(__xludf.DUMMYFUNCTION("""COMPUTED_VALUE"""),"")</f>
        <v/>
      </c>
      <c r="D132" t="str">
        <f>IFERROR(__xludf.DUMMYFUNCTION("""COMPUTED_VALUE"""),"")</f>
        <v/>
      </c>
      <c r="E132" t="str">
        <f>IFERROR(__xludf.DUMMYFUNCTION("""COMPUTED_VALUE"""),"")</f>
        <v/>
      </c>
      <c r="F132" t="str">
        <f>IFERROR(__xludf.DUMMYFUNCTION("""COMPUTED_VALUE"""),"")</f>
        <v/>
      </c>
      <c r="G132" t="str">
        <f>IFERROR(__xludf.DUMMYFUNCTION("""COMPUTED_VALUE"""),"")</f>
        <v/>
      </c>
      <c r="H132" t="str">
        <f>IFERROR(__xludf.DUMMYFUNCTION("""COMPUTED_VALUE"""),"Score: 460")</f>
        <v>Score: 460</v>
      </c>
      <c r="I132" t="str">
        <f>IFERROR(__xludf.DUMMYFUNCTION("""COMPUTED_VALUE"""),"")</f>
        <v/>
      </c>
      <c r="J132" t="str">
        <f>IFERROR(__xludf.DUMMYFUNCTION("""COMPUTED_VALUE"""),"")</f>
        <v/>
      </c>
      <c r="K132" t="str">
        <f>IFERROR(__xludf.DUMMYFUNCTION("""COMPUTED_VALUE"""),"")</f>
        <v/>
      </c>
      <c r="L132" t="str">
        <f>IFERROR(__xludf.DUMMYFUNCTION("""COMPUTED_VALUE"""),"")</f>
        <v/>
      </c>
      <c r="M132" t="str">
        <f>IFERROR(__xludf.DUMMYFUNCTION("""COMPUTED_VALUE"""),"")</f>
        <v/>
      </c>
    </row>
    <row r="133">
      <c r="A133" s="6" t="str">
        <f>IFERROR(__xludf.DUMMYFUNCTION("CONCAT(""B BP: "",IMPORTRANGE(""16i4gsLDaJasgGgtJt27HweoboYNaal3qpX3MtxIR2f0"",""Round 8!S32""))"),"B BP: 300")</f>
        <v>B BP: 300</v>
      </c>
      <c r="B133" t="str">
        <f>IFERROR(__xludf.DUMMYFUNCTION("""COMPUTED_VALUE"""),"Nicholas Dai (11)")</f>
        <v>Nicholas Dai (11)</v>
      </c>
      <c r="C133" t="str">
        <f>IFERROR(__xludf.DUMMYFUNCTION("""COMPUTED_VALUE"""),"Rohan Venkateswaran (12)")</f>
        <v>Rohan Venkateswaran (12)</v>
      </c>
      <c r="D133" t="str">
        <f>IFERROR(__xludf.DUMMYFUNCTION("""COMPUTED_VALUE"""),"Andrew Jia (11)")</f>
        <v>Andrew Jia (11)</v>
      </c>
      <c r="E133" t="str">
        <f>IFERROR(__xludf.DUMMYFUNCTION("""COMPUTED_VALUE"""),"Richard Lin (9)")</f>
        <v>Richard Lin (9)</v>
      </c>
      <c r="F133" t="str">
        <f>IFERROR(__xludf.DUMMYFUNCTION("""COMPUTED_VALUE"""),"Player 5")</f>
        <v>Player 5</v>
      </c>
      <c r="G133" t="str">
        <f>IFERROR(__xludf.DUMMYFUNCTION("""COMPUTED_VALUE"""),"Player 6")</f>
        <v>Player 6</v>
      </c>
      <c r="H133" t="str">
        <f>IFERROR(__xludf.DUMMYFUNCTION("""COMPUTED_VALUE"""),"Shahar Schwartz (12)")</f>
        <v>Shahar Schwartz (12)</v>
      </c>
      <c r="I133" t="str">
        <f>IFERROR(__xludf.DUMMYFUNCTION("""COMPUTED_VALUE"""),"Junu Song (12)")</f>
        <v>Junu Song (12)</v>
      </c>
      <c r="J133" t="str">
        <f>IFERROR(__xludf.DUMMYFUNCTION("""COMPUTED_VALUE"""),"Daniel Jung (12)")</f>
        <v>Daniel Jung (12)</v>
      </c>
      <c r="K133" t="str">
        <f>IFERROR(__xludf.DUMMYFUNCTION("""COMPUTED_VALUE"""),"Gary Lin (11)")</f>
        <v>Gary Lin (11)</v>
      </c>
      <c r="L133" t="str">
        <f>IFERROR(__xludf.DUMMYFUNCTION("""COMPUTED_VALUE"""),"Player 5")</f>
        <v>Player 5</v>
      </c>
      <c r="M133" t="str">
        <f>IFERROR(__xludf.DUMMYFUNCTION("""COMPUTED_VALUE"""),"Player 6")</f>
        <v>Player 6</v>
      </c>
    </row>
    <row r="134">
      <c r="A134" s="2" t="s">
        <v>123</v>
      </c>
      <c r="B134">
        <f>IFERROR(__xludf.DUMMYFUNCTION("{IMPORTRANGE(""16i4gsLDaJasgGgtJt27HweoboYNaal3qpX3MtxIR2f0"",""Round 8!C32:H36""),IMPORTRANGE(""16i4gsLDaJasgGgtJt27HweoboYNaal3qpX3MtxIR2f0"",""Round 8!M32:R36"")}"),20.0)</f>
        <v>20</v>
      </c>
      <c r="C134">
        <f>IFERROR(__xludf.DUMMYFUNCTION("""COMPUTED_VALUE"""),20.0)</f>
        <v>20</v>
      </c>
      <c r="D134">
        <f>IFERROR(__xludf.DUMMYFUNCTION("""COMPUTED_VALUE"""),20.0)</f>
        <v>20</v>
      </c>
      <c r="E134">
        <f>IFERROR(__xludf.DUMMYFUNCTION("""COMPUTED_VALUE"""),20.0)</f>
        <v>20</v>
      </c>
      <c r="F134" t="str">
        <f>IFERROR(__xludf.DUMMYFUNCTION("""COMPUTED_VALUE"""),"")</f>
        <v/>
      </c>
      <c r="G134" t="str">
        <f>IFERROR(__xludf.DUMMYFUNCTION("""COMPUTED_VALUE"""),"")</f>
        <v/>
      </c>
      <c r="H134">
        <f>IFERROR(__xludf.DUMMYFUNCTION("""COMPUTED_VALUE"""),20.0)</f>
        <v>20</v>
      </c>
      <c r="I134">
        <f>IFERROR(__xludf.DUMMYFUNCTION("""COMPUTED_VALUE"""),20.0)</f>
        <v>20</v>
      </c>
      <c r="J134">
        <f>IFERROR(__xludf.DUMMYFUNCTION("""COMPUTED_VALUE"""),20.0)</f>
        <v>20</v>
      </c>
      <c r="K134">
        <f>IFERROR(__xludf.DUMMYFUNCTION("""COMPUTED_VALUE"""),20.0)</f>
        <v>20</v>
      </c>
      <c r="L134" t="str">
        <f>IFERROR(__xludf.DUMMYFUNCTION("""COMPUTED_VALUE"""),"")</f>
        <v/>
      </c>
      <c r="M134" t="str">
        <f>IFERROR(__xludf.DUMMYFUNCTION("""COMPUTED_VALUE"""),"")</f>
        <v/>
      </c>
    </row>
    <row r="135">
      <c r="A135" s="2">
        <v>15.0</v>
      </c>
      <c r="B135">
        <f>IFERROR(__xludf.DUMMYFUNCTION("""COMPUTED_VALUE"""),1.0)</f>
        <v>1</v>
      </c>
      <c r="C135">
        <f>IFERROR(__xludf.DUMMYFUNCTION("""COMPUTED_VALUE"""),2.0)</f>
        <v>2</v>
      </c>
      <c r="D135">
        <f>IFERROR(__xludf.DUMMYFUNCTION("""COMPUTED_VALUE"""),1.0)</f>
        <v>1</v>
      </c>
      <c r="E135">
        <f>IFERROR(__xludf.DUMMYFUNCTION("""COMPUTED_VALUE"""),0.0)</f>
        <v>0</v>
      </c>
      <c r="F135">
        <f>IFERROR(__xludf.DUMMYFUNCTION("""COMPUTED_VALUE"""),0.0)</f>
        <v>0</v>
      </c>
      <c r="G135">
        <f>IFERROR(__xludf.DUMMYFUNCTION("""COMPUTED_VALUE"""),0.0)</f>
        <v>0</v>
      </c>
      <c r="H135">
        <f>IFERROR(__xludf.DUMMYFUNCTION("""COMPUTED_VALUE"""),5.0)</f>
        <v>5</v>
      </c>
      <c r="I135">
        <f>IFERROR(__xludf.DUMMYFUNCTION("""COMPUTED_VALUE"""),3.0)</f>
        <v>3</v>
      </c>
      <c r="J135">
        <f>IFERROR(__xludf.DUMMYFUNCTION("""COMPUTED_VALUE"""),0.0)</f>
        <v>0</v>
      </c>
      <c r="K135">
        <f>IFERROR(__xludf.DUMMYFUNCTION("""COMPUTED_VALUE"""),1.0)</f>
        <v>1</v>
      </c>
      <c r="L135">
        <f>IFERROR(__xludf.DUMMYFUNCTION("""COMPUTED_VALUE"""),0.0)</f>
        <v>0</v>
      </c>
      <c r="M135">
        <f>IFERROR(__xludf.DUMMYFUNCTION("""COMPUTED_VALUE"""),0.0)</f>
        <v>0</v>
      </c>
    </row>
    <row r="136">
      <c r="A136" s="2">
        <v>10.0</v>
      </c>
      <c r="B136">
        <f>IFERROR(__xludf.DUMMYFUNCTION("""COMPUTED_VALUE"""),2.0)</f>
        <v>2</v>
      </c>
      <c r="C136">
        <f>IFERROR(__xludf.DUMMYFUNCTION("""COMPUTED_VALUE"""),2.0)</f>
        <v>2</v>
      </c>
      <c r="D136">
        <f>IFERROR(__xludf.DUMMYFUNCTION("""COMPUTED_VALUE"""),0.0)</f>
        <v>0</v>
      </c>
      <c r="E136">
        <f>IFERROR(__xludf.DUMMYFUNCTION("""COMPUTED_VALUE"""),0.0)</f>
        <v>0</v>
      </c>
      <c r="F136">
        <f>IFERROR(__xludf.DUMMYFUNCTION("""COMPUTED_VALUE"""),0.0)</f>
        <v>0</v>
      </c>
      <c r="G136">
        <f>IFERROR(__xludf.DUMMYFUNCTION("""COMPUTED_VALUE"""),0.0)</f>
        <v>0</v>
      </c>
      <c r="H136">
        <f>IFERROR(__xludf.DUMMYFUNCTION("""COMPUTED_VALUE"""),1.0)</f>
        <v>1</v>
      </c>
      <c r="I136">
        <f>IFERROR(__xludf.DUMMYFUNCTION("""COMPUTED_VALUE"""),1.0)</f>
        <v>1</v>
      </c>
      <c r="J136">
        <f>IFERROR(__xludf.DUMMYFUNCTION("""COMPUTED_VALUE"""),0.0)</f>
        <v>0</v>
      </c>
      <c r="K136">
        <f>IFERROR(__xludf.DUMMYFUNCTION("""COMPUTED_VALUE"""),1.0)</f>
        <v>1</v>
      </c>
      <c r="L136">
        <f>IFERROR(__xludf.DUMMYFUNCTION("""COMPUTED_VALUE"""),0.0)</f>
        <v>0</v>
      </c>
      <c r="M136">
        <f>IFERROR(__xludf.DUMMYFUNCTION("""COMPUTED_VALUE"""),0.0)</f>
        <v>0</v>
      </c>
    </row>
    <row r="137">
      <c r="A137" s="2">
        <v>-5.0</v>
      </c>
      <c r="B137">
        <f>IFERROR(__xludf.DUMMYFUNCTION("""COMPUTED_VALUE"""),1.0)</f>
        <v>1</v>
      </c>
      <c r="C137">
        <f>IFERROR(__xludf.DUMMYFUNCTION("""COMPUTED_VALUE"""),0.0)</f>
        <v>0</v>
      </c>
      <c r="D137">
        <f>IFERROR(__xludf.DUMMYFUNCTION("""COMPUTED_VALUE"""),0.0)</f>
        <v>0</v>
      </c>
      <c r="E137">
        <f>IFERROR(__xludf.DUMMYFUNCTION("""COMPUTED_VALUE"""),0.0)</f>
        <v>0</v>
      </c>
      <c r="F137">
        <f>IFERROR(__xludf.DUMMYFUNCTION("""COMPUTED_VALUE"""),0.0)</f>
        <v>0</v>
      </c>
      <c r="G137">
        <f>IFERROR(__xludf.DUMMYFUNCTION("""COMPUTED_VALUE"""),0.0)</f>
        <v>0</v>
      </c>
      <c r="H137">
        <f>IFERROR(__xludf.DUMMYFUNCTION("""COMPUTED_VALUE"""),1.0)</f>
        <v>1</v>
      </c>
      <c r="I137">
        <f>IFERROR(__xludf.DUMMYFUNCTION("""COMPUTED_VALUE"""),0.0)</f>
        <v>0</v>
      </c>
      <c r="J137">
        <f>IFERROR(__xludf.DUMMYFUNCTION("""COMPUTED_VALUE"""),0.0)</f>
        <v>0</v>
      </c>
      <c r="K137">
        <f>IFERROR(__xludf.DUMMYFUNCTION("""COMPUTED_VALUE"""),0.0)</f>
        <v>0</v>
      </c>
      <c r="L137">
        <f>IFERROR(__xludf.DUMMYFUNCTION("""COMPUTED_VALUE"""),0.0)</f>
        <v>0</v>
      </c>
      <c r="M137">
        <f>IFERROR(__xludf.DUMMYFUNCTION("""COMPUTED_VALUE"""),0.0)</f>
        <v>0</v>
      </c>
    </row>
    <row r="138">
      <c r="A138" s="2" t="s">
        <v>124</v>
      </c>
      <c r="B138">
        <f>IFERROR(__xludf.DUMMYFUNCTION("""COMPUTED_VALUE"""),30.0)</f>
        <v>30</v>
      </c>
      <c r="C138">
        <f>IFERROR(__xludf.DUMMYFUNCTION("""COMPUTED_VALUE"""),50.0)</f>
        <v>50</v>
      </c>
      <c r="D138">
        <f>IFERROR(__xludf.DUMMYFUNCTION("""COMPUTED_VALUE"""),15.0)</f>
        <v>15</v>
      </c>
      <c r="E138">
        <f>IFERROR(__xludf.DUMMYFUNCTION("""COMPUTED_VALUE"""),0.0)</f>
        <v>0</v>
      </c>
      <c r="F138">
        <f>IFERROR(__xludf.DUMMYFUNCTION("""COMPUTED_VALUE"""),0.0)</f>
        <v>0</v>
      </c>
      <c r="G138">
        <f>IFERROR(__xludf.DUMMYFUNCTION("""COMPUTED_VALUE"""),0.0)</f>
        <v>0</v>
      </c>
      <c r="H138">
        <f>IFERROR(__xludf.DUMMYFUNCTION("""COMPUTED_VALUE"""),80.0)</f>
        <v>80</v>
      </c>
      <c r="I138">
        <f>IFERROR(__xludf.DUMMYFUNCTION("""COMPUTED_VALUE"""),55.0)</f>
        <v>55</v>
      </c>
      <c r="J138">
        <f>IFERROR(__xludf.DUMMYFUNCTION("""COMPUTED_VALUE"""),0.0)</f>
        <v>0</v>
      </c>
      <c r="K138">
        <f>IFERROR(__xludf.DUMMYFUNCTION("""COMPUTED_VALUE"""),25.0)</f>
        <v>25</v>
      </c>
      <c r="L138">
        <f>IFERROR(__xludf.DUMMYFUNCTION("""COMPUTED_VALUE"""),0.0)</f>
        <v>0</v>
      </c>
      <c r="M138">
        <f>IFERROR(__xludf.DUMMYFUNCTION("""COMPUTED_VALUE"""),0.0)</f>
        <v>0</v>
      </c>
    </row>
    <row r="139">
      <c r="A139" s="6" t="str">
        <f>IFERROR(__xludf.DUMMYFUNCTION("IMPORTRANGE(""16i4gsLDaJasgGgtJt27HweoboYNaal3qpX3MtxIR2f0"",""Round 8!W1"")"),"Question: 21")</f>
        <v>Question: 21</v>
      </c>
      <c r="B139" s="7" t="s">
        <v>156</v>
      </c>
    </row>
    <row r="140">
      <c r="A140" s="6"/>
    </row>
    <row r="141">
      <c r="A141" s="2" t="s">
        <v>169</v>
      </c>
      <c r="B141" t="str">
        <f>IFERROR(__xludf.DUMMYFUNCTION("{IMPORTRANGE(""1KRyI2c190uhOTF270Hsdzh1rgG565QIaE9TymteaGNY"",""Round 8!C1:H3""),IMPORTRANGE(""1KRyI2c190uhOTF270Hsdzh1rgG565QIaE9TymteaGNY"",""Round 8!M1:R3"")}"),"Team A")</f>
        <v>Team A</v>
      </c>
      <c r="C141" t="str">
        <f>IFERROR(__xludf.DUMMYFUNCTION("""COMPUTED_VALUE"""),"")</f>
        <v/>
      </c>
      <c r="D141" t="str">
        <f>IFERROR(__xludf.DUMMYFUNCTION("""COMPUTED_VALUE"""),"")</f>
        <v/>
      </c>
      <c r="E141" t="str">
        <f>IFERROR(__xludf.DUMMYFUNCTION("""COMPUTED_VALUE"""),"")</f>
        <v/>
      </c>
      <c r="F141" t="str">
        <f>IFERROR(__xludf.DUMMYFUNCTION("""COMPUTED_VALUE"""),"")</f>
        <v/>
      </c>
      <c r="G141" t="str">
        <f>IFERROR(__xludf.DUMMYFUNCTION("""COMPUTED_VALUE"""),"")</f>
        <v/>
      </c>
      <c r="H141" t="str">
        <f>IFERROR(__xludf.DUMMYFUNCTION("""COMPUTED_VALUE"""),"Cathedral Catholic (V)")</f>
        <v>Cathedral Catholic (V)</v>
      </c>
      <c r="I141" t="str">
        <f>IFERROR(__xludf.DUMMYFUNCTION("""COMPUTED_VALUE"""),"")</f>
        <v/>
      </c>
      <c r="J141" t="str">
        <f>IFERROR(__xludf.DUMMYFUNCTION("""COMPUTED_VALUE"""),"")</f>
        <v/>
      </c>
      <c r="K141" t="str">
        <f>IFERROR(__xludf.DUMMYFUNCTION("""COMPUTED_VALUE"""),"")</f>
        <v/>
      </c>
      <c r="L141" t="str">
        <f>IFERROR(__xludf.DUMMYFUNCTION("""COMPUTED_VALUE"""),"")</f>
        <v/>
      </c>
      <c r="M141" t="str">
        <f>IFERROR(__xludf.DUMMYFUNCTION("""COMPUTED_VALUE"""),"")</f>
        <v/>
      </c>
    </row>
    <row r="142">
      <c r="A142" s="6" t="str">
        <f>IFERROR(__xludf.DUMMYFUNCTION("CONCAT(""A BP: "",IMPORTRANGE(""1KRyI2c190uhOTF270Hsdzh1rgG565QIaE9TymteaGNY"",""Round 8!I32""))"),"A BP: 0")</f>
        <v>A BP: 0</v>
      </c>
      <c r="B142" t="str">
        <f>IFERROR(__xludf.DUMMYFUNCTION("""COMPUTED_VALUE"""),"Score: 0")</f>
        <v>Score: 0</v>
      </c>
      <c r="C142" t="str">
        <f>IFERROR(__xludf.DUMMYFUNCTION("""COMPUTED_VALUE"""),"")</f>
        <v/>
      </c>
      <c r="D142" t="str">
        <f>IFERROR(__xludf.DUMMYFUNCTION("""COMPUTED_VALUE"""),"")</f>
        <v/>
      </c>
      <c r="E142" t="str">
        <f>IFERROR(__xludf.DUMMYFUNCTION("""COMPUTED_VALUE"""),"")</f>
        <v/>
      </c>
      <c r="F142" t="str">
        <f>IFERROR(__xludf.DUMMYFUNCTION("""COMPUTED_VALUE"""),"")</f>
        <v/>
      </c>
      <c r="G142" t="str">
        <f>IFERROR(__xludf.DUMMYFUNCTION("""COMPUTED_VALUE"""),"")</f>
        <v/>
      </c>
      <c r="H142" t="str">
        <f>IFERROR(__xludf.DUMMYFUNCTION("""COMPUTED_VALUE"""),"Score: 0")</f>
        <v>Score: 0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IFERROR(__xludf.DUMMYFUNCTION("""COMPUTED_VALUE"""),"")</f>
        <v/>
      </c>
      <c r="L142" t="str">
        <f>IFERROR(__xludf.DUMMYFUNCTION("""COMPUTED_VALUE"""),"")</f>
        <v/>
      </c>
      <c r="M142" t="str">
        <f>IFERROR(__xludf.DUMMYFUNCTION("""COMPUTED_VALUE"""),"")</f>
        <v/>
      </c>
    </row>
    <row r="143">
      <c r="A143" s="6" t="str">
        <f>IFERROR(__xludf.DUMMYFUNCTION("CONCAT(""B BP: "",IMPORTRANGE(""1KRyI2c190uhOTF270Hsdzh1rgG565QIaE9TymteaGNY"",""Round 8!S32""))"),"B BP: 0")</f>
        <v>B BP: 0</v>
      </c>
      <c r="B143" t="str">
        <f>IFERROR(__xludf.DUMMYFUNCTION("""COMPUTED_VALUE"""),"Player 1")</f>
        <v>Player 1</v>
      </c>
      <c r="C143" t="str">
        <f>IFERROR(__xludf.DUMMYFUNCTION("""COMPUTED_VALUE"""),"Player 2")</f>
        <v>Player 2</v>
      </c>
      <c r="D143" t="str">
        <f>IFERROR(__xludf.DUMMYFUNCTION("""COMPUTED_VALUE"""),"Player 3")</f>
        <v>Player 3</v>
      </c>
      <c r="E143" t="str">
        <f>IFERROR(__xludf.DUMMYFUNCTION("""COMPUTED_VALUE"""),"Player 4")</f>
        <v>Player 4</v>
      </c>
      <c r="F143" t="str">
        <f>IFERROR(__xludf.DUMMYFUNCTION("""COMPUTED_VALUE"""),"Player 5")</f>
        <v>Player 5</v>
      </c>
      <c r="G143" t="str">
        <f>IFERROR(__xludf.DUMMYFUNCTION("""COMPUTED_VALUE"""),"Player 6")</f>
        <v>Player 6</v>
      </c>
      <c r="H143" t="str">
        <f>IFERROR(__xludf.DUMMYFUNCTION("""COMPUTED_VALUE"""),"Sinead Archdeacon (10)")</f>
        <v>Sinead Archdeacon (10)</v>
      </c>
      <c r="I143" t="str">
        <f>IFERROR(__xludf.DUMMYFUNCTION("""COMPUTED_VALUE"""),"Jacob Titcomb (11)")</f>
        <v>Jacob Titcomb (11)</v>
      </c>
      <c r="J143" t="str">
        <f>IFERROR(__xludf.DUMMYFUNCTION("""COMPUTED_VALUE"""),"Ryan Shakiba (10)")</f>
        <v>Ryan Shakiba (10)</v>
      </c>
      <c r="K143" t="str">
        <f>IFERROR(__xludf.DUMMYFUNCTION("""COMPUTED_VALUE"""),"Player 4")</f>
        <v>Player 4</v>
      </c>
      <c r="L143" t="str">
        <f>IFERROR(__xludf.DUMMYFUNCTION("""COMPUTED_VALUE"""),"Player 5")</f>
        <v>Player 5</v>
      </c>
      <c r="M143" t="str">
        <f>IFERROR(__xludf.DUMMYFUNCTION("""COMPUTED_VALUE"""),"Player 6")</f>
        <v>Player 6</v>
      </c>
    </row>
    <row r="144">
      <c r="A144" s="2" t="s">
        <v>123</v>
      </c>
      <c r="B144">
        <f>IFERROR(__xludf.DUMMYFUNCTION("{IMPORTRANGE(""1KRyI2c190uhOTF270Hsdzh1rgG565QIaE9TymteaGNY"",""Round 8!C32:H36""),IMPORTRANGE(""1KRyI2c190uhOTF270Hsdzh1rgG565QIaE9TymteaGNY"",""Round 8!M32:R36"")}"),20.0)</f>
        <v>20</v>
      </c>
      <c r="C144">
        <f>IFERROR(__xludf.DUMMYFUNCTION("""COMPUTED_VALUE"""),20.0)</f>
        <v>20</v>
      </c>
      <c r="D144">
        <f>IFERROR(__xludf.DUMMYFUNCTION("""COMPUTED_VALUE"""),20.0)</f>
        <v>20</v>
      </c>
      <c r="E144">
        <f>IFERROR(__xludf.DUMMYFUNCTION("""COMPUTED_VALUE"""),20.0)</f>
        <v>20</v>
      </c>
      <c r="F144" t="str">
        <f>IFERROR(__xludf.DUMMYFUNCTION("""COMPUTED_VALUE"""),"")</f>
        <v/>
      </c>
      <c r="G144" t="str">
        <f>IFERROR(__xludf.DUMMYFUNCTION("""COMPUTED_VALUE"""),"")</f>
        <v/>
      </c>
      <c r="H144">
        <f>IFERROR(__xludf.DUMMYFUNCTION("""COMPUTED_VALUE"""),20.0)</f>
        <v>20</v>
      </c>
      <c r="I144">
        <f>IFERROR(__xludf.DUMMYFUNCTION("""COMPUTED_VALUE"""),20.0)</f>
        <v>20</v>
      </c>
      <c r="J144">
        <f>IFERROR(__xludf.DUMMYFUNCTION("""COMPUTED_VALUE"""),20.0)</f>
        <v>20</v>
      </c>
      <c r="K144">
        <f>IFERROR(__xludf.DUMMYFUNCTION("""COMPUTED_VALUE"""),20.0)</f>
        <v>20</v>
      </c>
      <c r="L144" t="str">
        <f>IFERROR(__xludf.DUMMYFUNCTION("""COMPUTED_VALUE"""),"")</f>
        <v/>
      </c>
      <c r="M144" t="str">
        <f>IFERROR(__xludf.DUMMYFUNCTION("""COMPUTED_VALUE"""),"")</f>
        <v/>
      </c>
    </row>
    <row r="145">
      <c r="A145" s="2">
        <v>15.0</v>
      </c>
      <c r="B145">
        <f>IFERROR(__xludf.DUMMYFUNCTION("""COMPUTED_VALUE"""),0.0)</f>
        <v>0</v>
      </c>
      <c r="C145">
        <f>IFERROR(__xludf.DUMMYFUNCTION("""COMPUTED_VALUE"""),0.0)</f>
        <v>0</v>
      </c>
      <c r="D145">
        <f>IFERROR(__xludf.DUMMYFUNCTION("""COMPUTED_VALUE"""),0.0)</f>
        <v>0</v>
      </c>
      <c r="E145">
        <f>IFERROR(__xludf.DUMMYFUNCTION("""COMPUTED_VALUE"""),0.0)</f>
        <v>0</v>
      </c>
      <c r="F145">
        <f>IFERROR(__xludf.DUMMYFUNCTION("""COMPUTED_VALUE"""),0.0)</f>
        <v>0</v>
      </c>
      <c r="G145">
        <f>IFERROR(__xludf.DUMMYFUNCTION("""COMPUTED_VALUE"""),0.0)</f>
        <v>0</v>
      </c>
      <c r="H145">
        <f>IFERROR(__xludf.DUMMYFUNCTION("""COMPUTED_VALUE"""),0.0)</f>
        <v>0</v>
      </c>
      <c r="I145">
        <f>IFERROR(__xludf.DUMMYFUNCTION("""COMPUTED_VALUE"""),0.0)</f>
        <v>0</v>
      </c>
      <c r="J145">
        <f>IFERROR(__xludf.DUMMYFUNCTION("""COMPUTED_VALUE"""),0.0)</f>
        <v>0</v>
      </c>
      <c r="K145">
        <f>IFERROR(__xludf.DUMMYFUNCTION("""COMPUTED_VALUE"""),0.0)</f>
        <v>0</v>
      </c>
      <c r="L145">
        <f>IFERROR(__xludf.DUMMYFUNCTION("""COMPUTED_VALUE"""),0.0)</f>
        <v>0</v>
      </c>
      <c r="M145">
        <f>IFERROR(__xludf.DUMMYFUNCTION("""COMPUTED_VALUE"""),0.0)</f>
        <v>0</v>
      </c>
    </row>
    <row r="146">
      <c r="A146" s="2">
        <v>10.0</v>
      </c>
      <c r="B146">
        <f>IFERROR(__xludf.DUMMYFUNCTION("""COMPUTED_VALUE"""),0.0)</f>
        <v>0</v>
      </c>
      <c r="C146">
        <f>IFERROR(__xludf.DUMMYFUNCTION("""COMPUTED_VALUE"""),0.0)</f>
        <v>0</v>
      </c>
      <c r="D146">
        <f>IFERROR(__xludf.DUMMYFUNCTION("""COMPUTED_VALUE"""),0.0)</f>
        <v>0</v>
      </c>
      <c r="E146">
        <f>IFERROR(__xludf.DUMMYFUNCTION("""COMPUTED_VALUE"""),0.0)</f>
        <v>0</v>
      </c>
      <c r="F146">
        <f>IFERROR(__xludf.DUMMYFUNCTION("""COMPUTED_VALUE"""),0.0)</f>
        <v>0</v>
      </c>
      <c r="G146">
        <f>IFERROR(__xludf.DUMMYFUNCTION("""COMPUTED_VALUE"""),0.0)</f>
        <v>0</v>
      </c>
      <c r="H146">
        <f>IFERROR(__xludf.DUMMYFUNCTION("""COMPUTED_VALUE"""),0.0)</f>
        <v>0</v>
      </c>
      <c r="I146">
        <f>IFERROR(__xludf.DUMMYFUNCTION("""COMPUTED_VALUE"""),0.0)</f>
        <v>0</v>
      </c>
      <c r="J146">
        <f>IFERROR(__xludf.DUMMYFUNCTION("""COMPUTED_VALUE"""),0.0)</f>
        <v>0</v>
      </c>
      <c r="K146">
        <f>IFERROR(__xludf.DUMMYFUNCTION("""COMPUTED_VALUE"""),0.0)</f>
        <v>0</v>
      </c>
      <c r="L146">
        <f>IFERROR(__xludf.DUMMYFUNCTION("""COMPUTED_VALUE"""),0.0)</f>
        <v>0</v>
      </c>
      <c r="M146">
        <f>IFERROR(__xludf.DUMMYFUNCTION("""COMPUTED_VALUE"""),0.0)</f>
        <v>0</v>
      </c>
    </row>
    <row r="147">
      <c r="A147" s="2">
        <v>-5.0</v>
      </c>
      <c r="B147">
        <f>IFERROR(__xludf.DUMMYFUNCTION("""COMPUTED_VALUE"""),0.0)</f>
        <v>0</v>
      </c>
      <c r="C147">
        <f>IFERROR(__xludf.DUMMYFUNCTION("""COMPUTED_VALUE"""),0.0)</f>
        <v>0</v>
      </c>
      <c r="D147">
        <f>IFERROR(__xludf.DUMMYFUNCTION("""COMPUTED_VALUE"""),0.0)</f>
        <v>0</v>
      </c>
      <c r="E147">
        <f>IFERROR(__xludf.DUMMYFUNCTION("""COMPUTED_VALUE"""),0.0)</f>
        <v>0</v>
      </c>
      <c r="F147">
        <f>IFERROR(__xludf.DUMMYFUNCTION("""COMPUTED_VALUE"""),0.0)</f>
        <v>0</v>
      </c>
      <c r="G147">
        <f>IFERROR(__xludf.DUMMYFUNCTION("""COMPUTED_VALUE"""),0.0)</f>
        <v>0</v>
      </c>
      <c r="H147">
        <f>IFERROR(__xludf.DUMMYFUNCTION("""COMPUTED_VALUE"""),0.0)</f>
        <v>0</v>
      </c>
      <c r="I147">
        <f>IFERROR(__xludf.DUMMYFUNCTION("""COMPUTED_VALUE"""),0.0)</f>
        <v>0</v>
      </c>
      <c r="J147">
        <f>IFERROR(__xludf.DUMMYFUNCTION("""COMPUTED_VALUE"""),0.0)</f>
        <v>0</v>
      </c>
      <c r="K147">
        <f>IFERROR(__xludf.DUMMYFUNCTION("""COMPUTED_VALUE"""),0.0)</f>
        <v>0</v>
      </c>
      <c r="L147">
        <f>IFERROR(__xludf.DUMMYFUNCTION("""COMPUTED_VALUE"""),0.0)</f>
        <v>0</v>
      </c>
      <c r="M147">
        <f>IFERROR(__xludf.DUMMYFUNCTION("""COMPUTED_VALUE"""),0.0)</f>
        <v>0</v>
      </c>
    </row>
    <row r="148">
      <c r="A148" s="2" t="s">
        <v>124</v>
      </c>
      <c r="B148">
        <f>IFERROR(__xludf.DUMMYFUNCTION("""COMPUTED_VALUE"""),0.0)</f>
        <v>0</v>
      </c>
      <c r="C148">
        <f>IFERROR(__xludf.DUMMYFUNCTION("""COMPUTED_VALUE"""),0.0)</f>
        <v>0</v>
      </c>
      <c r="D148">
        <f>IFERROR(__xludf.DUMMYFUNCTION("""COMPUTED_VALUE"""),0.0)</f>
        <v>0</v>
      </c>
      <c r="E148">
        <f>IFERROR(__xludf.DUMMYFUNCTION("""COMPUTED_VALUE"""),0.0)</f>
        <v>0</v>
      </c>
      <c r="F148">
        <f>IFERROR(__xludf.DUMMYFUNCTION("""COMPUTED_VALUE"""),0.0)</f>
        <v>0</v>
      </c>
      <c r="G148">
        <f>IFERROR(__xludf.DUMMYFUNCTION("""COMPUTED_VALUE"""),0.0)</f>
        <v>0</v>
      </c>
      <c r="H148">
        <f>IFERROR(__xludf.DUMMYFUNCTION("""COMPUTED_VALUE"""),0.0)</f>
        <v>0</v>
      </c>
      <c r="I148">
        <f>IFERROR(__xludf.DUMMYFUNCTION("""COMPUTED_VALUE"""),0.0)</f>
        <v>0</v>
      </c>
      <c r="J148">
        <f>IFERROR(__xludf.DUMMYFUNCTION("""COMPUTED_VALUE"""),0.0)</f>
        <v>0</v>
      </c>
      <c r="K148">
        <f>IFERROR(__xludf.DUMMYFUNCTION("""COMPUTED_VALUE"""),0.0)</f>
        <v>0</v>
      </c>
      <c r="L148">
        <f>IFERROR(__xludf.DUMMYFUNCTION("""COMPUTED_VALUE"""),0.0)</f>
        <v>0</v>
      </c>
      <c r="M148">
        <f>IFERROR(__xludf.DUMMYFUNCTION("""COMPUTED_VALUE"""),0.0)</f>
        <v>0</v>
      </c>
    </row>
    <row r="149">
      <c r="A149" s="6" t="str">
        <f>IFERROR(__xludf.DUMMYFUNCTION("IMPORTRANGE(""1KRyI2c190uhOTF270Hsdzh1rgG565QIaE9TymteaGNY"",""Round 8!W1"")"),"Question: 1")</f>
        <v>Question: 1</v>
      </c>
      <c r="B149" s="7" t="s">
        <v>158</v>
      </c>
    </row>
    <row r="150">
      <c r="A150" s="6"/>
    </row>
    <row r="151">
      <c r="A151" s="2" t="s">
        <v>170</v>
      </c>
      <c r="B151" t="str">
        <f>IFERROR(__xludf.DUMMYFUNCTION("{IMPORTRANGE(""1zr0uYCpJ5izByVOUCsr6JXezthGEdLXnwOrjIKGx5XI"",""Round 8!C1:H3""),IMPORTRANGE(""1zr0uYCpJ5izByVOUCsr6JXezthGEdLXnwOrjIKGx5XI"",""Round 8!M1:R3"")}"),"Arcadia (V)")</f>
        <v>Arcadia (V)</v>
      </c>
      <c r="C151" t="str">
        <f>IFERROR(__xludf.DUMMYFUNCTION("""COMPUTED_VALUE"""),"")</f>
        <v/>
      </c>
      <c r="D151" t="str">
        <f>IFERROR(__xludf.DUMMYFUNCTION("""COMPUTED_VALUE"""),"")</f>
        <v/>
      </c>
      <c r="E151" t="str">
        <f>IFERROR(__xludf.DUMMYFUNCTION("""COMPUTED_VALUE"""),"")</f>
        <v/>
      </c>
      <c r="F151" t="str">
        <f>IFERROR(__xludf.DUMMYFUNCTION("""COMPUTED_VALUE"""),"")</f>
        <v/>
      </c>
      <c r="G151" t="str">
        <f>IFERROR(__xludf.DUMMYFUNCTION("""COMPUTED_VALUE"""),"")</f>
        <v/>
      </c>
      <c r="H151" t="str">
        <f>IFERROR(__xludf.DUMMYFUNCTION("""COMPUTED_VALUE"""),"Canyon Crest A (V)")</f>
        <v>Canyon Crest A (V)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IFERROR(__xludf.DUMMYFUNCTION("""COMPUTED_VALUE"""),"")</f>
        <v/>
      </c>
      <c r="L151" t="str">
        <f>IFERROR(__xludf.DUMMYFUNCTION("""COMPUTED_VALUE"""),"")</f>
        <v/>
      </c>
      <c r="M151" t="str">
        <f>IFERROR(__xludf.DUMMYFUNCTION("""COMPUTED_VALUE"""),"")</f>
        <v/>
      </c>
    </row>
    <row r="152">
      <c r="A152" s="6" t="str">
        <f>IFERROR(__xludf.DUMMYFUNCTION("CONCAT(""A BP: "",IMPORTRANGE(""1zr0uYCpJ5izByVOUCsr6JXezthGEdLXnwOrjIKGx5XI"",""Round 8!I32""))"),"A BP: 260")</f>
        <v>A BP: 260</v>
      </c>
      <c r="B152" t="str">
        <f>IFERROR(__xludf.DUMMYFUNCTION("""COMPUTED_VALUE"""),"Score: 405")</f>
        <v>Score: 405</v>
      </c>
      <c r="C152" t="str">
        <f>IFERROR(__xludf.DUMMYFUNCTION("""COMPUTED_VALUE"""),"")</f>
        <v/>
      </c>
      <c r="D152" t="str">
        <f>IFERROR(__xludf.DUMMYFUNCTION("""COMPUTED_VALUE"""),"")</f>
        <v/>
      </c>
      <c r="E152" t="str">
        <f>IFERROR(__xludf.DUMMYFUNCTION("""COMPUTED_VALUE"""),"")</f>
        <v/>
      </c>
      <c r="F152" t="str">
        <f>IFERROR(__xludf.DUMMYFUNCTION("""COMPUTED_VALUE"""),"")</f>
        <v/>
      </c>
      <c r="G152" t="str">
        <f>IFERROR(__xludf.DUMMYFUNCTION("""COMPUTED_VALUE"""),"")</f>
        <v/>
      </c>
      <c r="H152" t="str">
        <f>IFERROR(__xludf.DUMMYFUNCTION("""COMPUTED_VALUE"""),"Score: 250")</f>
        <v>Score: 250</v>
      </c>
      <c r="I152" t="str">
        <f>IFERROR(__xludf.DUMMYFUNCTION("""COMPUTED_VALUE"""),"")</f>
        <v/>
      </c>
      <c r="J152" t="str">
        <f>IFERROR(__xludf.DUMMYFUNCTION("""COMPUTED_VALUE"""),"")</f>
        <v/>
      </c>
      <c r="K152" t="str">
        <f>IFERROR(__xludf.DUMMYFUNCTION("""COMPUTED_VALUE"""),"")</f>
        <v/>
      </c>
      <c r="L152" t="str">
        <f>IFERROR(__xludf.DUMMYFUNCTION("""COMPUTED_VALUE"""),"")</f>
        <v/>
      </c>
      <c r="M152" t="str">
        <f>IFERROR(__xludf.DUMMYFUNCTION("""COMPUTED_VALUE"""),"")</f>
        <v/>
      </c>
    </row>
    <row r="153">
      <c r="A153" s="6" t="str">
        <f>IFERROR(__xludf.DUMMYFUNCTION("CONCAT(""B BP: "",IMPORTRANGE(""1zr0uYCpJ5izByVOUCsr6JXezthGEdLXnwOrjIKGx5XI"",""Round 8!S32""))"),"B BP: 160")</f>
        <v>B BP: 160</v>
      </c>
      <c r="B153" t="str">
        <f>IFERROR(__xludf.DUMMYFUNCTION("""COMPUTED_VALUE"""),"Amogh Kulkarni (10)")</f>
        <v>Amogh Kulkarni (10)</v>
      </c>
      <c r="C153" t="str">
        <f>IFERROR(__xludf.DUMMYFUNCTION("""COMPUTED_VALUE"""),"Spencer Cheng (12)")</f>
        <v>Spencer Cheng (12)</v>
      </c>
      <c r="D153" t="str">
        <f>IFERROR(__xludf.DUMMYFUNCTION("""COMPUTED_VALUE"""),"Ryan Sun (10)")</f>
        <v>Ryan Sun (10)</v>
      </c>
      <c r="E153" t="str">
        <f>IFERROR(__xludf.DUMMYFUNCTION("""COMPUTED_VALUE"""),"Michael Kwok (10)")</f>
        <v>Michael Kwok (10)</v>
      </c>
      <c r="F153" t="str">
        <f>IFERROR(__xludf.DUMMYFUNCTION("""COMPUTED_VALUE"""),"Player 5")</f>
        <v>Player 5</v>
      </c>
      <c r="G153" t="str">
        <f>IFERROR(__xludf.DUMMYFUNCTION("""COMPUTED_VALUE"""),"Player 6")</f>
        <v>Player 6</v>
      </c>
      <c r="H153" t="str">
        <f>IFERROR(__xludf.DUMMYFUNCTION("""COMPUTED_VALUE"""),"Wesley Zhang (12)")</f>
        <v>Wesley Zhang (12)</v>
      </c>
      <c r="I153" t="str">
        <f>IFERROR(__xludf.DUMMYFUNCTION("""COMPUTED_VALUE"""),"Leo Gu (10)")</f>
        <v>Leo Gu (10)</v>
      </c>
      <c r="J153" t="str">
        <f>IFERROR(__xludf.DUMMYFUNCTION("""COMPUTED_VALUE"""),"Player 3")</f>
        <v>Player 3</v>
      </c>
      <c r="K153" t="str">
        <f>IFERROR(__xludf.DUMMYFUNCTION("""COMPUTED_VALUE"""),"Player 4")</f>
        <v>Player 4</v>
      </c>
      <c r="L153" t="str">
        <f>IFERROR(__xludf.DUMMYFUNCTION("""COMPUTED_VALUE"""),"Player 5")</f>
        <v>Player 5</v>
      </c>
      <c r="M153" t="str">
        <f>IFERROR(__xludf.DUMMYFUNCTION("""COMPUTED_VALUE"""),"Player 6")</f>
        <v>Player 6</v>
      </c>
    </row>
    <row r="154">
      <c r="A154" s="2" t="s">
        <v>123</v>
      </c>
      <c r="B154">
        <f>IFERROR(__xludf.DUMMYFUNCTION("{IMPORTRANGE(""1zr0uYCpJ5izByVOUCsr6JXezthGEdLXnwOrjIKGx5XI"",""Round 8!C32:H36""),IMPORTRANGE(""1zr0uYCpJ5izByVOUCsr6JXezthGEdLXnwOrjIKGx5XI"",""Round 8!M32:R36"")}"),20.0)</f>
        <v>20</v>
      </c>
      <c r="C154">
        <f>IFERROR(__xludf.DUMMYFUNCTION("""COMPUTED_VALUE"""),20.0)</f>
        <v>20</v>
      </c>
      <c r="D154">
        <f>IFERROR(__xludf.DUMMYFUNCTION("""COMPUTED_VALUE"""),20.0)</f>
        <v>20</v>
      </c>
      <c r="E154">
        <f>IFERROR(__xludf.DUMMYFUNCTION("""COMPUTED_VALUE"""),20.0)</f>
        <v>20</v>
      </c>
      <c r="F154" t="str">
        <f>IFERROR(__xludf.DUMMYFUNCTION("""COMPUTED_VALUE"""),"")</f>
        <v/>
      </c>
      <c r="G154" t="str">
        <f>IFERROR(__xludf.DUMMYFUNCTION("""COMPUTED_VALUE"""),"")</f>
        <v/>
      </c>
      <c r="H154">
        <f>IFERROR(__xludf.DUMMYFUNCTION("""COMPUTED_VALUE"""),20.0)</f>
        <v>20</v>
      </c>
      <c r="I154">
        <f>IFERROR(__xludf.DUMMYFUNCTION("""COMPUTED_VALUE"""),20.0)</f>
        <v>20</v>
      </c>
      <c r="J154">
        <f>IFERROR(__xludf.DUMMYFUNCTION("""COMPUTED_VALUE"""),20.0)</f>
        <v>20</v>
      </c>
      <c r="K154">
        <f>IFERROR(__xludf.DUMMYFUNCTION("""COMPUTED_VALUE"""),20.0)</f>
        <v>20</v>
      </c>
      <c r="L154" t="str">
        <f>IFERROR(__xludf.DUMMYFUNCTION("""COMPUTED_VALUE"""),"")</f>
        <v/>
      </c>
      <c r="M154" t="str">
        <f>IFERROR(__xludf.DUMMYFUNCTION("""COMPUTED_VALUE"""),"")</f>
        <v/>
      </c>
    </row>
    <row r="155">
      <c r="A155" s="2">
        <v>15.0</v>
      </c>
      <c r="B155">
        <f>IFERROR(__xludf.DUMMYFUNCTION("""COMPUTED_VALUE"""),4.0)</f>
        <v>4</v>
      </c>
      <c r="C155">
        <f>IFERROR(__xludf.DUMMYFUNCTION("""COMPUTED_VALUE"""),0.0)</f>
        <v>0</v>
      </c>
      <c r="D155">
        <f>IFERROR(__xludf.DUMMYFUNCTION("""COMPUTED_VALUE"""),5.0)</f>
        <v>5</v>
      </c>
      <c r="E155">
        <f>IFERROR(__xludf.DUMMYFUNCTION("""COMPUTED_VALUE"""),0.0)</f>
        <v>0</v>
      </c>
      <c r="F155">
        <f>IFERROR(__xludf.DUMMYFUNCTION("""COMPUTED_VALUE"""),0.0)</f>
        <v>0</v>
      </c>
      <c r="G155">
        <f>IFERROR(__xludf.DUMMYFUNCTION("""COMPUTED_VALUE"""),0.0)</f>
        <v>0</v>
      </c>
      <c r="H155">
        <f>IFERROR(__xludf.DUMMYFUNCTION("""COMPUTED_VALUE"""),4.0)</f>
        <v>4</v>
      </c>
      <c r="I155">
        <f>IFERROR(__xludf.DUMMYFUNCTION("""COMPUTED_VALUE"""),1.0)</f>
        <v>1</v>
      </c>
      <c r="J155">
        <f>IFERROR(__xludf.DUMMYFUNCTION("""COMPUTED_VALUE"""),0.0)</f>
        <v>0</v>
      </c>
      <c r="K155">
        <f>IFERROR(__xludf.DUMMYFUNCTION("""COMPUTED_VALUE"""),0.0)</f>
        <v>0</v>
      </c>
      <c r="L155">
        <f>IFERROR(__xludf.DUMMYFUNCTION("""COMPUTED_VALUE"""),0.0)</f>
        <v>0</v>
      </c>
      <c r="M155">
        <f>IFERROR(__xludf.DUMMYFUNCTION("""COMPUTED_VALUE"""),0.0)</f>
        <v>0</v>
      </c>
    </row>
    <row r="156">
      <c r="A156" s="2">
        <v>10.0</v>
      </c>
      <c r="B156">
        <f>IFERROR(__xludf.DUMMYFUNCTION("""COMPUTED_VALUE"""),1.0)</f>
        <v>1</v>
      </c>
      <c r="C156">
        <f>IFERROR(__xludf.DUMMYFUNCTION("""COMPUTED_VALUE"""),2.0)</f>
        <v>2</v>
      </c>
      <c r="D156">
        <f>IFERROR(__xludf.DUMMYFUNCTION("""COMPUTED_VALUE"""),0.0)</f>
        <v>0</v>
      </c>
      <c r="E156">
        <f>IFERROR(__xludf.DUMMYFUNCTION("""COMPUTED_VALUE"""),0.0)</f>
        <v>0</v>
      </c>
      <c r="F156">
        <f>IFERROR(__xludf.DUMMYFUNCTION("""COMPUTED_VALUE"""),0.0)</f>
        <v>0</v>
      </c>
      <c r="G156">
        <f>IFERROR(__xludf.DUMMYFUNCTION("""COMPUTED_VALUE"""),0.0)</f>
        <v>0</v>
      </c>
      <c r="H156">
        <f>IFERROR(__xludf.DUMMYFUNCTION("""COMPUTED_VALUE"""),0.0)</f>
        <v>0</v>
      </c>
      <c r="I156">
        <f>IFERROR(__xludf.DUMMYFUNCTION("""COMPUTED_VALUE"""),2.0)</f>
        <v>2</v>
      </c>
      <c r="J156">
        <f>IFERROR(__xludf.DUMMYFUNCTION("""COMPUTED_VALUE"""),0.0)</f>
        <v>0</v>
      </c>
      <c r="K156">
        <f>IFERROR(__xludf.DUMMYFUNCTION("""COMPUTED_VALUE"""),0.0)</f>
        <v>0</v>
      </c>
      <c r="L156">
        <f>IFERROR(__xludf.DUMMYFUNCTION("""COMPUTED_VALUE"""),0.0)</f>
        <v>0</v>
      </c>
      <c r="M156">
        <f>IFERROR(__xludf.DUMMYFUNCTION("""COMPUTED_VALUE"""),0.0)</f>
        <v>0</v>
      </c>
    </row>
    <row r="157">
      <c r="A157" s="2">
        <v>-5.0</v>
      </c>
      <c r="B157">
        <f>IFERROR(__xludf.DUMMYFUNCTION("""COMPUTED_VALUE"""),0.0)</f>
        <v>0</v>
      </c>
      <c r="C157">
        <f>IFERROR(__xludf.DUMMYFUNCTION("""COMPUTED_VALUE"""),2.0)</f>
        <v>2</v>
      </c>
      <c r="D157">
        <f>IFERROR(__xludf.DUMMYFUNCTION("""COMPUTED_VALUE"""),2.0)</f>
        <v>2</v>
      </c>
      <c r="E157">
        <f>IFERROR(__xludf.DUMMYFUNCTION("""COMPUTED_VALUE"""),0.0)</f>
        <v>0</v>
      </c>
      <c r="F157">
        <f>IFERROR(__xludf.DUMMYFUNCTION("""COMPUTED_VALUE"""),0.0)</f>
        <v>0</v>
      </c>
      <c r="G157">
        <f>IFERROR(__xludf.DUMMYFUNCTION("""COMPUTED_VALUE"""),0.0)</f>
        <v>0</v>
      </c>
      <c r="H157">
        <f>IFERROR(__xludf.DUMMYFUNCTION("""COMPUTED_VALUE"""),0.0)</f>
        <v>0</v>
      </c>
      <c r="I157">
        <f>IFERROR(__xludf.DUMMYFUNCTION("""COMPUTED_VALUE"""),1.0)</f>
        <v>1</v>
      </c>
      <c r="J157">
        <f>IFERROR(__xludf.DUMMYFUNCTION("""COMPUTED_VALUE"""),0.0)</f>
        <v>0</v>
      </c>
      <c r="K157">
        <f>IFERROR(__xludf.DUMMYFUNCTION("""COMPUTED_VALUE"""),0.0)</f>
        <v>0</v>
      </c>
      <c r="L157">
        <f>IFERROR(__xludf.DUMMYFUNCTION("""COMPUTED_VALUE"""),0.0)</f>
        <v>0</v>
      </c>
      <c r="M157">
        <f>IFERROR(__xludf.DUMMYFUNCTION("""COMPUTED_VALUE"""),0.0)</f>
        <v>0</v>
      </c>
    </row>
    <row r="158">
      <c r="A158" s="2" t="s">
        <v>124</v>
      </c>
      <c r="B158">
        <f>IFERROR(__xludf.DUMMYFUNCTION("""COMPUTED_VALUE"""),70.0)</f>
        <v>70</v>
      </c>
      <c r="C158">
        <f>IFERROR(__xludf.DUMMYFUNCTION("""COMPUTED_VALUE"""),10.0)</f>
        <v>10</v>
      </c>
      <c r="D158">
        <f>IFERROR(__xludf.DUMMYFUNCTION("""COMPUTED_VALUE"""),65.0)</f>
        <v>65</v>
      </c>
      <c r="E158">
        <f>IFERROR(__xludf.DUMMYFUNCTION("""COMPUTED_VALUE"""),0.0)</f>
        <v>0</v>
      </c>
      <c r="F158">
        <f>IFERROR(__xludf.DUMMYFUNCTION("""COMPUTED_VALUE"""),0.0)</f>
        <v>0</v>
      </c>
      <c r="G158">
        <f>IFERROR(__xludf.DUMMYFUNCTION("""COMPUTED_VALUE"""),0.0)</f>
        <v>0</v>
      </c>
      <c r="H158">
        <f>IFERROR(__xludf.DUMMYFUNCTION("""COMPUTED_VALUE"""),60.0)</f>
        <v>60</v>
      </c>
      <c r="I158">
        <f>IFERROR(__xludf.DUMMYFUNCTION("""COMPUTED_VALUE"""),30.0)</f>
        <v>30</v>
      </c>
      <c r="J158">
        <f>IFERROR(__xludf.DUMMYFUNCTION("""COMPUTED_VALUE"""),0.0)</f>
        <v>0</v>
      </c>
      <c r="K158">
        <f>IFERROR(__xludf.DUMMYFUNCTION("""COMPUTED_VALUE"""),0.0)</f>
        <v>0</v>
      </c>
      <c r="L158">
        <f>IFERROR(__xludf.DUMMYFUNCTION("""COMPUTED_VALUE"""),0.0)</f>
        <v>0</v>
      </c>
      <c r="M158">
        <f>IFERROR(__xludf.DUMMYFUNCTION("""COMPUTED_VALUE"""),0.0)</f>
        <v>0</v>
      </c>
    </row>
    <row r="159">
      <c r="A159" s="6" t="str">
        <f>IFERROR(__xludf.DUMMYFUNCTION("IMPORTRANGE(""1zr0uYCpJ5izByVOUCsr6JXezthGEdLXnwOrjIKGx5XI"",""Round 8!W1"")"),"Question: 21")</f>
        <v>Question: 21</v>
      </c>
      <c r="B159" s="7" t="s">
        <v>160</v>
      </c>
    </row>
    <row r="160">
      <c r="A160" s="6"/>
    </row>
    <row r="161">
      <c r="A161" s="2" t="s">
        <v>171</v>
      </c>
      <c r="B161" t="str">
        <f>IFERROR(__xludf.DUMMYFUNCTION("{IMPORTRANGE(""1TVrjNI5RE1VozIr906BhaTKMFP0VPx8aUGpyt_loukE"",""Round 8!C1:H3""),IMPORTRANGE(""1TVrjNI5RE1VozIr906BhaTKMFP0VPx8aUGpyt_loukE"",""Round 8!M1:R3"")}"),"La Jolla (V)")</f>
        <v>La Jolla (V)</v>
      </c>
      <c r="C161" t="str">
        <f>IFERROR(__xludf.DUMMYFUNCTION("""COMPUTED_VALUE"""),"")</f>
        <v/>
      </c>
      <c r="D161" t="str">
        <f>IFERROR(__xludf.DUMMYFUNCTION("""COMPUTED_VALUE"""),"")</f>
        <v/>
      </c>
      <c r="E161" t="str">
        <f>IFERROR(__xludf.DUMMYFUNCTION("""COMPUTED_VALUE"""),"")</f>
        <v/>
      </c>
      <c r="F161" t="str">
        <f>IFERROR(__xludf.DUMMYFUNCTION("""COMPUTED_VALUE"""),"")</f>
        <v/>
      </c>
      <c r="G161" t="str">
        <f>IFERROR(__xludf.DUMMYFUNCTION("""COMPUTED_VALUE"""),"")</f>
        <v/>
      </c>
      <c r="H161" t="str">
        <f>IFERROR(__xludf.DUMMYFUNCTION("""COMPUTED_VALUE"""),"Santa Monica B (V)")</f>
        <v>Santa Monica B (V)</v>
      </c>
      <c r="I161" t="str">
        <f>IFERROR(__xludf.DUMMYFUNCTION("""COMPUTED_VALUE"""),"")</f>
        <v/>
      </c>
      <c r="J161" t="str">
        <f>IFERROR(__xludf.DUMMYFUNCTION("""COMPUTED_VALUE"""),"")</f>
        <v/>
      </c>
      <c r="K161" t="str">
        <f>IFERROR(__xludf.DUMMYFUNCTION("""COMPUTED_VALUE"""),"")</f>
        <v/>
      </c>
      <c r="L161" t="str">
        <f>IFERROR(__xludf.DUMMYFUNCTION("""COMPUTED_VALUE"""),"")</f>
        <v/>
      </c>
      <c r="M161" t="str">
        <f>IFERROR(__xludf.DUMMYFUNCTION("""COMPUTED_VALUE"""),"")</f>
        <v/>
      </c>
    </row>
    <row r="162">
      <c r="A162" s="6" t="str">
        <f>IFERROR(__xludf.DUMMYFUNCTION("CONCAT(""A BP: "",IMPORTRANGE(""1TVrjNI5RE1VozIr906BhaTKMFP0VPx8aUGpyt_loukE"",""Round 8!I32""))"),"A BP: 130")</f>
        <v>A BP: 130</v>
      </c>
      <c r="B162" t="str">
        <f>IFERROR(__xludf.DUMMYFUNCTION("""COMPUTED_VALUE"""),"Score: 205")</f>
        <v>Score: 205</v>
      </c>
      <c r="C162" t="str">
        <f>IFERROR(__xludf.DUMMYFUNCTION("""COMPUTED_VALUE"""),"")</f>
        <v/>
      </c>
      <c r="D162" t="str">
        <f>IFERROR(__xludf.DUMMYFUNCTION("""COMPUTED_VALUE"""),"")</f>
        <v/>
      </c>
      <c r="E162" t="str">
        <f>IFERROR(__xludf.DUMMYFUNCTION("""COMPUTED_VALUE"""),"")</f>
        <v/>
      </c>
      <c r="F162" t="str">
        <f>IFERROR(__xludf.DUMMYFUNCTION("""COMPUTED_VALUE"""),"")</f>
        <v/>
      </c>
      <c r="G162" t="str">
        <f>IFERROR(__xludf.DUMMYFUNCTION("""COMPUTED_VALUE"""),"")</f>
        <v/>
      </c>
      <c r="H162" t="str">
        <f>IFERROR(__xludf.DUMMYFUNCTION("""COMPUTED_VALUE"""),"Score: 140")</f>
        <v>Score: 140</v>
      </c>
      <c r="I162" t="str">
        <f>IFERROR(__xludf.DUMMYFUNCTION("""COMPUTED_VALUE"""),"")</f>
        <v/>
      </c>
      <c r="J162" t="str">
        <f>IFERROR(__xludf.DUMMYFUNCTION("""COMPUTED_VALUE"""),"")</f>
        <v/>
      </c>
      <c r="K162" t="str">
        <f>IFERROR(__xludf.DUMMYFUNCTION("""COMPUTED_VALUE"""),"")</f>
        <v/>
      </c>
      <c r="L162" t="str">
        <f>IFERROR(__xludf.DUMMYFUNCTION("""COMPUTED_VALUE"""),"")</f>
        <v/>
      </c>
      <c r="M162" t="str">
        <f>IFERROR(__xludf.DUMMYFUNCTION("""COMPUTED_VALUE"""),"")</f>
        <v/>
      </c>
    </row>
    <row r="163">
      <c r="A163" s="6" t="str">
        <f>IFERROR(__xludf.DUMMYFUNCTION("CONCAT(""B BP: "",IMPORTRANGE(""1TVrjNI5RE1VozIr906BhaTKMFP0VPx8aUGpyt_loukE"",""Round 8!S32""))"),"B BP: 70")</f>
        <v>B BP: 70</v>
      </c>
      <c r="B163" t="str">
        <f>IFERROR(__xludf.DUMMYFUNCTION("""COMPUTED_VALUE"""),"Caleb Cruz (11)")</f>
        <v>Caleb Cruz (11)</v>
      </c>
      <c r="C163" t="str">
        <f>IFERROR(__xludf.DUMMYFUNCTION("""COMPUTED_VALUE"""),"Kevin Park (11)")</f>
        <v>Kevin Park (11)</v>
      </c>
      <c r="D163" t="str">
        <f>IFERROR(__xludf.DUMMYFUNCTION("""COMPUTED_VALUE"""),"David Smith (11)")</f>
        <v>David Smith (11)</v>
      </c>
      <c r="E163" t="str">
        <f>IFERROR(__xludf.DUMMYFUNCTION("""COMPUTED_VALUE"""),"Richard Chao (11)")</f>
        <v>Richard Chao (11)</v>
      </c>
      <c r="F163" t="str">
        <f>IFERROR(__xludf.DUMMYFUNCTION("""COMPUTED_VALUE"""),"Player 5")</f>
        <v>Player 5</v>
      </c>
      <c r="G163" t="str">
        <f>IFERROR(__xludf.DUMMYFUNCTION("""COMPUTED_VALUE"""),"Player 6")</f>
        <v>Player 6</v>
      </c>
      <c r="H163" t="str">
        <f>IFERROR(__xludf.DUMMYFUNCTION("""COMPUTED_VALUE"""),"Kethan Raman (10)")</f>
        <v>Kethan Raman (10)</v>
      </c>
      <c r="I163" t="str">
        <f>IFERROR(__xludf.DUMMYFUNCTION("""COMPUTED_VALUE"""),"Ethan Hopkins (10)")</f>
        <v>Ethan Hopkins (10)</v>
      </c>
      <c r="J163" t="str">
        <f>IFERROR(__xludf.DUMMYFUNCTION("""COMPUTED_VALUE"""),"Jacob Cohen (10)")</f>
        <v>Jacob Cohen (10)</v>
      </c>
      <c r="K163" t="str">
        <f>IFERROR(__xludf.DUMMYFUNCTION("""COMPUTED_VALUE"""),"Player 4")</f>
        <v>Player 4</v>
      </c>
      <c r="L163" t="str">
        <f>IFERROR(__xludf.DUMMYFUNCTION("""COMPUTED_VALUE"""),"Player 5")</f>
        <v>Player 5</v>
      </c>
      <c r="M163" t="str">
        <f>IFERROR(__xludf.DUMMYFUNCTION("""COMPUTED_VALUE"""),"Player 6")</f>
        <v>Player 6</v>
      </c>
    </row>
    <row r="164">
      <c r="A164" s="2" t="s">
        <v>123</v>
      </c>
      <c r="B164">
        <f>IFERROR(__xludf.DUMMYFUNCTION("{IMPORTRANGE(""1TVrjNI5RE1VozIr906BhaTKMFP0VPx8aUGpyt_loukE"",""Round 8!C32:H36""),IMPORTRANGE(""1TVrjNI5RE1VozIr906BhaTKMFP0VPx8aUGpyt_loukE"",""Round 8!M32:R36"")}"),20.0)</f>
        <v>20</v>
      </c>
      <c r="C164">
        <f>IFERROR(__xludf.DUMMYFUNCTION("""COMPUTED_VALUE"""),20.0)</f>
        <v>20</v>
      </c>
      <c r="D164">
        <f>IFERROR(__xludf.DUMMYFUNCTION("""COMPUTED_VALUE"""),20.0)</f>
        <v>20</v>
      </c>
      <c r="E164">
        <f>IFERROR(__xludf.DUMMYFUNCTION("""COMPUTED_VALUE"""),20.0)</f>
        <v>20</v>
      </c>
      <c r="F164" t="str">
        <f>IFERROR(__xludf.DUMMYFUNCTION("""COMPUTED_VALUE"""),"")</f>
        <v/>
      </c>
      <c r="G164" t="str">
        <f>IFERROR(__xludf.DUMMYFUNCTION("""COMPUTED_VALUE"""),"")</f>
        <v/>
      </c>
      <c r="H164">
        <f>IFERROR(__xludf.DUMMYFUNCTION("""COMPUTED_VALUE"""),20.0)</f>
        <v>20</v>
      </c>
      <c r="I164">
        <f>IFERROR(__xludf.DUMMYFUNCTION("""COMPUTED_VALUE"""),20.0)</f>
        <v>20</v>
      </c>
      <c r="J164">
        <f>IFERROR(__xludf.DUMMYFUNCTION("""COMPUTED_VALUE"""),20.0)</f>
        <v>20</v>
      </c>
      <c r="K164">
        <f>IFERROR(__xludf.DUMMYFUNCTION("""COMPUTED_VALUE"""),20.0)</f>
        <v>20</v>
      </c>
      <c r="L164" t="str">
        <f>IFERROR(__xludf.DUMMYFUNCTION("""COMPUTED_VALUE"""),"")</f>
        <v/>
      </c>
      <c r="M164" t="str">
        <f>IFERROR(__xludf.DUMMYFUNCTION("""COMPUTED_VALUE"""),"")</f>
        <v/>
      </c>
    </row>
    <row r="165">
      <c r="A165" s="2">
        <v>15.0</v>
      </c>
      <c r="B165">
        <f>IFERROR(__xludf.DUMMYFUNCTION("""COMPUTED_VALUE"""),0.0)</f>
        <v>0</v>
      </c>
      <c r="C165">
        <f>IFERROR(__xludf.DUMMYFUNCTION("""COMPUTED_VALUE"""),0.0)</f>
        <v>0</v>
      </c>
      <c r="D165">
        <f>IFERROR(__xludf.DUMMYFUNCTION("""COMPUTED_VALUE"""),1.0)</f>
        <v>1</v>
      </c>
      <c r="E165">
        <f>IFERROR(__xludf.DUMMYFUNCTION("""COMPUTED_VALUE"""),0.0)</f>
        <v>0</v>
      </c>
      <c r="F165">
        <f>IFERROR(__xludf.DUMMYFUNCTION("""COMPUTED_VALUE"""),0.0)</f>
        <v>0</v>
      </c>
      <c r="G165">
        <f>IFERROR(__xludf.DUMMYFUNCTION("""COMPUTED_VALUE"""),0.0)</f>
        <v>0</v>
      </c>
      <c r="H165">
        <f>IFERROR(__xludf.DUMMYFUNCTION("""COMPUTED_VALUE"""),0.0)</f>
        <v>0</v>
      </c>
      <c r="I165">
        <f>IFERROR(__xludf.DUMMYFUNCTION("""COMPUTED_VALUE"""),0.0)</f>
        <v>0</v>
      </c>
      <c r="J165">
        <f>IFERROR(__xludf.DUMMYFUNCTION("""COMPUTED_VALUE"""),1.0)</f>
        <v>1</v>
      </c>
      <c r="K165">
        <f>IFERROR(__xludf.DUMMYFUNCTION("""COMPUTED_VALUE"""),0.0)</f>
        <v>0</v>
      </c>
      <c r="L165">
        <f>IFERROR(__xludf.DUMMYFUNCTION("""COMPUTED_VALUE"""),0.0)</f>
        <v>0</v>
      </c>
      <c r="M165">
        <f>IFERROR(__xludf.DUMMYFUNCTION("""COMPUTED_VALUE"""),0.0)</f>
        <v>0</v>
      </c>
    </row>
    <row r="166">
      <c r="A166" s="2">
        <v>10.0</v>
      </c>
      <c r="B166">
        <f>IFERROR(__xludf.DUMMYFUNCTION("""COMPUTED_VALUE"""),0.0)</f>
        <v>0</v>
      </c>
      <c r="C166">
        <f>IFERROR(__xludf.DUMMYFUNCTION("""COMPUTED_VALUE"""),4.0)</f>
        <v>4</v>
      </c>
      <c r="D166">
        <f>IFERROR(__xludf.DUMMYFUNCTION("""COMPUTED_VALUE"""),0.0)</f>
        <v>0</v>
      </c>
      <c r="E166">
        <f>IFERROR(__xludf.DUMMYFUNCTION("""COMPUTED_VALUE"""),4.0)</f>
        <v>4</v>
      </c>
      <c r="F166">
        <f>IFERROR(__xludf.DUMMYFUNCTION("""COMPUTED_VALUE"""),0.0)</f>
        <v>0</v>
      </c>
      <c r="G166">
        <f>IFERROR(__xludf.DUMMYFUNCTION("""COMPUTED_VALUE"""),0.0)</f>
        <v>0</v>
      </c>
      <c r="H166">
        <f>IFERROR(__xludf.DUMMYFUNCTION("""COMPUTED_VALUE"""),6.0)</f>
        <v>6</v>
      </c>
      <c r="I166">
        <f>IFERROR(__xludf.DUMMYFUNCTION("""COMPUTED_VALUE"""),0.0)</f>
        <v>0</v>
      </c>
      <c r="J166">
        <f>IFERROR(__xludf.DUMMYFUNCTION("""COMPUTED_VALUE"""),0.0)</f>
        <v>0</v>
      </c>
      <c r="K166">
        <f>IFERROR(__xludf.DUMMYFUNCTION("""COMPUTED_VALUE"""),0.0)</f>
        <v>0</v>
      </c>
      <c r="L166">
        <f>IFERROR(__xludf.DUMMYFUNCTION("""COMPUTED_VALUE"""),0.0)</f>
        <v>0</v>
      </c>
      <c r="M166">
        <f>IFERROR(__xludf.DUMMYFUNCTION("""COMPUTED_VALUE"""),0.0)</f>
        <v>0</v>
      </c>
    </row>
    <row r="167">
      <c r="A167" s="2">
        <v>-5.0</v>
      </c>
      <c r="B167">
        <f>IFERROR(__xludf.DUMMYFUNCTION("""COMPUTED_VALUE"""),0.0)</f>
        <v>0</v>
      </c>
      <c r="C167">
        <f>IFERROR(__xludf.DUMMYFUNCTION("""COMPUTED_VALUE"""),3.0)</f>
        <v>3</v>
      </c>
      <c r="D167">
        <f>IFERROR(__xludf.DUMMYFUNCTION("""COMPUTED_VALUE"""),0.0)</f>
        <v>0</v>
      </c>
      <c r="E167">
        <f>IFERROR(__xludf.DUMMYFUNCTION("""COMPUTED_VALUE"""),1.0)</f>
        <v>1</v>
      </c>
      <c r="F167">
        <f>IFERROR(__xludf.DUMMYFUNCTION("""COMPUTED_VALUE"""),0.0)</f>
        <v>0</v>
      </c>
      <c r="G167">
        <f>IFERROR(__xludf.DUMMYFUNCTION("""COMPUTED_VALUE"""),0.0)</f>
        <v>0</v>
      </c>
      <c r="H167">
        <f>IFERROR(__xludf.DUMMYFUNCTION("""COMPUTED_VALUE"""),0.0)</f>
        <v>0</v>
      </c>
      <c r="I167">
        <f>IFERROR(__xludf.DUMMYFUNCTION("""COMPUTED_VALUE"""),0.0)</f>
        <v>0</v>
      </c>
      <c r="J167">
        <f>IFERROR(__xludf.DUMMYFUNCTION("""COMPUTED_VALUE"""),1.0)</f>
        <v>1</v>
      </c>
      <c r="K167">
        <f>IFERROR(__xludf.DUMMYFUNCTION("""COMPUTED_VALUE"""),0.0)</f>
        <v>0</v>
      </c>
      <c r="L167">
        <f>IFERROR(__xludf.DUMMYFUNCTION("""COMPUTED_VALUE"""),0.0)</f>
        <v>0</v>
      </c>
      <c r="M167">
        <f>IFERROR(__xludf.DUMMYFUNCTION("""COMPUTED_VALUE"""),0.0)</f>
        <v>0</v>
      </c>
    </row>
    <row r="168">
      <c r="A168" s="2" t="s">
        <v>124</v>
      </c>
      <c r="B168">
        <f>IFERROR(__xludf.DUMMYFUNCTION("""COMPUTED_VALUE"""),0.0)</f>
        <v>0</v>
      </c>
      <c r="C168">
        <f>IFERROR(__xludf.DUMMYFUNCTION("""COMPUTED_VALUE"""),25.0)</f>
        <v>25</v>
      </c>
      <c r="D168">
        <f>IFERROR(__xludf.DUMMYFUNCTION("""COMPUTED_VALUE"""),15.0)</f>
        <v>15</v>
      </c>
      <c r="E168">
        <f>IFERROR(__xludf.DUMMYFUNCTION("""COMPUTED_VALUE"""),35.0)</f>
        <v>35</v>
      </c>
      <c r="F168">
        <f>IFERROR(__xludf.DUMMYFUNCTION("""COMPUTED_VALUE"""),0.0)</f>
        <v>0</v>
      </c>
      <c r="G168">
        <f>IFERROR(__xludf.DUMMYFUNCTION("""COMPUTED_VALUE"""),0.0)</f>
        <v>0</v>
      </c>
      <c r="H168">
        <f>IFERROR(__xludf.DUMMYFUNCTION("""COMPUTED_VALUE"""),60.0)</f>
        <v>60</v>
      </c>
      <c r="I168">
        <f>IFERROR(__xludf.DUMMYFUNCTION("""COMPUTED_VALUE"""),0.0)</f>
        <v>0</v>
      </c>
      <c r="J168">
        <f>IFERROR(__xludf.DUMMYFUNCTION("""COMPUTED_VALUE"""),10.0)</f>
        <v>10</v>
      </c>
      <c r="K168">
        <f>IFERROR(__xludf.DUMMYFUNCTION("""COMPUTED_VALUE"""),0.0)</f>
        <v>0</v>
      </c>
      <c r="L168">
        <f>IFERROR(__xludf.DUMMYFUNCTION("""COMPUTED_VALUE"""),0.0)</f>
        <v>0</v>
      </c>
      <c r="M168">
        <f>IFERROR(__xludf.DUMMYFUNCTION("""COMPUTED_VALUE"""),0.0)</f>
        <v>0</v>
      </c>
    </row>
    <row r="169">
      <c r="A169" s="6" t="str">
        <f>IFERROR(__xludf.DUMMYFUNCTION("IMPORTRANGE(""1TVrjNI5RE1VozIr906BhaTKMFP0VPx8aUGpyt_loukE"",""Round 8!W1"")"),"Question: 21")</f>
        <v>Question: 21</v>
      </c>
      <c r="B169" s="7" t="s">
        <v>162</v>
      </c>
    </row>
    <row r="170">
      <c r="A170" s="6"/>
    </row>
    <row r="171">
      <c r="A171" s="2" t="s">
        <v>163</v>
      </c>
      <c r="B171" t="str">
        <f>IFERROR(__xludf.DUMMYFUNCTION("{IMPORTRANGE(""1xRz0po-ejgp-QRvMkY44z3u2CePgTccasdyrrVALbmE"",""Round 8!C1:H3""),IMPORTRANGE(""1xRz0po-ejgp-QRvMkY44z3u2CePgTccasdyrrVALbmE"",""Round 8!M1:R3"")}"),"Team A")</f>
        <v>Team A</v>
      </c>
      <c r="C171" t="str">
        <f>IFERROR(__xludf.DUMMYFUNCTION("""COMPUTED_VALUE"""),"")</f>
        <v/>
      </c>
      <c r="D171" t="str">
        <f>IFERROR(__xludf.DUMMYFUNCTION("""COMPUTED_VALUE"""),"")</f>
        <v/>
      </c>
      <c r="E171" t="str">
        <f>IFERROR(__xludf.DUMMYFUNCTION("""COMPUTED_VALUE"""),"")</f>
        <v/>
      </c>
      <c r="F171" t="str">
        <f>IFERROR(__xludf.DUMMYFUNCTION("""COMPUTED_VALUE"""),"")</f>
        <v/>
      </c>
      <c r="G171" t="str">
        <f>IFERROR(__xludf.DUMMYFUNCTION("""COMPUTED_VALUE"""),"")</f>
        <v/>
      </c>
      <c r="H171" t="str">
        <f>IFERROR(__xludf.DUMMYFUNCTION("""COMPUTED_VALUE"""),"Team B")</f>
        <v>Team B</v>
      </c>
      <c r="I171" t="str">
        <f>IFERROR(__xludf.DUMMYFUNCTION("""COMPUTED_VALUE"""),"")</f>
        <v/>
      </c>
      <c r="J171" t="str">
        <f>IFERROR(__xludf.DUMMYFUNCTION("""COMPUTED_VALUE"""),"")</f>
        <v/>
      </c>
      <c r="K171" t="str">
        <f>IFERROR(__xludf.DUMMYFUNCTION("""COMPUTED_VALUE"""),"")</f>
        <v/>
      </c>
      <c r="L171" t="str">
        <f>IFERROR(__xludf.DUMMYFUNCTION("""COMPUTED_VALUE"""),"")</f>
        <v/>
      </c>
      <c r="M171" t="str">
        <f>IFERROR(__xludf.DUMMYFUNCTION("""COMPUTED_VALUE"""),"")</f>
        <v/>
      </c>
    </row>
    <row r="172">
      <c r="A172" s="6" t="str">
        <f>IFERROR(__xludf.DUMMYFUNCTION("CONCAT(""A BP: "",IMPORTRANGE(""1xRz0po-ejgp-QRvMkY44z3u2CePgTccasdyrrVALbmE"",""Round 8!I32""))"),"A BP: 0")</f>
        <v>A BP: 0</v>
      </c>
      <c r="B172" t="str">
        <f>IFERROR(__xludf.DUMMYFUNCTION("""COMPUTED_VALUE"""),"Score: 0")</f>
        <v>Score: 0</v>
      </c>
      <c r="C172" t="str">
        <f>IFERROR(__xludf.DUMMYFUNCTION("""COMPUTED_VALUE"""),"")</f>
        <v/>
      </c>
      <c r="D172" t="str">
        <f>IFERROR(__xludf.DUMMYFUNCTION("""COMPUTED_VALUE"""),"")</f>
        <v/>
      </c>
      <c r="E172" t="str">
        <f>IFERROR(__xludf.DUMMYFUNCTION("""COMPUTED_VALUE"""),"")</f>
        <v/>
      </c>
      <c r="F172" t="str">
        <f>IFERROR(__xludf.DUMMYFUNCTION("""COMPUTED_VALUE"""),"")</f>
        <v/>
      </c>
      <c r="G172" t="str">
        <f>IFERROR(__xludf.DUMMYFUNCTION("""COMPUTED_VALUE"""),"")</f>
        <v/>
      </c>
      <c r="H172" t="str">
        <f>IFERROR(__xludf.DUMMYFUNCTION("""COMPUTED_VALUE"""),"Score: 0")</f>
        <v>Score: 0</v>
      </c>
      <c r="I172" t="str">
        <f>IFERROR(__xludf.DUMMYFUNCTION("""COMPUTED_VALUE"""),"")</f>
        <v/>
      </c>
      <c r="J172" t="str">
        <f>IFERROR(__xludf.DUMMYFUNCTION("""COMPUTED_VALUE"""),"")</f>
        <v/>
      </c>
      <c r="K172" t="str">
        <f>IFERROR(__xludf.DUMMYFUNCTION("""COMPUTED_VALUE"""),"")</f>
        <v/>
      </c>
      <c r="L172" t="str">
        <f>IFERROR(__xludf.DUMMYFUNCTION("""COMPUTED_VALUE"""),"")</f>
        <v/>
      </c>
      <c r="M172" t="str">
        <f>IFERROR(__xludf.DUMMYFUNCTION("""COMPUTED_VALUE"""),"")</f>
        <v/>
      </c>
    </row>
    <row r="173">
      <c r="A173" s="6" t="str">
        <f>IFERROR(__xludf.DUMMYFUNCTION("CONCAT(""B BP: "",IMPORTRANGE(""1xRz0po-ejgp-QRvMkY44z3u2CePgTccasdyrrVALbmE"",""Round 8!S32""))"),"B BP: 0")</f>
        <v>B BP: 0</v>
      </c>
      <c r="B173" t="str">
        <f>IFERROR(__xludf.DUMMYFUNCTION("""COMPUTED_VALUE"""),"Player 1")</f>
        <v>Player 1</v>
      </c>
      <c r="C173" t="str">
        <f>IFERROR(__xludf.DUMMYFUNCTION("""COMPUTED_VALUE"""),"Player 2")</f>
        <v>Player 2</v>
      </c>
      <c r="D173" t="str">
        <f>IFERROR(__xludf.DUMMYFUNCTION("""COMPUTED_VALUE"""),"Player 3")</f>
        <v>Player 3</v>
      </c>
      <c r="E173" t="str">
        <f>IFERROR(__xludf.DUMMYFUNCTION("""COMPUTED_VALUE"""),"Player 4")</f>
        <v>Player 4</v>
      </c>
      <c r="F173" t="str">
        <f>IFERROR(__xludf.DUMMYFUNCTION("""COMPUTED_VALUE"""),"Player 5")</f>
        <v>Player 5</v>
      </c>
      <c r="G173" t="str">
        <f>IFERROR(__xludf.DUMMYFUNCTION("""COMPUTED_VALUE"""),"Player 6")</f>
        <v>Player 6</v>
      </c>
      <c r="H173" t="str">
        <f>IFERROR(__xludf.DUMMYFUNCTION("""COMPUTED_VALUE"""),"Player 1")</f>
        <v>Player 1</v>
      </c>
      <c r="I173" t="str">
        <f>IFERROR(__xludf.DUMMYFUNCTION("""COMPUTED_VALUE"""),"Player 2")</f>
        <v>Player 2</v>
      </c>
      <c r="J173" t="str">
        <f>IFERROR(__xludf.DUMMYFUNCTION("""COMPUTED_VALUE"""),"Player 3")</f>
        <v>Player 3</v>
      </c>
      <c r="K173" t="str">
        <f>IFERROR(__xludf.DUMMYFUNCTION("""COMPUTED_VALUE"""),"Player 4")</f>
        <v>Player 4</v>
      </c>
      <c r="L173" t="str">
        <f>IFERROR(__xludf.DUMMYFUNCTION("""COMPUTED_VALUE"""),"Player 5")</f>
        <v>Player 5</v>
      </c>
      <c r="M173" t="str">
        <f>IFERROR(__xludf.DUMMYFUNCTION("""COMPUTED_VALUE"""),"Player 6")</f>
        <v>Player 6</v>
      </c>
    </row>
    <row r="174">
      <c r="A174" s="2" t="s">
        <v>123</v>
      </c>
      <c r="B174">
        <f>IFERROR(__xludf.DUMMYFUNCTION("{IMPORTRANGE(""1xRz0po-ejgp-QRvMkY44z3u2CePgTccasdyrrVALbmE"",""Round 8!C32:H36""),IMPORTRANGE(""1xRz0po-ejgp-QRvMkY44z3u2CePgTccasdyrrVALbmE"",""Round 8!M32:R36"")}"),20.0)</f>
        <v>20</v>
      </c>
      <c r="C174">
        <f>IFERROR(__xludf.DUMMYFUNCTION("""COMPUTED_VALUE"""),20.0)</f>
        <v>20</v>
      </c>
      <c r="D174">
        <f>IFERROR(__xludf.DUMMYFUNCTION("""COMPUTED_VALUE"""),20.0)</f>
        <v>20</v>
      </c>
      <c r="E174">
        <f>IFERROR(__xludf.DUMMYFUNCTION("""COMPUTED_VALUE"""),20.0)</f>
        <v>20</v>
      </c>
      <c r="F174" t="str">
        <f>IFERROR(__xludf.DUMMYFUNCTION("""COMPUTED_VALUE"""),"")</f>
        <v/>
      </c>
      <c r="G174" t="str">
        <f>IFERROR(__xludf.DUMMYFUNCTION("""COMPUTED_VALUE"""),"")</f>
        <v/>
      </c>
      <c r="H174">
        <f>IFERROR(__xludf.DUMMYFUNCTION("""COMPUTED_VALUE"""),20.0)</f>
        <v>20</v>
      </c>
      <c r="I174">
        <f>IFERROR(__xludf.DUMMYFUNCTION("""COMPUTED_VALUE"""),20.0)</f>
        <v>20</v>
      </c>
      <c r="J174">
        <f>IFERROR(__xludf.DUMMYFUNCTION("""COMPUTED_VALUE"""),20.0)</f>
        <v>20</v>
      </c>
      <c r="K174">
        <f>IFERROR(__xludf.DUMMYFUNCTION("""COMPUTED_VALUE"""),20.0)</f>
        <v>20</v>
      </c>
      <c r="L174" t="str">
        <f>IFERROR(__xludf.DUMMYFUNCTION("""COMPUTED_VALUE"""),"")</f>
        <v/>
      </c>
      <c r="M174" t="str">
        <f>IFERROR(__xludf.DUMMYFUNCTION("""COMPUTED_VALUE"""),"")</f>
        <v/>
      </c>
    </row>
    <row r="175">
      <c r="A175" s="2">
        <v>15.0</v>
      </c>
      <c r="B175">
        <f>IFERROR(__xludf.DUMMYFUNCTION("""COMPUTED_VALUE"""),0.0)</f>
        <v>0</v>
      </c>
      <c r="C175">
        <f>IFERROR(__xludf.DUMMYFUNCTION("""COMPUTED_VALUE"""),0.0)</f>
        <v>0</v>
      </c>
      <c r="D175">
        <f>IFERROR(__xludf.DUMMYFUNCTION("""COMPUTED_VALUE"""),0.0)</f>
        <v>0</v>
      </c>
      <c r="E175">
        <f>IFERROR(__xludf.DUMMYFUNCTION("""COMPUTED_VALUE"""),0.0)</f>
        <v>0</v>
      </c>
      <c r="F175">
        <f>IFERROR(__xludf.DUMMYFUNCTION("""COMPUTED_VALUE"""),0.0)</f>
        <v>0</v>
      </c>
      <c r="G175">
        <f>IFERROR(__xludf.DUMMYFUNCTION("""COMPUTED_VALUE"""),0.0)</f>
        <v>0</v>
      </c>
      <c r="H175">
        <f>IFERROR(__xludf.DUMMYFUNCTION("""COMPUTED_VALUE"""),0.0)</f>
        <v>0</v>
      </c>
      <c r="I175">
        <f>IFERROR(__xludf.DUMMYFUNCTION("""COMPUTED_VALUE"""),0.0)</f>
        <v>0</v>
      </c>
      <c r="J175">
        <f>IFERROR(__xludf.DUMMYFUNCTION("""COMPUTED_VALUE"""),0.0)</f>
        <v>0</v>
      </c>
      <c r="K175">
        <f>IFERROR(__xludf.DUMMYFUNCTION("""COMPUTED_VALUE"""),0.0)</f>
        <v>0</v>
      </c>
      <c r="L175">
        <f>IFERROR(__xludf.DUMMYFUNCTION("""COMPUTED_VALUE"""),0.0)</f>
        <v>0</v>
      </c>
      <c r="M175">
        <f>IFERROR(__xludf.DUMMYFUNCTION("""COMPUTED_VALUE"""),0.0)</f>
        <v>0</v>
      </c>
    </row>
    <row r="176">
      <c r="A176" s="2">
        <v>10.0</v>
      </c>
      <c r="B176">
        <f>IFERROR(__xludf.DUMMYFUNCTION("""COMPUTED_VALUE"""),0.0)</f>
        <v>0</v>
      </c>
      <c r="C176">
        <f>IFERROR(__xludf.DUMMYFUNCTION("""COMPUTED_VALUE"""),0.0)</f>
        <v>0</v>
      </c>
      <c r="D176">
        <f>IFERROR(__xludf.DUMMYFUNCTION("""COMPUTED_VALUE"""),0.0)</f>
        <v>0</v>
      </c>
      <c r="E176">
        <f>IFERROR(__xludf.DUMMYFUNCTION("""COMPUTED_VALUE"""),0.0)</f>
        <v>0</v>
      </c>
      <c r="F176">
        <f>IFERROR(__xludf.DUMMYFUNCTION("""COMPUTED_VALUE"""),0.0)</f>
        <v>0</v>
      </c>
      <c r="G176">
        <f>IFERROR(__xludf.DUMMYFUNCTION("""COMPUTED_VALUE"""),0.0)</f>
        <v>0</v>
      </c>
      <c r="H176">
        <f>IFERROR(__xludf.DUMMYFUNCTION("""COMPUTED_VALUE"""),0.0)</f>
        <v>0</v>
      </c>
      <c r="I176">
        <f>IFERROR(__xludf.DUMMYFUNCTION("""COMPUTED_VALUE"""),0.0)</f>
        <v>0</v>
      </c>
      <c r="J176">
        <f>IFERROR(__xludf.DUMMYFUNCTION("""COMPUTED_VALUE"""),0.0)</f>
        <v>0</v>
      </c>
      <c r="K176">
        <f>IFERROR(__xludf.DUMMYFUNCTION("""COMPUTED_VALUE"""),0.0)</f>
        <v>0</v>
      </c>
      <c r="L176">
        <f>IFERROR(__xludf.DUMMYFUNCTION("""COMPUTED_VALUE"""),0.0)</f>
        <v>0</v>
      </c>
      <c r="M176">
        <f>IFERROR(__xludf.DUMMYFUNCTION("""COMPUTED_VALUE"""),0.0)</f>
        <v>0</v>
      </c>
    </row>
    <row r="177">
      <c r="A177" s="2">
        <v>-5.0</v>
      </c>
      <c r="B177">
        <f>IFERROR(__xludf.DUMMYFUNCTION("""COMPUTED_VALUE"""),0.0)</f>
        <v>0</v>
      </c>
      <c r="C177">
        <f>IFERROR(__xludf.DUMMYFUNCTION("""COMPUTED_VALUE"""),0.0)</f>
        <v>0</v>
      </c>
      <c r="D177">
        <f>IFERROR(__xludf.DUMMYFUNCTION("""COMPUTED_VALUE"""),0.0)</f>
        <v>0</v>
      </c>
      <c r="E177">
        <f>IFERROR(__xludf.DUMMYFUNCTION("""COMPUTED_VALUE"""),0.0)</f>
        <v>0</v>
      </c>
      <c r="F177">
        <f>IFERROR(__xludf.DUMMYFUNCTION("""COMPUTED_VALUE"""),0.0)</f>
        <v>0</v>
      </c>
      <c r="G177">
        <f>IFERROR(__xludf.DUMMYFUNCTION("""COMPUTED_VALUE"""),0.0)</f>
        <v>0</v>
      </c>
      <c r="H177">
        <f>IFERROR(__xludf.DUMMYFUNCTION("""COMPUTED_VALUE"""),0.0)</f>
        <v>0</v>
      </c>
      <c r="I177">
        <f>IFERROR(__xludf.DUMMYFUNCTION("""COMPUTED_VALUE"""),0.0)</f>
        <v>0</v>
      </c>
      <c r="J177">
        <f>IFERROR(__xludf.DUMMYFUNCTION("""COMPUTED_VALUE"""),0.0)</f>
        <v>0</v>
      </c>
      <c r="K177">
        <f>IFERROR(__xludf.DUMMYFUNCTION("""COMPUTED_VALUE"""),0.0)</f>
        <v>0</v>
      </c>
      <c r="L177">
        <f>IFERROR(__xludf.DUMMYFUNCTION("""COMPUTED_VALUE"""),0.0)</f>
        <v>0</v>
      </c>
      <c r="M177">
        <f>IFERROR(__xludf.DUMMYFUNCTION("""COMPUTED_VALUE"""),0.0)</f>
        <v>0</v>
      </c>
    </row>
    <row r="178">
      <c r="A178" s="2" t="s">
        <v>124</v>
      </c>
      <c r="B178">
        <f>IFERROR(__xludf.DUMMYFUNCTION("""COMPUTED_VALUE"""),0.0)</f>
        <v>0</v>
      </c>
      <c r="C178">
        <f>IFERROR(__xludf.DUMMYFUNCTION("""COMPUTED_VALUE"""),0.0)</f>
        <v>0</v>
      </c>
      <c r="D178">
        <f>IFERROR(__xludf.DUMMYFUNCTION("""COMPUTED_VALUE"""),0.0)</f>
        <v>0</v>
      </c>
      <c r="E178">
        <f>IFERROR(__xludf.DUMMYFUNCTION("""COMPUTED_VALUE"""),0.0)</f>
        <v>0</v>
      </c>
      <c r="F178">
        <f>IFERROR(__xludf.DUMMYFUNCTION("""COMPUTED_VALUE"""),0.0)</f>
        <v>0</v>
      </c>
      <c r="G178">
        <f>IFERROR(__xludf.DUMMYFUNCTION("""COMPUTED_VALUE"""),0.0)</f>
        <v>0</v>
      </c>
      <c r="H178">
        <f>IFERROR(__xludf.DUMMYFUNCTION("""COMPUTED_VALUE"""),0.0)</f>
        <v>0</v>
      </c>
      <c r="I178">
        <f>IFERROR(__xludf.DUMMYFUNCTION("""COMPUTED_VALUE"""),0.0)</f>
        <v>0</v>
      </c>
      <c r="J178">
        <f>IFERROR(__xludf.DUMMYFUNCTION("""COMPUTED_VALUE"""),0.0)</f>
        <v>0</v>
      </c>
      <c r="K178">
        <f>IFERROR(__xludf.DUMMYFUNCTION("""COMPUTED_VALUE"""),0.0)</f>
        <v>0</v>
      </c>
      <c r="L178">
        <f>IFERROR(__xludf.DUMMYFUNCTION("""COMPUTED_VALUE"""),0.0)</f>
        <v>0</v>
      </c>
      <c r="M178">
        <f>IFERROR(__xludf.DUMMYFUNCTION("""COMPUTED_VALUE"""),0.0)</f>
        <v>0</v>
      </c>
    </row>
    <row r="179">
      <c r="A179" s="6" t="str">
        <f>IFERROR(__xludf.DUMMYFUNCTION("IMPORTRANGE(""1xRz0po-ejgp-QRvMkY44z3u2CePgTccasdyrrVALbmE"",""Round 8!W1"")"),"Question: 1")</f>
        <v>Question: 1</v>
      </c>
      <c r="B179" s="7" t="s">
        <v>164</v>
      </c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A1:A1000">
    <cfRule type="expression" dxfId="0" priority="1">
      <formula>AND(NOT(ISERROR(FIND("Question", A1))), VALUE(RIGHT(A1,2)) &gt;= 18)</formula>
    </cfRule>
  </conditionalFormatting>
  <conditionalFormatting sqref="A1:A1000">
    <cfRule type="expression" dxfId="1" priority="2">
      <formula>AND(NOT(ISERROR(FIND("Question", A1))), VALUE(RIGHT(A1,2)) &gt; 10)</formula>
    </cfRule>
  </conditionalFormatting>
  <conditionalFormatting sqref="A1:A1000">
    <cfRule type="expression" dxfId="2" priority="3">
      <formula>AND(NOT(ISERROR(FIND("Question", A1))), VALUE(RIGHT(A1,2)) &gt;= 2)</formula>
    </cfRule>
  </conditionalFormatting>
  <hyperlinks>
    <hyperlink r:id="rId1" ref="B9"/>
    <hyperlink r:id="rId2" ref="B19"/>
    <hyperlink r:id="rId3" ref="B29"/>
    <hyperlink r:id="rId4" ref="B39"/>
    <hyperlink r:id="rId5" ref="B49"/>
    <hyperlink r:id="rId6" ref="B59"/>
    <hyperlink r:id="rId7" ref="B69"/>
    <hyperlink r:id="rId8" ref="B79"/>
    <hyperlink r:id="rId9" ref="B89"/>
    <hyperlink r:id="rId10" ref="B99"/>
    <hyperlink r:id="rId11" ref="B109"/>
    <hyperlink r:id="rId12" ref="B119"/>
    <hyperlink r:id="rId13" ref="B129"/>
    <hyperlink r:id="rId14" ref="B139"/>
    <hyperlink r:id="rId15" ref="B149"/>
    <hyperlink r:id="rId16" ref="B159"/>
    <hyperlink r:id="rId17" ref="B169"/>
    <hyperlink r:id="rId18" ref="B179"/>
  </hyperlinks>
  <drawing r:id="rId19"/>
</worksheet>
</file>